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coc10.escelsa.br\CGC\CGFA\Faturamento\Gestão Faturamento\15 - Relatório Gerencial - CGC\Arquivos PRT\Processos Tarifarios\2026_RTA_EDP_ES\Planilhas de Validação\EP2\Grupo B\"/>
    </mc:Choice>
  </mc:AlternateContent>
  <xr:revisionPtr revIDLastSave="0" documentId="13_ncr:1_{22E58A67-72C1-4A42-B7E9-EADAC4B33C59}" xr6:coauthVersionLast="47" xr6:coauthVersionMax="47" xr10:uidLastSave="{00000000-0000-0000-0000-000000000000}"/>
  <bookViews>
    <workbookView xWindow="28692" yWindow="-108" windowWidth="29016" windowHeight="15696" tabRatio="729" firstSheet="5" activeTab="5" xr2:uid="{00000000-000D-0000-FFFF-FFFF00000000}"/>
  </bookViews>
  <sheets>
    <sheet name="FIO B" sheetId="29" state="hidden" r:id="rId1"/>
    <sheet name="TABELA DE TARIFAS ANTIGAS" sheetId="28" state="hidden" r:id="rId2"/>
    <sheet name="TABELA DE TARIFAS NOVAS" sheetId="24" state="hidden" r:id="rId3"/>
    <sheet name="Fatura B1 (GD) OK" sheetId="10" state="hidden" r:id="rId4"/>
    <sheet name="Fatura B1 BRe (GD)" sheetId="26" state="hidden" r:id="rId5"/>
    <sheet name="B1 Res (GD) Branca OK" sheetId="19" r:id="rId6"/>
    <sheet name="B3 GD Branca OK" sheetId="21" r:id="rId7"/>
    <sheet name="B2 GD Branca OK" sheetId="20" r:id="rId8"/>
    <sheet name="B2 IRR GD Branca SEM MASSA" sheetId="30" r:id="rId9"/>
    <sheet name="V4 MMGD GDII" sheetId="15" state="hidden" r:id="rId10"/>
    <sheet name="A4 MMGD GDII" sheetId="16" state="hidden" r:id="rId11"/>
    <sheet name="Fatura B1 (GD II) (Baixa Re (2)" sheetId="17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2" hidden="1">'TABELA DE TARIFAS NOVAS'!$B$1:$B$93</definedName>
    <definedName name="_Ref352134769" localSheetId="2">'TABELA DE TARIFAS NOVAS'!$A$93</definedName>
    <definedName name="Z_93A7E07A_AC2D_4310_B7ED_B74DACBA50A7_.wvu.FilterData" localSheetId="2" hidden="1">'TABELA DE TARIFAS NOVAS'!$B$1:$B$93</definedName>
    <definedName name="Z_A8592FA0_1011_4F02_BFB0_BB1C65ED9311_.wvu.FilterData" localSheetId="2" hidden="1">'TABELA DE TARIFAS NOVAS'!$B$1:$B$93</definedName>
    <definedName name="Z_E99E9347_E83C_4BCD_9209_A3E8998220A9_.wvu.FilterData" localSheetId="2" hidden="1">'TABELA DE TARIFAS NOVAS'!$B$1:$B$93</definedName>
    <definedName name="Z_EB662AE4_4B22_40EC_8355_9AD94D059B97_.wvu.FilterData" localSheetId="2" hidden="1">'TABELA DE TARIFAS NOVAS'!$B$1:$B$93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1" l="1"/>
  <c r="H8" i="21" s="1"/>
  <c r="F8" i="21"/>
  <c r="F7" i="21"/>
  <c r="G7" i="21"/>
  <c r="H7" i="21" s="1"/>
  <c r="G6" i="21"/>
  <c r="F6" i="21"/>
  <c r="C6" i="21"/>
  <c r="D6" i="21"/>
  <c r="E6" i="21"/>
  <c r="C7" i="21"/>
  <c r="D7" i="21"/>
  <c r="E7" i="21"/>
  <c r="C8" i="21"/>
  <c r="D8" i="21"/>
  <c r="E8" i="21"/>
  <c r="E9" i="21"/>
  <c r="F9" i="21"/>
  <c r="G9" i="21"/>
  <c r="H9" i="21"/>
  <c r="R30" i="19"/>
  <c r="D94" i="30"/>
  <c r="D93" i="30"/>
  <c r="D92" i="30"/>
  <c r="D91" i="30"/>
  <c r="J87" i="30" s="1"/>
  <c r="K43" i="30" s="1"/>
  <c r="D83" i="30"/>
  <c r="H6" i="21" l="1"/>
  <c r="M41" i="30"/>
  <c r="D76" i="30"/>
  <c r="D77" i="30"/>
  <c r="D78" i="30"/>
  <c r="D29" i="30"/>
  <c r="D65" i="30" l="1"/>
  <c r="D66" i="30"/>
  <c r="D67" i="30"/>
  <c r="F89" i="30" l="1"/>
  <c r="F94" i="30" s="1"/>
  <c r="H94" i="30" s="1"/>
  <c r="D89" i="30"/>
  <c r="F88" i="30"/>
  <c r="F93" i="30" s="1"/>
  <c r="H93" i="30" s="1"/>
  <c r="D88" i="30"/>
  <c r="H88" i="30" s="1"/>
  <c r="F87" i="30"/>
  <c r="F92" i="30" s="1"/>
  <c r="H92" i="30" s="1"/>
  <c r="D87" i="30"/>
  <c r="H87" i="30" s="1"/>
  <c r="D82" i="30"/>
  <c r="D81" i="30"/>
  <c r="D80" i="30"/>
  <c r="F73" i="30"/>
  <c r="F78" i="30" s="1"/>
  <c r="H78" i="30" s="1"/>
  <c r="D73" i="30"/>
  <c r="J74" i="30" s="1"/>
  <c r="K33" i="30" s="1"/>
  <c r="D72" i="30"/>
  <c r="D71" i="30"/>
  <c r="D64" i="30"/>
  <c r="K46" i="30"/>
  <c r="D46" i="30"/>
  <c r="D45" i="30"/>
  <c r="D44" i="30"/>
  <c r="I41" i="30"/>
  <c r="D41" i="30"/>
  <c r="I40" i="30"/>
  <c r="D40" i="30"/>
  <c r="I39" i="30"/>
  <c r="D39" i="30"/>
  <c r="J37" i="30"/>
  <c r="J36" i="30"/>
  <c r="J35" i="30"/>
  <c r="D33" i="30"/>
  <c r="D32" i="30"/>
  <c r="D31" i="30"/>
  <c r="D28" i="30"/>
  <c r="D27" i="30"/>
  <c r="D26" i="30"/>
  <c r="N24" i="30"/>
  <c r="N25" i="30" s="1"/>
  <c r="I24" i="30"/>
  <c r="I23" i="30"/>
  <c r="I25" i="30" s="1"/>
  <c r="N22" i="30"/>
  <c r="E99" i="30" s="1"/>
  <c r="M15" i="30"/>
  <c r="J15" i="30"/>
  <c r="U13" i="30"/>
  <c r="G9" i="30" s="1"/>
  <c r="T13" i="30"/>
  <c r="F9" i="30" s="1"/>
  <c r="H12" i="30"/>
  <c r="M11" i="30"/>
  <c r="E9" i="30"/>
  <c r="U8" i="30"/>
  <c r="R8" i="30"/>
  <c r="Q8" i="30"/>
  <c r="G8" i="30"/>
  <c r="F8" i="30"/>
  <c r="D8" i="30"/>
  <c r="C8" i="30"/>
  <c r="U7" i="30"/>
  <c r="R7" i="30"/>
  <c r="Q7" i="30"/>
  <c r="G7" i="30"/>
  <c r="F7" i="30"/>
  <c r="D7" i="30"/>
  <c r="C7" i="30"/>
  <c r="U6" i="30"/>
  <c r="R6" i="30"/>
  <c r="Q6" i="30"/>
  <c r="N6" i="30"/>
  <c r="K45" i="30" s="1"/>
  <c r="G6" i="30"/>
  <c r="F6" i="30"/>
  <c r="H6" i="30" s="1"/>
  <c r="D6" i="30"/>
  <c r="C6" i="30"/>
  <c r="N5" i="30"/>
  <c r="F71" i="30" s="1"/>
  <c r="F76" i="30" s="1"/>
  <c r="H76" i="30" s="1"/>
  <c r="N4" i="30"/>
  <c r="F86" i="30" s="1"/>
  <c r="F91" i="30" s="1"/>
  <c r="H91" i="30" s="1"/>
  <c r="F4" i="30"/>
  <c r="U4" i="30" s="1"/>
  <c r="C4" i="30"/>
  <c r="R4" i="30" s="1"/>
  <c r="N3" i="30"/>
  <c r="F2" i="30"/>
  <c r="G33" i="30" l="1"/>
  <c r="J72" i="30"/>
  <c r="K31" i="30" s="1"/>
  <c r="H8" i="30"/>
  <c r="H73" i="30"/>
  <c r="C15" i="30"/>
  <c r="E67" i="30"/>
  <c r="J65" i="30" s="1"/>
  <c r="K25" i="30" s="1"/>
  <c r="F65" i="30"/>
  <c r="F67" i="30"/>
  <c r="K65" i="30" s="1"/>
  <c r="K29" i="30" s="1"/>
  <c r="E65" i="30"/>
  <c r="E81" i="30" s="1"/>
  <c r="E83" i="30" s="1"/>
  <c r="J81" i="30" s="1"/>
  <c r="H31" i="30"/>
  <c r="J31" i="30" s="1"/>
  <c r="H46" i="30"/>
  <c r="J46" i="30" s="1"/>
  <c r="H89" i="30"/>
  <c r="K44" i="30"/>
  <c r="H44" i="30" s="1"/>
  <c r="J44" i="30" s="1"/>
  <c r="H7" i="30"/>
  <c r="N23" i="30"/>
  <c r="L15" i="30"/>
  <c r="H9" i="30"/>
  <c r="F72" i="30"/>
  <c r="E101" i="30"/>
  <c r="C111" i="30" s="1"/>
  <c r="F111" i="30" s="1"/>
  <c r="H71" i="30"/>
  <c r="H33" i="30"/>
  <c r="J33" i="30" s="1"/>
  <c r="R35" i="30"/>
  <c r="S35" i="30" s="1"/>
  <c r="K15" i="30"/>
  <c r="E6" i="30"/>
  <c r="E100" i="30"/>
  <c r="C110" i="30"/>
  <c r="E8" i="30"/>
  <c r="E7" i="30"/>
  <c r="D105" i="30"/>
  <c r="F105" i="30"/>
  <c r="E56" i="30" s="1"/>
  <c r="F64" i="30"/>
  <c r="F70" i="30"/>
  <c r="F75" i="30" s="1"/>
  <c r="H45" i="30"/>
  <c r="J45" i="30" s="1"/>
  <c r="E66" i="30"/>
  <c r="E105" i="30"/>
  <c r="D56" i="30" s="1"/>
  <c r="F66" i="30"/>
  <c r="D15" i="30"/>
  <c r="R33" i="30"/>
  <c r="S33" i="30" s="1"/>
  <c r="E64" i="30"/>
  <c r="R34" i="30"/>
  <c r="S34" i="30" s="1"/>
  <c r="N24" i="21"/>
  <c r="N22" i="21"/>
  <c r="U13" i="21"/>
  <c r="T13" i="21"/>
  <c r="U8" i="21"/>
  <c r="R8" i="21"/>
  <c r="U7" i="21"/>
  <c r="R7" i="21"/>
  <c r="U6" i="21"/>
  <c r="R6" i="21"/>
  <c r="U8" i="20"/>
  <c r="R8" i="20"/>
  <c r="U7" i="20"/>
  <c r="R7" i="20"/>
  <c r="U6" i="20"/>
  <c r="R6" i="20"/>
  <c r="N24" i="20"/>
  <c r="N22" i="20"/>
  <c r="U13" i="20"/>
  <c r="G9" i="20" s="1"/>
  <c r="T13" i="20"/>
  <c r="F9" i="20" s="1"/>
  <c r="G8" i="20"/>
  <c r="F8" i="20"/>
  <c r="G7" i="20"/>
  <c r="F7" i="20"/>
  <c r="G6" i="20"/>
  <c r="F6" i="20"/>
  <c r="D8" i="20"/>
  <c r="C8" i="20"/>
  <c r="D7" i="20"/>
  <c r="C7" i="20"/>
  <c r="D6" i="20"/>
  <c r="E6" i="20"/>
  <c r="C6" i="20"/>
  <c r="F2" i="21"/>
  <c r="F2" i="20"/>
  <c r="U13" i="19"/>
  <c r="T13" i="19"/>
  <c r="U7" i="19"/>
  <c r="U8" i="19"/>
  <c r="R7" i="19"/>
  <c r="R8" i="19"/>
  <c r="U6" i="19"/>
  <c r="R6" i="19"/>
  <c r="R4" i="19"/>
  <c r="U4" i="19"/>
  <c r="Q6" i="19"/>
  <c r="Q7" i="19"/>
  <c r="Q8" i="19"/>
  <c r="H6" i="20"/>
  <c r="E7" i="20"/>
  <c r="H7" i="20"/>
  <c r="H8" i="20"/>
  <c r="E9" i="20"/>
  <c r="E33" i="30" l="1"/>
  <c r="F33" i="30" s="1"/>
  <c r="D30" i="30"/>
  <c r="D75" i="30"/>
  <c r="H75" i="30" s="1"/>
  <c r="H72" i="30"/>
  <c r="F77" i="30"/>
  <c r="H77" i="30" s="1"/>
  <c r="H29" i="30"/>
  <c r="J29" i="30" s="1"/>
  <c r="G29" i="30"/>
  <c r="G44" i="30"/>
  <c r="E44" i="30" s="1"/>
  <c r="F44" i="30" s="1"/>
  <c r="G25" i="30"/>
  <c r="H25" i="30"/>
  <c r="J25" i="30" s="1"/>
  <c r="G67" i="30"/>
  <c r="H67" i="30"/>
  <c r="H68" i="30" s="1"/>
  <c r="G31" i="30"/>
  <c r="E31" i="30" s="1"/>
  <c r="F31" i="30" s="1"/>
  <c r="D86" i="30"/>
  <c r="H86" i="30" s="1"/>
  <c r="G46" i="30"/>
  <c r="E46" i="30" s="1"/>
  <c r="F46" i="30" s="1"/>
  <c r="E102" i="30"/>
  <c r="C122" i="30" s="1"/>
  <c r="F122" i="30" s="1"/>
  <c r="G45" i="30"/>
  <c r="E45" i="30" s="1"/>
  <c r="F45" i="30" s="1"/>
  <c r="H64" i="30"/>
  <c r="D43" i="30"/>
  <c r="H43" i="30" s="1"/>
  <c r="J43" i="30" s="1"/>
  <c r="D70" i="30"/>
  <c r="J71" i="30" s="1"/>
  <c r="K30" i="30" s="1"/>
  <c r="G197" i="30"/>
  <c r="G194" i="30"/>
  <c r="G191" i="30"/>
  <c r="X6" i="30"/>
  <c r="D191" i="30"/>
  <c r="X8" i="30"/>
  <c r="F190" i="30"/>
  <c r="E194" i="30"/>
  <c r="G190" i="30"/>
  <c r="F197" i="30"/>
  <c r="S36" i="30"/>
  <c r="E198" i="30"/>
  <c r="E195" i="30"/>
  <c r="I6" i="30"/>
  <c r="F82" i="30"/>
  <c r="K27" i="30"/>
  <c r="I7" i="30"/>
  <c r="F192" i="30"/>
  <c r="G195" i="30"/>
  <c r="J9" i="30"/>
  <c r="E196" i="30"/>
  <c r="I8" i="30"/>
  <c r="K23" i="30"/>
  <c r="E82" i="30"/>
  <c r="G66" i="30"/>
  <c r="D194" i="30"/>
  <c r="E191" i="30"/>
  <c r="J6" i="30"/>
  <c r="J7" i="30"/>
  <c r="X7" i="30"/>
  <c r="D192" i="30"/>
  <c r="D195" i="30"/>
  <c r="E192" i="30"/>
  <c r="G196" i="30"/>
  <c r="K28" i="30"/>
  <c r="F81" i="30"/>
  <c r="F83" i="30" s="1"/>
  <c r="D189" i="30"/>
  <c r="C121" i="30"/>
  <c r="E80" i="30"/>
  <c r="G64" i="30"/>
  <c r="K22" i="30"/>
  <c r="I9" i="30"/>
  <c r="F195" i="30"/>
  <c r="G189" i="30"/>
  <c r="F193" i="30"/>
  <c r="D197" i="30"/>
  <c r="H66" i="30"/>
  <c r="G65" i="30"/>
  <c r="K24" i="30"/>
  <c r="H65" i="30"/>
  <c r="F196" i="30"/>
  <c r="E197" i="30"/>
  <c r="F191" i="30"/>
  <c r="G193" i="30"/>
  <c r="F194" i="30"/>
  <c r="K26" i="30"/>
  <c r="F80" i="30"/>
  <c r="E199" i="30"/>
  <c r="F110" i="30"/>
  <c r="E113" i="30"/>
  <c r="J8" i="30"/>
  <c r="F189" i="30"/>
  <c r="G192" i="30"/>
  <c r="C56" i="30"/>
  <c r="F56" i="30" s="1"/>
  <c r="H105" i="30"/>
  <c r="D193" i="30"/>
  <c r="E193" i="30"/>
  <c r="D196" i="30"/>
  <c r="D190" i="30"/>
  <c r="H9" i="20"/>
  <c r="E8" i="20"/>
  <c r="E29" i="30" l="1"/>
  <c r="F29" i="30" s="1"/>
  <c r="H83" i="30"/>
  <c r="H84" i="30" s="1"/>
  <c r="K81" i="30"/>
  <c r="G83" i="30"/>
  <c r="J73" i="30"/>
  <c r="K32" i="30" s="1"/>
  <c r="E25" i="30"/>
  <c r="F25" i="30" s="1"/>
  <c r="H70" i="30"/>
  <c r="G43" i="30"/>
  <c r="E43" i="30" s="1"/>
  <c r="F43" i="30" s="1"/>
  <c r="H30" i="30"/>
  <c r="J30" i="30" s="1"/>
  <c r="G30" i="30"/>
  <c r="K9" i="30"/>
  <c r="H123" i="30"/>
  <c r="D123" i="30" s="1"/>
  <c r="H22" i="30"/>
  <c r="G22" i="30"/>
  <c r="K35" i="30"/>
  <c r="G81" i="30"/>
  <c r="H81" i="30"/>
  <c r="G80" i="30"/>
  <c r="H80" i="30"/>
  <c r="F121" i="30"/>
  <c r="E124" i="30"/>
  <c r="K7" i="30"/>
  <c r="K40" i="30"/>
  <c r="H27" i="30"/>
  <c r="J27" i="30" s="1"/>
  <c r="G27" i="30"/>
  <c r="K39" i="30"/>
  <c r="G26" i="30"/>
  <c r="H26" i="30"/>
  <c r="J26" i="30" s="1"/>
  <c r="K41" i="30"/>
  <c r="H28" i="30"/>
  <c r="J28" i="30" s="1"/>
  <c r="G28" i="30"/>
  <c r="G82" i="30"/>
  <c r="H82" i="30"/>
  <c r="K36" i="30"/>
  <c r="H23" i="30"/>
  <c r="J23" i="30" s="1"/>
  <c r="G23" i="30"/>
  <c r="K6" i="30"/>
  <c r="H24" i="30"/>
  <c r="J24" i="30" s="1"/>
  <c r="G24" i="30"/>
  <c r="K37" i="30"/>
  <c r="K8" i="30"/>
  <c r="Q8" i="20"/>
  <c r="Q7" i="20"/>
  <c r="Q6" i="20"/>
  <c r="U4" i="20"/>
  <c r="R4" i="20"/>
  <c r="Q8" i="21"/>
  <c r="Q7" i="21"/>
  <c r="Q6" i="21"/>
  <c r="U4" i="21"/>
  <c r="R4" i="21"/>
  <c r="H32" i="30" l="1"/>
  <c r="J32" i="30" s="1"/>
  <c r="G32" i="30"/>
  <c r="E28" i="30"/>
  <c r="F28" i="30" s="1"/>
  <c r="D121" i="30"/>
  <c r="G121" i="30" s="1"/>
  <c r="E24" i="30"/>
  <c r="F24" i="30" s="1"/>
  <c r="I123" i="30"/>
  <c r="E23" i="30"/>
  <c r="F23" i="30" s="1"/>
  <c r="E26" i="30"/>
  <c r="F26" i="30" s="1"/>
  <c r="E30" i="30"/>
  <c r="F30" i="30" s="1"/>
  <c r="E27" i="30"/>
  <c r="F27" i="30" s="1"/>
  <c r="D100" i="30"/>
  <c r="D102" i="30" s="1"/>
  <c r="H126" i="30"/>
  <c r="J22" i="30"/>
  <c r="G36" i="30"/>
  <c r="E36" i="30" s="1"/>
  <c r="F36" i="30" s="1"/>
  <c r="G39" i="30"/>
  <c r="H39" i="30"/>
  <c r="J39" i="30" s="1"/>
  <c r="D104" i="30"/>
  <c r="H104" i="30" s="1"/>
  <c r="G123" i="30"/>
  <c r="H40" i="30"/>
  <c r="J40" i="30" s="1"/>
  <c r="G40" i="30"/>
  <c r="G35" i="30"/>
  <c r="E35" i="30" s="1"/>
  <c r="F35" i="30" s="1"/>
  <c r="G41" i="30"/>
  <c r="H41" i="30"/>
  <c r="J41" i="30" s="1"/>
  <c r="G37" i="30"/>
  <c r="E37" i="30" s="1"/>
  <c r="F37" i="30" s="1"/>
  <c r="U6" i="10"/>
  <c r="R6" i="10"/>
  <c r="X6" i="10" s="1"/>
  <c r="Q6" i="10"/>
  <c r="U4" i="10"/>
  <c r="R4" i="10"/>
  <c r="E32" i="30" l="1"/>
  <c r="F32" i="30" s="1"/>
  <c r="D122" i="30"/>
  <c r="G122" i="30" s="1"/>
  <c r="E40" i="30"/>
  <c r="F40" i="30" s="1"/>
  <c r="M23" i="30"/>
  <c r="O23" i="30" s="1"/>
  <c r="H100" i="30"/>
  <c r="E41" i="30"/>
  <c r="F41" i="30" s="1"/>
  <c r="G54" i="30"/>
  <c r="E39" i="30"/>
  <c r="F39" i="30" s="1"/>
  <c r="H54" i="30"/>
  <c r="J54" i="30"/>
  <c r="M25" i="30"/>
  <c r="O25" i="30" s="1"/>
  <c r="H102" i="30"/>
  <c r="E22" i="30"/>
  <c r="F22" i="30" s="1"/>
  <c r="U11" i="10"/>
  <c r="T11" i="10"/>
  <c r="F54" i="30" l="1"/>
  <c r="G8" i="19"/>
  <c r="F8" i="19"/>
  <c r="G7" i="19"/>
  <c r="F7" i="19"/>
  <c r="G6" i="19"/>
  <c r="F6" i="19"/>
  <c r="D8" i="19"/>
  <c r="C8" i="19"/>
  <c r="D7" i="19"/>
  <c r="C7" i="19"/>
  <c r="D6" i="19"/>
  <c r="C6" i="19"/>
  <c r="E6" i="19" s="1"/>
  <c r="G9" i="19"/>
  <c r="F9" i="19"/>
  <c r="H9" i="19" l="1"/>
  <c r="H8" i="19"/>
  <c r="H6" i="19"/>
  <c r="H7" i="19"/>
  <c r="E8" i="19"/>
  <c r="E7" i="19"/>
  <c r="G6" i="10" l="1"/>
  <c r="F6" i="10"/>
  <c r="D6" i="10"/>
  <c r="C6" i="10"/>
  <c r="F4" i="21"/>
  <c r="F4" i="20"/>
  <c r="F4" i="19"/>
  <c r="C4" i="21"/>
  <c r="C4" i="20"/>
  <c r="C4" i="19"/>
  <c r="H6" i="10" l="1"/>
  <c r="E6" i="10"/>
  <c r="N26" i="26" l="1"/>
  <c r="N61" i="26" s="1"/>
  <c r="N25" i="26"/>
  <c r="N60" i="26" s="1"/>
  <c r="L12" i="26"/>
  <c r="K12" i="26"/>
  <c r="E14" i="26"/>
  <c r="H11" i="26" s="1"/>
  <c r="B14" i="26"/>
  <c r="M10" i="26" s="1"/>
  <c r="K263" i="26"/>
  <c r="K261" i="26"/>
  <c r="K257" i="26"/>
  <c r="K248" i="26"/>
  <c r="K253" i="26" s="1"/>
  <c r="AB242" i="26"/>
  <c r="K242" i="26"/>
  <c r="AB241" i="26"/>
  <c r="K241" i="26"/>
  <c r="AB240" i="26"/>
  <c r="K240" i="26"/>
  <c r="AB239" i="26"/>
  <c r="K239" i="26"/>
  <c r="AB236" i="26"/>
  <c r="K236" i="26"/>
  <c r="K275" i="26" s="1"/>
  <c r="K233" i="26"/>
  <c r="K232" i="26"/>
  <c r="K231" i="26"/>
  <c r="K230" i="26"/>
  <c r="K227" i="26"/>
  <c r="AB224" i="26"/>
  <c r="K224" i="26"/>
  <c r="AB223" i="26"/>
  <c r="K223" i="26"/>
  <c r="AB222" i="26"/>
  <c r="K222" i="26"/>
  <c r="AB221" i="26"/>
  <c r="K221" i="26"/>
  <c r="AB218" i="26"/>
  <c r="K218" i="26"/>
  <c r="K215" i="26"/>
  <c r="K213" i="26"/>
  <c r="K212" i="26"/>
  <c r="K209" i="26"/>
  <c r="AB205" i="26"/>
  <c r="K205" i="26"/>
  <c r="AB204" i="26"/>
  <c r="K204" i="26"/>
  <c r="AB203" i="26"/>
  <c r="K203" i="26"/>
  <c r="AB202" i="26"/>
  <c r="K202" i="26"/>
  <c r="AB199" i="26"/>
  <c r="K199" i="26"/>
  <c r="AB196" i="26"/>
  <c r="K196" i="26"/>
  <c r="AB195" i="26"/>
  <c r="K195" i="26"/>
  <c r="AB194" i="26"/>
  <c r="K194" i="26"/>
  <c r="AB193" i="26"/>
  <c r="K193" i="26"/>
  <c r="K51" i="26" s="1"/>
  <c r="K78" i="26" s="1"/>
  <c r="K190" i="26"/>
  <c r="AB190" i="26" s="1"/>
  <c r="AB187" i="26"/>
  <c r="K187" i="26"/>
  <c r="K50" i="26" s="1"/>
  <c r="K77" i="26" s="1"/>
  <c r="AB186" i="26"/>
  <c r="K186" i="26"/>
  <c r="AB185" i="26"/>
  <c r="K185" i="26"/>
  <c r="AB184" i="26"/>
  <c r="K184" i="26"/>
  <c r="AB181" i="26"/>
  <c r="K181" i="26"/>
  <c r="AB178" i="26"/>
  <c r="K178" i="26"/>
  <c r="K46" i="26" s="1"/>
  <c r="K73" i="26" s="1"/>
  <c r="AB177" i="26"/>
  <c r="K177" i="26"/>
  <c r="AB176" i="26"/>
  <c r="K176" i="26"/>
  <c r="AB175" i="26"/>
  <c r="K175" i="26"/>
  <c r="K172" i="26"/>
  <c r="AB172" i="26" s="1"/>
  <c r="N158" i="26"/>
  <c r="J155" i="26"/>
  <c r="J154" i="26"/>
  <c r="J153" i="26"/>
  <c r="J152" i="26"/>
  <c r="H151" i="26"/>
  <c r="E144" i="26"/>
  <c r="E143" i="26"/>
  <c r="J129" i="26"/>
  <c r="J128" i="26"/>
  <c r="J127" i="26"/>
  <c r="J126" i="26"/>
  <c r="J109" i="26"/>
  <c r="J108" i="26"/>
  <c r="J107" i="26"/>
  <c r="J106" i="26"/>
  <c r="K98" i="26"/>
  <c r="G98" i="26"/>
  <c r="G99" i="26" s="1"/>
  <c r="G97" i="26"/>
  <c r="K83" i="26"/>
  <c r="K76" i="26"/>
  <c r="K70" i="26"/>
  <c r="D63" i="26"/>
  <c r="D62" i="26"/>
  <c r="D61" i="26"/>
  <c r="N152" i="26" s="1"/>
  <c r="D60" i="26"/>
  <c r="D126" i="26" s="1"/>
  <c r="K58" i="26"/>
  <c r="K85" i="26" s="1"/>
  <c r="K57" i="26"/>
  <c r="K84" i="26" s="1"/>
  <c r="K56" i="26"/>
  <c r="K54" i="26"/>
  <c r="K81" i="26" s="1"/>
  <c r="K53" i="26"/>
  <c r="K80" i="26" s="1"/>
  <c r="K52" i="26"/>
  <c r="K79" i="26" s="1"/>
  <c r="K49" i="26"/>
  <c r="K48" i="26"/>
  <c r="K75" i="26" s="1"/>
  <c r="K47" i="26"/>
  <c r="K74" i="26" s="1"/>
  <c r="K45" i="26"/>
  <c r="K72" i="26" s="1"/>
  <c r="K44" i="26"/>
  <c r="K71" i="26" s="1"/>
  <c r="K43" i="26"/>
  <c r="D32" i="26"/>
  <c r="D31" i="26"/>
  <c r="H164" i="26" s="1"/>
  <c r="D30" i="26"/>
  <c r="D39" i="26" s="1"/>
  <c r="D29" i="26"/>
  <c r="D116" i="26" s="1"/>
  <c r="D19" i="26"/>
  <c r="D28" i="26" s="1"/>
  <c r="U15" i="26"/>
  <c r="U14" i="26"/>
  <c r="U13" i="26"/>
  <c r="U12" i="26"/>
  <c r="U11" i="26"/>
  <c r="T11" i="26"/>
  <c r="U10" i="26"/>
  <c r="G8" i="26"/>
  <c r="G7" i="26"/>
  <c r="F7" i="26"/>
  <c r="H7" i="26" s="1"/>
  <c r="D7" i="26"/>
  <c r="C7" i="26"/>
  <c r="Q6" i="26"/>
  <c r="R4" i="26"/>
  <c r="F4" i="26"/>
  <c r="U4" i="26" s="1"/>
  <c r="F2" i="26"/>
  <c r="C271" i="26" l="1"/>
  <c r="D80" i="26" s="1"/>
  <c r="H99" i="26"/>
  <c r="D27" i="26"/>
  <c r="D36" i="26" s="1"/>
  <c r="J14" i="26"/>
  <c r="K14" i="26" s="1"/>
  <c r="E140" i="26"/>
  <c r="E141" i="26" s="1"/>
  <c r="E24" i="26"/>
  <c r="E138" i="26"/>
  <c r="T230" i="26"/>
  <c r="T242" i="26"/>
  <c r="AE242" i="26" s="1"/>
  <c r="AF242" i="26" s="1"/>
  <c r="C278" i="26"/>
  <c r="D82" i="26" s="1"/>
  <c r="H154" i="26"/>
  <c r="K154" i="26" s="1"/>
  <c r="C194" i="26"/>
  <c r="C196" i="26"/>
  <c r="N196" i="26" s="1"/>
  <c r="O196" i="26" s="1"/>
  <c r="T202" i="26"/>
  <c r="AE202" i="26" s="1"/>
  <c r="AF202" i="26" s="1"/>
  <c r="T204" i="26"/>
  <c r="AE204" i="26" s="1"/>
  <c r="AF204" i="26" s="1"/>
  <c r="C231" i="26"/>
  <c r="N231" i="26" s="1"/>
  <c r="O231" i="26" s="1"/>
  <c r="T240" i="26"/>
  <c r="AE240" i="26" s="1"/>
  <c r="AF240" i="26" s="1"/>
  <c r="C279" i="26"/>
  <c r="D83" i="26" s="1"/>
  <c r="G83" i="26" s="1"/>
  <c r="T193" i="26"/>
  <c r="AE193" i="26" s="1"/>
  <c r="AF193" i="26" s="1"/>
  <c r="C202" i="26"/>
  <c r="N202" i="26" s="1"/>
  <c r="O202" i="26" s="1"/>
  <c r="C233" i="26"/>
  <c r="N233" i="26" s="1"/>
  <c r="O233" i="26" s="1"/>
  <c r="N162" i="26"/>
  <c r="Q162" i="26" s="1"/>
  <c r="H155" i="26"/>
  <c r="K155" i="26" s="1"/>
  <c r="T194" i="26"/>
  <c r="AE194" i="26" s="1"/>
  <c r="AF194" i="26" s="1"/>
  <c r="T196" i="26"/>
  <c r="AE196" i="26" s="1"/>
  <c r="AF196" i="26" s="1"/>
  <c r="C203" i="26"/>
  <c r="C205" i="26"/>
  <c r="N205" i="26" s="1"/>
  <c r="O205" i="26" s="1"/>
  <c r="T231" i="26"/>
  <c r="C239" i="26"/>
  <c r="N239" i="26" s="1"/>
  <c r="O239" i="26" s="1"/>
  <c r="C241" i="26"/>
  <c r="N241" i="26" s="1"/>
  <c r="O241" i="26" s="1"/>
  <c r="C281" i="26"/>
  <c r="N281" i="26" s="1"/>
  <c r="O281" i="26" s="1"/>
  <c r="F85" i="26" s="1"/>
  <c r="H85" i="26" s="1"/>
  <c r="J85" i="26" s="1"/>
  <c r="N161" i="26"/>
  <c r="Q161" i="26" s="1"/>
  <c r="T195" i="26"/>
  <c r="AE195" i="26" s="1"/>
  <c r="AF195" i="26" s="1"/>
  <c r="C204" i="26"/>
  <c r="N204" i="26" s="1"/>
  <c r="O204" i="26" s="1"/>
  <c r="C240" i="26"/>
  <c r="N240" i="26" s="1"/>
  <c r="O240" i="26" s="1"/>
  <c r="C272" i="26"/>
  <c r="D81" i="26" s="1"/>
  <c r="G81" i="26" s="1"/>
  <c r="C280" i="26"/>
  <c r="D84" i="26" s="1"/>
  <c r="G84" i="26" s="1"/>
  <c r="C232" i="26"/>
  <c r="N232" i="26" s="1"/>
  <c r="O232" i="26" s="1"/>
  <c r="C193" i="26"/>
  <c r="N193" i="26" s="1"/>
  <c r="O193" i="26" s="1"/>
  <c r="C195" i="26"/>
  <c r="N195" i="26" s="1"/>
  <c r="O195" i="26" s="1"/>
  <c r="T203" i="26"/>
  <c r="AE203" i="26" s="1"/>
  <c r="AF203" i="26" s="1"/>
  <c r="T205" i="26"/>
  <c r="AE205" i="26" s="1"/>
  <c r="AF205" i="26" s="1"/>
  <c r="T239" i="26"/>
  <c r="AE239" i="26" s="1"/>
  <c r="AF239" i="26" s="1"/>
  <c r="T241" i="26"/>
  <c r="AE241" i="26" s="1"/>
  <c r="AF241" i="26" s="1"/>
  <c r="C230" i="26"/>
  <c r="N230" i="26" s="1"/>
  <c r="O230" i="26" s="1"/>
  <c r="T232" i="26"/>
  <c r="C270" i="26"/>
  <c r="D79" i="26" s="1"/>
  <c r="G79" i="26" s="1"/>
  <c r="T233" i="26"/>
  <c r="C242" i="26"/>
  <c r="C269" i="26"/>
  <c r="D78" i="26" s="1"/>
  <c r="G78" i="26" s="1"/>
  <c r="D14" i="26"/>
  <c r="M14" i="26"/>
  <c r="L14" i="26" s="1"/>
  <c r="G80" i="26"/>
  <c r="D37" i="26"/>
  <c r="H160" i="26"/>
  <c r="D109" i="26"/>
  <c r="K28" i="26"/>
  <c r="K55" i="26"/>
  <c r="E7" i="26"/>
  <c r="H165" i="26"/>
  <c r="D119" i="26"/>
  <c r="E129" i="26"/>
  <c r="E119" i="26"/>
  <c r="K68" i="26"/>
  <c r="K63" i="26"/>
  <c r="C14" i="26"/>
  <c r="F119" i="26"/>
  <c r="K41" i="26"/>
  <c r="K32" i="26"/>
  <c r="H163" i="26"/>
  <c r="D117" i="26"/>
  <c r="K37" i="26"/>
  <c r="D41" i="26"/>
  <c r="E139" i="26"/>
  <c r="D127" i="26"/>
  <c r="K251" i="26"/>
  <c r="D129" i="26"/>
  <c r="K281" i="26"/>
  <c r="K279" i="26"/>
  <c r="K278" i="26"/>
  <c r="D40" i="26"/>
  <c r="D66" i="26"/>
  <c r="D118" i="26"/>
  <c r="N151" i="26"/>
  <c r="H162" i="26"/>
  <c r="D128" i="26"/>
  <c r="D67" i="26"/>
  <c r="D25" i="26"/>
  <c r="D38" i="26"/>
  <c r="N154" i="26"/>
  <c r="AB215" i="26"/>
  <c r="AB214" i="26"/>
  <c r="AB213" i="26"/>
  <c r="AB212" i="26"/>
  <c r="AB209" i="26"/>
  <c r="K214" i="26"/>
  <c r="K280" i="26"/>
  <c r="D26" i="26"/>
  <c r="D65" i="26"/>
  <c r="D68" i="26"/>
  <c r="N153" i="26"/>
  <c r="AB233" i="26"/>
  <c r="AB232" i="26"/>
  <c r="AB231" i="26"/>
  <c r="AB230" i="26"/>
  <c r="K266" i="26"/>
  <c r="AB227" i="26"/>
  <c r="K262" i="26"/>
  <c r="K260" i="26"/>
  <c r="K254" i="26"/>
  <c r="K252" i="26"/>
  <c r="F54" i="26" l="1"/>
  <c r="H54" i="26" s="1"/>
  <c r="J54" i="26" s="1"/>
  <c r="D85" i="26"/>
  <c r="G85" i="26" s="1"/>
  <c r="AE232" i="26"/>
  <c r="AF232" i="26" s="1"/>
  <c r="F57" i="26"/>
  <c r="H57" i="26" s="1"/>
  <c r="J57" i="26" s="1"/>
  <c r="F53" i="26"/>
  <c r="H53" i="26" s="1"/>
  <c r="J53" i="26" s="1"/>
  <c r="D108" i="26"/>
  <c r="C186" i="26" s="1"/>
  <c r="AE231" i="26"/>
  <c r="AF231" i="26" s="1"/>
  <c r="D51" i="26"/>
  <c r="G51" i="26" s="1"/>
  <c r="H159" i="26"/>
  <c r="D56" i="26"/>
  <c r="G56" i="26" s="1"/>
  <c r="AF197" i="26"/>
  <c r="D168" i="26" s="1"/>
  <c r="AE233" i="26"/>
  <c r="AF233" i="26" s="1"/>
  <c r="N160" i="26"/>
  <c r="Q160" i="26" s="1"/>
  <c r="T177" i="26"/>
  <c r="AE177" i="26" s="1"/>
  <c r="AF177" i="26" s="1"/>
  <c r="AF206" i="26"/>
  <c r="D169" i="26" s="1"/>
  <c r="N279" i="26"/>
  <c r="O279" i="26" s="1"/>
  <c r="F83" i="26" s="1"/>
  <c r="H83" i="26" s="1"/>
  <c r="J83" i="26" s="1"/>
  <c r="D57" i="26"/>
  <c r="G57" i="26" s="1"/>
  <c r="AE230" i="26"/>
  <c r="AF230" i="26" s="1"/>
  <c r="N278" i="26"/>
  <c r="O278" i="26" s="1"/>
  <c r="F82" i="26" s="1"/>
  <c r="H82" i="26" s="1"/>
  <c r="J82" i="26" s="1"/>
  <c r="N203" i="26"/>
  <c r="O203" i="26" s="1"/>
  <c r="F56" i="26" s="1"/>
  <c r="H56" i="26" s="1"/>
  <c r="J56" i="26" s="1"/>
  <c r="D53" i="26"/>
  <c r="G53" i="26" s="1"/>
  <c r="D52" i="26"/>
  <c r="G52" i="26" s="1"/>
  <c r="D54" i="26"/>
  <c r="G54" i="26" s="1"/>
  <c r="D55" i="26"/>
  <c r="G55" i="26" s="1"/>
  <c r="N280" i="26"/>
  <c r="O280" i="26" s="1"/>
  <c r="F84" i="26" s="1"/>
  <c r="H84" i="26" s="1"/>
  <c r="J84" i="26" s="1"/>
  <c r="N194" i="26"/>
  <c r="O194" i="26" s="1"/>
  <c r="F52" i="26" s="1"/>
  <c r="H52" i="26" s="1"/>
  <c r="J52" i="26" s="1"/>
  <c r="AF243" i="26"/>
  <c r="N242" i="26"/>
  <c r="O242" i="26" s="1"/>
  <c r="D58" i="26"/>
  <c r="G58" i="26" s="1"/>
  <c r="J7" i="26"/>
  <c r="C212" i="26"/>
  <c r="N212" i="26" s="1"/>
  <c r="O212" i="26" s="1"/>
  <c r="T215" i="26"/>
  <c r="AE215" i="26" s="1"/>
  <c r="AF215" i="26" s="1"/>
  <c r="T184" i="26"/>
  <c r="AE184" i="26" s="1"/>
  <c r="AF184" i="26" s="1"/>
  <c r="N159" i="26"/>
  <c r="Q159" i="26" s="1"/>
  <c r="T223" i="26"/>
  <c r="AE223" i="26" s="1"/>
  <c r="AF223" i="26" s="1"/>
  <c r="T213" i="26"/>
  <c r="AE213" i="26" s="1"/>
  <c r="AF213" i="26" s="1"/>
  <c r="T214" i="26"/>
  <c r="AE214" i="26" s="1"/>
  <c r="AF214" i="26" s="1"/>
  <c r="C251" i="26"/>
  <c r="N251" i="26" s="1"/>
  <c r="O251" i="26" s="1"/>
  <c r="T186" i="26"/>
  <c r="AE186" i="26" s="1"/>
  <c r="AF186" i="26" s="1"/>
  <c r="I7" i="26"/>
  <c r="T175" i="26"/>
  <c r="AE175" i="26" s="1"/>
  <c r="AF175" i="26" s="1"/>
  <c r="C221" i="26"/>
  <c r="N221" i="26" s="1"/>
  <c r="O221" i="26" s="1"/>
  <c r="O234" i="26"/>
  <c r="H123" i="26" s="1"/>
  <c r="C253" i="26"/>
  <c r="C262" i="26"/>
  <c r="C261" i="26"/>
  <c r="C252" i="26"/>
  <c r="C222" i="26"/>
  <c r="N222" i="26" s="1"/>
  <c r="O222" i="26" s="1"/>
  <c r="C213" i="26"/>
  <c r="N213" i="26" s="1"/>
  <c r="O213" i="26" s="1"/>
  <c r="K61" i="26"/>
  <c r="H63" i="26"/>
  <c r="J63" i="26" s="1"/>
  <c r="G63" i="26"/>
  <c r="K62" i="26"/>
  <c r="E63" i="26"/>
  <c r="F63" i="26" s="1"/>
  <c r="K60" i="26"/>
  <c r="C260" i="26"/>
  <c r="T187" i="26"/>
  <c r="AE187" i="26" s="1"/>
  <c r="AF187" i="26" s="1"/>
  <c r="H153" i="26"/>
  <c r="K153" i="26" s="1"/>
  <c r="T222" i="26"/>
  <c r="AE222" i="26" s="1"/>
  <c r="AF222" i="26" s="1"/>
  <c r="T185" i="26"/>
  <c r="AE185" i="26" s="1"/>
  <c r="AF185" i="26" s="1"/>
  <c r="F55" i="26"/>
  <c r="H55" i="26" s="1"/>
  <c r="J55" i="26" s="1"/>
  <c r="G37" i="26"/>
  <c r="H37" i="26"/>
  <c r="J37" i="26" s="1"/>
  <c r="D35" i="26"/>
  <c r="D107" i="26"/>
  <c r="H158" i="26"/>
  <c r="K271" i="26"/>
  <c r="N271" i="26" s="1"/>
  <c r="O271" i="26" s="1"/>
  <c r="F80" i="26" s="1"/>
  <c r="H80" i="26" s="1"/>
  <c r="J80" i="26" s="1"/>
  <c r="K269" i="26"/>
  <c r="N269" i="26" s="1"/>
  <c r="O269" i="26" s="1"/>
  <c r="K272" i="26"/>
  <c r="N272" i="26" s="1"/>
  <c r="O272" i="26" s="1"/>
  <c r="F81" i="26" s="1"/>
  <c r="H81" i="26" s="1"/>
  <c r="J81" i="26" s="1"/>
  <c r="K270" i="26"/>
  <c r="N270" i="26" s="1"/>
  <c r="O270" i="26" s="1"/>
  <c r="F79" i="26" s="1"/>
  <c r="H79" i="26" s="1"/>
  <c r="J79" i="26" s="1"/>
  <c r="E68" i="26"/>
  <c r="F68" i="26" s="1"/>
  <c r="K65" i="26"/>
  <c r="E65" i="26" s="1"/>
  <c r="F65" i="26" s="1"/>
  <c r="K67" i="26"/>
  <c r="E67" i="26" s="1"/>
  <c r="F67" i="26" s="1"/>
  <c r="K66" i="26"/>
  <c r="E66" i="26" s="1"/>
  <c r="F66" i="26" s="1"/>
  <c r="T221" i="26"/>
  <c r="AE221" i="26" s="1"/>
  <c r="AF221" i="26" s="1"/>
  <c r="T224" i="26"/>
  <c r="AE224" i="26" s="1"/>
  <c r="AF224" i="26" s="1"/>
  <c r="K82" i="26"/>
  <c r="G82" i="26" s="1"/>
  <c r="T178" i="26"/>
  <c r="AE178" i="26" s="1"/>
  <c r="AF178" i="26" s="1"/>
  <c r="K27" i="26"/>
  <c r="K25" i="26"/>
  <c r="E25" i="26" s="1"/>
  <c r="F25" i="26" s="1"/>
  <c r="E28" i="26"/>
  <c r="F28" i="26" s="1"/>
  <c r="K26" i="26"/>
  <c r="E26" i="26" s="1"/>
  <c r="F26" i="26" s="1"/>
  <c r="H152" i="26"/>
  <c r="K152" i="26" s="1"/>
  <c r="F51" i="26"/>
  <c r="H51" i="26" s="1"/>
  <c r="J51" i="26" s="1"/>
  <c r="E32" i="26"/>
  <c r="F32" i="26" s="1"/>
  <c r="K29" i="26"/>
  <c r="K31" i="26"/>
  <c r="K30" i="26"/>
  <c r="O154" i="26"/>
  <c r="E128" i="26"/>
  <c r="E126" i="26"/>
  <c r="E127" i="26"/>
  <c r="C224" i="26"/>
  <c r="N224" i="26" s="1"/>
  <c r="O224" i="26" s="1"/>
  <c r="H119" i="26"/>
  <c r="C215" i="26"/>
  <c r="N215" i="26" s="1"/>
  <c r="O215" i="26" s="1"/>
  <c r="T212" i="26"/>
  <c r="AE212" i="26" s="1"/>
  <c r="AF212" i="26" s="1"/>
  <c r="C223" i="26"/>
  <c r="N223" i="26" s="1"/>
  <c r="O223" i="26" s="1"/>
  <c r="C214" i="26"/>
  <c r="N214" i="26" s="1"/>
  <c r="O214" i="26" s="1"/>
  <c r="H68" i="26"/>
  <c r="J68" i="26" s="1"/>
  <c r="G68" i="26"/>
  <c r="H157" i="26"/>
  <c r="D106" i="26"/>
  <c r="D34" i="26"/>
  <c r="F95" i="26"/>
  <c r="H41" i="26"/>
  <c r="J41" i="26" s="1"/>
  <c r="G41" i="26"/>
  <c r="E41" i="26"/>
  <c r="F41" i="26" s="1"/>
  <c r="K38" i="26"/>
  <c r="E38" i="26" s="1"/>
  <c r="F38" i="26" s="1"/>
  <c r="K40" i="26"/>
  <c r="E40" i="26" s="1"/>
  <c r="F40" i="26" s="1"/>
  <c r="K39" i="26"/>
  <c r="G32" i="26"/>
  <c r="G28" i="26"/>
  <c r="C263" i="26"/>
  <c r="C254" i="26"/>
  <c r="K35" i="26"/>
  <c r="E35" i="26" s="1"/>
  <c r="K36" i="26"/>
  <c r="K34" i="26"/>
  <c r="E34" i="26" s="1"/>
  <c r="E37" i="26"/>
  <c r="F37" i="26" s="1"/>
  <c r="F129" i="26"/>
  <c r="P154" i="26" s="1"/>
  <c r="F109" i="26"/>
  <c r="F116" i="26"/>
  <c r="F118" i="26"/>
  <c r="F107" i="26"/>
  <c r="J158" i="26" s="1"/>
  <c r="J165" i="26"/>
  <c r="F117" i="26"/>
  <c r="F108" i="26"/>
  <c r="J159" i="26" s="1"/>
  <c r="F106" i="26"/>
  <c r="J157" i="26" s="1"/>
  <c r="H32" i="26"/>
  <c r="J32" i="26" s="1"/>
  <c r="C187" i="26"/>
  <c r="C178" i="26"/>
  <c r="E118" i="26"/>
  <c r="E107" i="26"/>
  <c r="E106" i="26"/>
  <c r="E109" i="26"/>
  <c r="E116" i="26"/>
  <c r="G119" i="26"/>
  <c r="E108" i="26"/>
  <c r="I165" i="26"/>
  <c r="E117" i="26"/>
  <c r="H28" i="26"/>
  <c r="J28" i="26" s="1"/>
  <c r="I6" i="26"/>
  <c r="J8" i="26"/>
  <c r="W12" i="26"/>
  <c r="W15" i="26"/>
  <c r="W13" i="26"/>
  <c r="J6" i="26"/>
  <c r="W14" i="26"/>
  <c r="T176" i="26"/>
  <c r="AE176" i="26" s="1"/>
  <c r="AF176" i="26" s="1"/>
  <c r="C177" i="26" l="1"/>
  <c r="N177" i="26" s="1"/>
  <c r="O177" i="26" s="1"/>
  <c r="F45" i="26" s="1"/>
  <c r="H45" i="26" s="1"/>
  <c r="J45" i="26" s="1"/>
  <c r="G40" i="26"/>
  <c r="O282" i="26"/>
  <c r="D164" i="26" s="1"/>
  <c r="AF234" i="26"/>
  <c r="O197" i="26"/>
  <c r="D153" i="26" s="1"/>
  <c r="H129" i="26"/>
  <c r="D70" i="26"/>
  <c r="G70" i="26" s="1"/>
  <c r="O206" i="26"/>
  <c r="D154" i="26" s="1"/>
  <c r="K165" i="26"/>
  <c r="K7" i="26"/>
  <c r="AF188" i="26"/>
  <c r="D167" i="26" s="1"/>
  <c r="F58" i="26"/>
  <c r="H58" i="26" s="1"/>
  <c r="J58" i="26" s="1"/>
  <c r="O243" i="26"/>
  <c r="AF179" i="26"/>
  <c r="D166" i="26" s="1"/>
  <c r="H109" i="26"/>
  <c r="G66" i="26"/>
  <c r="O216" i="26"/>
  <c r="H121" i="26" s="1"/>
  <c r="Q154" i="26"/>
  <c r="H66" i="26"/>
  <c r="J66" i="26" s="1"/>
  <c r="H67" i="26"/>
  <c r="J67" i="26" s="1"/>
  <c r="G25" i="26"/>
  <c r="H25" i="26"/>
  <c r="J25" i="26" s="1"/>
  <c r="G67" i="26"/>
  <c r="K6" i="26"/>
  <c r="D158" i="26"/>
  <c r="H118" i="26"/>
  <c r="O225" i="26"/>
  <c r="D157" i="26" s="1"/>
  <c r="E39" i="26"/>
  <c r="F39" i="26" s="1"/>
  <c r="H39" i="26"/>
  <c r="J39" i="26" s="1"/>
  <c r="G39" i="26"/>
  <c r="H40" i="26"/>
  <c r="J40" i="26" s="1"/>
  <c r="G65" i="26"/>
  <c r="I157" i="26"/>
  <c r="K157" i="26" s="1"/>
  <c r="G106" i="26"/>
  <c r="H34" i="26"/>
  <c r="J34" i="26" s="1"/>
  <c r="F34" i="26"/>
  <c r="G34" i="26"/>
  <c r="AF216" i="26"/>
  <c r="O152" i="26"/>
  <c r="N260" i="26"/>
  <c r="O260" i="26" s="1"/>
  <c r="D74" i="26"/>
  <c r="G74" i="26" s="1"/>
  <c r="E36" i="26"/>
  <c r="F36" i="26" s="1"/>
  <c r="G36" i="26"/>
  <c r="H36" i="26"/>
  <c r="J36" i="26" s="1"/>
  <c r="G108" i="26"/>
  <c r="I159" i="26"/>
  <c r="K159" i="26" s="1"/>
  <c r="G107" i="26"/>
  <c r="I158" i="26"/>
  <c r="K158" i="26" s="1"/>
  <c r="J163" i="26"/>
  <c r="F127" i="26"/>
  <c r="G127" i="26" s="1"/>
  <c r="H106" i="26"/>
  <c r="C175" i="26"/>
  <c r="C184" i="26"/>
  <c r="H145" i="26"/>
  <c r="O151" i="26"/>
  <c r="H26" i="26"/>
  <c r="J26" i="26" s="1"/>
  <c r="E60" i="26"/>
  <c r="F60" i="26" s="1"/>
  <c r="G60" i="26"/>
  <c r="H60" i="26"/>
  <c r="J60" i="26" s="1"/>
  <c r="D72" i="26"/>
  <c r="G72" i="26" s="1"/>
  <c r="N253" i="26"/>
  <c r="O253" i="26" s="1"/>
  <c r="F72" i="26" s="1"/>
  <c r="H72" i="26" s="1"/>
  <c r="J72" i="26" s="1"/>
  <c r="N178" i="26"/>
  <c r="O178" i="26" s="1"/>
  <c r="F46" i="26" s="1"/>
  <c r="H46" i="26" s="1"/>
  <c r="J46" i="26" s="1"/>
  <c r="D46" i="26"/>
  <c r="G46" i="26" s="1"/>
  <c r="C176" i="26"/>
  <c r="H107" i="26"/>
  <c r="C185" i="26"/>
  <c r="E62" i="26"/>
  <c r="F62" i="26" s="1"/>
  <c r="G62" i="26"/>
  <c r="H62" i="26"/>
  <c r="J62" i="26" s="1"/>
  <c r="N252" i="26"/>
  <c r="O252" i="26" s="1"/>
  <c r="F71" i="26" s="1"/>
  <c r="H71" i="26" s="1"/>
  <c r="J71" i="26" s="1"/>
  <c r="D71" i="26"/>
  <c r="G71" i="26" s="1"/>
  <c r="G117" i="26"/>
  <c r="I163" i="26"/>
  <c r="N187" i="26"/>
  <c r="O187" i="26" s="1"/>
  <c r="F50" i="26" s="1"/>
  <c r="H50" i="26" s="1"/>
  <c r="J50" i="26" s="1"/>
  <c r="D50" i="26"/>
  <c r="G50" i="26" s="1"/>
  <c r="J164" i="26"/>
  <c r="F128" i="26"/>
  <c r="P153" i="26" s="1"/>
  <c r="H108" i="26"/>
  <c r="E30" i="26"/>
  <c r="F30" i="26" s="1"/>
  <c r="G30" i="26"/>
  <c r="H30" i="26"/>
  <c r="J30" i="26" s="1"/>
  <c r="N261" i="26"/>
  <c r="O261" i="26" s="1"/>
  <c r="F75" i="26" s="1"/>
  <c r="H75" i="26" s="1"/>
  <c r="J75" i="26" s="1"/>
  <c r="D75" i="26"/>
  <c r="G75" i="26" s="1"/>
  <c r="G38" i="26"/>
  <c r="O153" i="26"/>
  <c r="F126" i="26"/>
  <c r="P151" i="26" s="1"/>
  <c r="J162" i="26"/>
  <c r="N254" i="26"/>
  <c r="O254" i="26" s="1"/>
  <c r="F73" i="26" s="1"/>
  <c r="H73" i="26" s="1"/>
  <c r="J73" i="26" s="1"/>
  <c r="D73" i="26"/>
  <c r="G73" i="26" s="1"/>
  <c r="H31" i="26"/>
  <c r="J31" i="26" s="1"/>
  <c r="E31" i="26"/>
  <c r="F31" i="26" s="1"/>
  <c r="G31" i="26"/>
  <c r="G35" i="26"/>
  <c r="H35" i="26"/>
  <c r="J35" i="26" s="1"/>
  <c r="F35" i="26"/>
  <c r="F70" i="26"/>
  <c r="H70" i="26" s="1"/>
  <c r="J70" i="26" s="1"/>
  <c r="H38" i="26"/>
  <c r="J38" i="26" s="1"/>
  <c r="J160" i="26"/>
  <c r="J151" i="26"/>
  <c r="P158" i="26" s="1"/>
  <c r="D77" i="26"/>
  <c r="G77" i="26" s="1"/>
  <c r="N263" i="26"/>
  <c r="O263" i="26" s="1"/>
  <c r="F77" i="26" s="1"/>
  <c r="H77" i="26" s="1"/>
  <c r="J77" i="26" s="1"/>
  <c r="N186" i="26"/>
  <c r="O186" i="26" s="1"/>
  <c r="F49" i="26" s="1"/>
  <c r="H49" i="26" s="1"/>
  <c r="J49" i="26" s="1"/>
  <c r="D49" i="26"/>
  <c r="G49" i="26" s="1"/>
  <c r="E29" i="26"/>
  <c r="F29" i="26" s="1"/>
  <c r="H29" i="26"/>
  <c r="J29" i="26" s="1"/>
  <c r="G29" i="26"/>
  <c r="AF225" i="26"/>
  <c r="O273" i="26"/>
  <c r="F78" i="26"/>
  <c r="H78" i="26" s="1"/>
  <c r="J78" i="26" s="1"/>
  <c r="G26" i="26"/>
  <c r="H61" i="26"/>
  <c r="J61" i="26" s="1"/>
  <c r="E61" i="26"/>
  <c r="F61" i="26" s="1"/>
  <c r="G61" i="26"/>
  <c r="I164" i="26"/>
  <c r="G118" i="26"/>
  <c r="G116" i="26"/>
  <c r="I162" i="26"/>
  <c r="H116" i="26"/>
  <c r="H65" i="26"/>
  <c r="J65" i="26" s="1"/>
  <c r="I151" i="26"/>
  <c r="G109" i="26"/>
  <c r="I160" i="26"/>
  <c r="K160" i="26" s="1"/>
  <c r="G129" i="26"/>
  <c r="E27" i="26"/>
  <c r="F27" i="26" s="1"/>
  <c r="G27" i="26"/>
  <c r="H27" i="26"/>
  <c r="J27" i="26" s="1"/>
  <c r="H117" i="26"/>
  <c r="N262" i="26"/>
  <c r="O262" i="26" s="1"/>
  <c r="F76" i="26" s="1"/>
  <c r="H76" i="26" s="1"/>
  <c r="J76" i="26" s="1"/>
  <c r="D76" i="26"/>
  <c r="G76" i="26" s="1"/>
  <c r="D76" i="21"/>
  <c r="D70" i="21"/>
  <c r="D71" i="21"/>
  <c r="D69" i="21"/>
  <c r="K42" i="21"/>
  <c r="I38" i="21"/>
  <c r="I37" i="21"/>
  <c r="D37" i="21"/>
  <c r="D38" i="21"/>
  <c r="J34" i="21"/>
  <c r="J35" i="21"/>
  <c r="J33" i="21"/>
  <c r="D31" i="21"/>
  <c r="K31" i="21"/>
  <c r="D26" i="21"/>
  <c r="D27" i="21"/>
  <c r="E82" i="21"/>
  <c r="E80" i="21"/>
  <c r="I24" i="21"/>
  <c r="I23" i="21"/>
  <c r="D61" i="21"/>
  <c r="D62" i="21"/>
  <c r="D60" i="21"/>
  <c r="D36" i="21"/>
  <c r="N25" i="21"/>
  <c r="D25" i="21"/>
  <c r="N23" i="21"/>
  <c r="D31" i="20"/>
  <c r="K31" i="20"/>
  <c r="D42" i="20"/>
  <c r="K42" i="20"/>
  <c r="I38" i="20"/>
  <c r="I37" i="20"/>
  <c r="I36" i="20"/>
  <c r="E82" i="20"/>
  <c r="E80" i="20"/>
  <c r="D70" i="20"/>
  <c r="D71" i="20"/>
  <c r="D69" i="20"/>
  <c r="D61" i="20"/>
  <c r="D62" i="20"/>
  <c r="D60" i="20"/>
  <c r="D38" i="20"/>
  <c r="D37" i="20"/>
  <c r="D36" i="20"/>
  <c r="J35" i="20"/>
  <c r="J34" i="20"/>
  <c r="J33" i="20"/>
  <c r="D27" i="20"/>
  <c r="D26" i="20"/>
  <c r="N25" i="20"/>
  <c r="D25" i="20"/>
  <c r="I24" i="20"/>
  <c r="N23" i="20"/>
  <c r="I23" i="20"/>
  <c r="D39" i="19"/>
  <c r="G39" i="19" s="1"/>
  <c r="D34" i="19"/>
  <c r="I34" i="19"/>
  <c r="D35" i="19"/>
  <c r="I35" i="19"/>
  <c r="I33" i="19"/>
  <c r="D67" i="19"/>
  <c r="D68" i="19"/>
  <c r="D69" i="19"/>
  <c r="J31" i="19"/>
  <c r="J32" i="19"/>
  <c r="D28" i="19"/>
  <c r="G28" i="19" s="1"/>
  <c r="K28" i="19"/>
  <c r="K39" i="19"/>
  <c r="D23" i="19"/>
  <c r="D24" i="19"/>
  <c r="D59" i="19"/>
  <c r="D60" i="19"/>
  <c r="D58" i="19"/>
  <c r="I21" i="19"/>
  <c r="I20" i="19"/>
  <c r="E80" i="19"/>
  <c r="E78" i="19"/>
  <c r="D33" i="19"/>
  <c r="J30" i="19"/>
  <c r="N22" i="19"/>
  <c r="N20" i="19"/>
  <c r="D22" i="19"/>
  <c r="K162" i="26" l="1"/>
  <c r="K164" i="26"/>
  <c r="D45" i="26"/>
  <c r="G45" i="26" s="1"/>
  <c r="H113" i="26"/>
  <c r="D156" i="26"/>
  <c r="H114" i="26"/>
  <c r="H134" i="26"/>
  <c r="H122" i="26"/>
  <c r="D159" i="26"/>
  <c r="R155" i="26" s="1"/>
  <c r="H124" i="26"/>
  <c r="Q153" i="26"/>
  <c r="G128" i="26"/>
  <c r="H126" i="26"/>
  <c r="P152" i="26"/>
  <c r="Q152" i="26" s="1"/>
  <c r="H127" i="26"/>
  <c r="Q151" i="26"/>
  <c r="K163" i="26"/>
  <c r="G126" i="26"/>
  <c r="N185" i="26"/>
  <c r="O185" i="26" s="1"/>
  <c r="F48" i="26" s="1"/>
  <c r="H48" i="26" s="1"/>
  <c r="J48" i="26" s="1"/>
  <c r="D48" i="26"/>
  <c r="G48" i="26" s="1"/>
  <c r="H133" i="26"/>
  <c r="D163" i="26"/>
  <c r="R154" i="26" s="1"/>
  <c r="O158" i="26"/>
  <c r="Q158" i="26" s="1"/>
  <c r="Q163" i="26" s="1"/>
  <c r="K151" i="26"/>
  <c r="K156" i="26" s="1"/>
  <c r="N184" i="26"/>
  <c r="O184" i="26" s="1"/>
  <c r="D47" i="26"/>
  <c r="G47" i="26" s="1"/>
  <c r="O255" i="26"/>
  <c r="N176" i="26"/>
  <c r="O176" i="26" s="1"/>
  <c r="F44" i="26" s="1"/>
  <c r="H44" i="26" s="1"/>
  <c r="J44" i="26" s="1"/>
  <c r="D44" i="26"/>
  <c r="G44" i="26" s="1"/>
  <c r="N175" i="26"/>
  <c r="O175" i="26" s="1"/>
  <c r="D43" i="26"/>
  <c r="G43" i="26" s="1"/>
  <c r="F74" i="26"/>
  <c r="H74" i="26" s="1"/>
  <c r="J74" i="26" s="1"/>
  <c r="O264" i="26"/>
  <c r="H128" i="26"/>
  <c r="G31" i="21"/>
  <c r="H31" i="20"/>
  <c r="J31" i="20" s="1"/>
  <c r="H42" i="20"/>
  <c r="J42" i="20" s="1"/>
  <c r="G42" i="21"/>
  <c r="G31" i="20"/>
  <c r="H39" i="19"/>
  <c r="J39" i="19" s="1"/>
  <c r="H42" i="21"/>
  <c r="J42" i="21" s="1"/>
  <c r="H31" i="21"/>
  <c r="J31" i="21" s="1"/>
  <c r="G42" i="20"/>
  <c r="H28" i="19"/>
  <c r="J28" i="19" s="1"/>
  <c r="K166" i="26" l="1"/>
  <c r="G93" i="26"/>
  <c r="H132" i="26"/>
  <c r="D162" i="26"/>
  <c r="D161" i="26"/>
  <c r="H131" i="26"/>
  <c r="O188" i="26"/>
  <c r="F47" i="26"/>
  <c r="H47" i="26" s="1"/>
  <c r="J47" i="26" s="1"/>
  <c r="Q155" i="26"/>
  <c r="O179" i="26"/>
  <c r="F43" i="26"/>
  <c r="H43" i="26" s="1"/>
  <c r="J43" i="26" s="1"/>
  <c r="E31" i="21"/>
  <c r="F31" i="21" s="1"/>
  <c r="E42" i="21"/>
  <c r="F42" i="21" s="1"/>
  <c r="E31" i="20"/>
  <c r="F31" i="20" s="1"/>
  <c r="E42" i="20"/>
  <c r="F42" i="20" s="1"/>
  <c r="R151" i="26" l="1"/>
  <c r="D139" i="26"/>
  <c r="D141" i="26" s="1"/>
  <c r="H141" i="26" s="1"/>
  <c r="D151" i="26"/>
  <c r="H111" i="26"/>
  <c r="D152" i="26"/>
  <c r="R153" i="26" s="1"/>
  <c r="H112" i="26"/>
  <c r="Q156" i="26"/>
  <c r="M60" i="26" l="1"/>
  <c r="M61" i="26" s="1"/>
  <c r="O61" i="26" s="1"/>
  <c r="D143" i="26"/>
  <c r="H143" i="26" s="1"/>
  <c r="H139" i="26"/>
  <c r="R152" i="26"/>
  <c r="R156" i="26" s="1"/>
  <c r="L166" i="26"/>
  <c r="K168" i="26" s="1"/>
  <c r="D138" i="26"/>
  <c r="O60" i="26" l="1"/>
  <c r="D142" i="26"/>
  <c r="H142" i="26" s="1"/>
  <c r="D140" i="26"/>
  <c r="H140" i="26" s="1"/>
  <c r="H138" i="26"/>
  <c r="M25" i="26"/>
  <c r="H147" i="26"/>
  <c r="D23" i="26"/>
  <c r="H168" i="26"/>
  <c r="H24" i="26"/>
  <c r="D26" i="10"/>
  <c r="D33" i="10"/>
  <c r="K33" i="10"/>
  <c r="K26" i="10"/>
  <c r="H104" i="26" l="1"/>
  <c r="H93" i="26"/>
  <c r="J24" i="26"/>
  <c r="J93" i="26" s="1"/>
  <c r="D24" i="26"/>
  <c r="F23" i="26"/>
  <c r="H169" i="26"/>
  <c r="H170" i="26"/>
  <c r="K169" i="26" s="1"/>
  <c r="D144" i="26" s="1"/>
  <c r="H144" i="26" s="1"/>
  <c r="M26" i="26"/>
  <c r="O26" i="26" s="1"/>
  <c r="O25" i="26"/>
  <c r="H26" i="10"/>
  <c r="J26" i="10" s="1"/>
  <c r="G26" i="10"/>
  <c r="F24" i="26" l="1"/>
  <c r="F93" i="26" s="1"/>
  <c r="E26" i="10"/>
  <c r="F26" i="10" s="1"/>
  <c r="E83" i="21" l="1"/>
  <c r="E81" i="21"/>
  <c r="L69" i="21"/>
  <c r="K69" i="21"/>
  <c r="E83" i="20"/>
  <c r="C103" i="20" s="1"/>
  <c r="F103" i="20" s="1"/>
  <c r="E81" i="20"/>
  <c r="C102" i="20" s="1"/>
  <c r="F102" i="20" s="1"/>
  <c r="E79" i="19"/>
  <c r="E81" i="19"/>
  <c r="C92" i="20"/>
  <c r="F92" i="20" s="1"/>
  <c r="C91" i="20"/>
  <c r="E94" i="20" l="1"/>
  <c r="E105" i="20"/>
  <c r="F91" i="20"/>
  <c r="N6" i="21" l="1"/>
  <c r="N5" i="21"/>
  <c r="N4" i="21"/>
  <c r="N3" i="21"/>
  <c r="N6" i="20"/>
  <c r="N5" i="20"/>
  <c r="N4" i="20"/>
  <c r="N3" i="20"/>
  <c r="K40" i="20" l="1"/>
  <c r="K29" i="20"/>
  <c r="F73" i="21"/>
  <c r="K39" i="21"/>
  <c r="K28" i="21"/>
  <c r="K30" i="20"/>
  <c r="K41" i="20"/>
  <c r="K29" i="21"/>
  <c r="K40" i="21"/>
  <c r="K30" i="21"/>
  <c r="K41" i="21"/>
  <c r="F73" i="20"/>
  <c r="K39" i="20"/>
  <c r="K28" i="20"/>
  <c r="N6" i="19" l="1"/>
  <c r="N5" i="19"/>
  <c r="N4" i="19"/>
  <c r="K38" i="19" l="1"/>
  <c r="K27" i="19"/>
  <c r="K36" i="19"/>
  <c r="K25" i="19"/>
  <c r="K26" i="19"/>
  <c r="K37" i="19"/>
  <c r="F71" i="19"/>
  <c r="E28" i="19" l="1"/>
  <c r="F28" i="19" s="1"/>
  <c r="E39" i="19" l="1"/>
  <c r="F39" i="19" s="1"/>
  <c r="C44" i="10" l="1"/>
  <c r="R21" i="10"/>
  <c r="E73" i="10"/>
  <c r="N22" i="10" l="1"/>
  <c r="N24" i="10"/>
  <c r="E71" i="10"/>
  <c r="D29" i="10"/>
  <c r="I29" i="10"/>
  <c r="J28" i="10"/>
  <c r="D57" i="10"/>
  <c r="D50" i="10"/>
  <c r="D22" i="10"/>
  <c r="N6" i="10"/>
  <c r="N5" i="10"/>
  <c r="N4" i="10"/>
  <c r="K30" i="10" s="1"/>
  <c r="G7" i="10"/>
  <c r="F7" i="10"/>
  <c r="S21" i="10"/>
  <c r="H7" i="10" l="1"/>
  <c r="K25" i="10"/>
  <c r="K32" i="10"/>
  <c r="H33" i="10"/>
  <c r="J33" i="10" s="1"/>
  <c r="G33" i="10"/>
  <c r="K24" i="10"/>
  <c r="K31" i="10"/>
  <c r="K23" i="10"/>
  <c r="E33" i="10" l="1"/>
  <c r="F33" i="10" s="1"/>
  <c r="D78" i="10" l="1"/>
  <c r="D86" i="21"/>
  <c r="C53" i="21" s="1"/>
  <c r="F76" i="21"/>
  <c r="H76" i="21" s="1"/>
  <c r="F75" i="21"/>
  <c r="F74" i="21"/>
  <c r="F67" i="21"/>
  <c r="D67" i="21"/>
  <c r="H67" i="21" s="1"/>
  <c r="F66" i="21"/>
  <c r="F65" i="21"/>
  <c r="F64" i="21"/>
  <c r="M15" i="21"/>
  <c r="J15" i="21"/>
  <c r="D15" i="21"/>
  <c r="C15" i="21"/>
  <c r="H12" i="21"/>
  <c r="M11" i="21"/>
  <c r="D86" i="20"/>
  <c r="C52" i="20" s="1"/>
  <c r="F76" i="20"/>
  <c r="D76" i="20"/>
  <c r="F75" i="20"/>
  <c r="F74" i="20"/>
  <c r="F67" i="20"/>
  <c r="D67" i="20"/>
  <c r="F66" i="20"/>
  <c r="F65" i="20"/>
  <c r="F64" i="20"/>
  <c r="M15" i="20"/>
  <c r="J15" i="20"/>
  <c r="D15" i="20"/>
  <c r="C15" i="20"/>
  <c r="H12" i="20"/>
  <c r="M11" i="20"/>
  <c r="I6" i="21" l="1"/>
  <c r="I9" i="21"/>
  <c r="K9" i="21" s="1"/>
  <c r="J9" i="21"/>
  <c r="J6" i="21"/>
  <c r="F60" i="21" s="1"/>
  <c r="I8" i="21"/>
  <c r="J8" i="21"/>
  <c r="J7" i="21"/>
  <c r="I7" i="21"/>
  <c r="X8" i="21"/>
  <c r="Q25" i="21" s="1"/>
  <c r="R25" i="21" s="1"/>
  <c r="X6" i="21"/>
  <c r="Q23" i="21" s="1"/>
  <c r="R23" i="21" s="1"/>
  <c r="X7" i="21"/>
  <c r="Q24" i="21" s="1"/>
  <c r="R24" i="21" s="1"/>
  <c r="I9" i="20"/>
  <c r="J9" i="20"/>
  <c r="I8" i="20"/>
  <c r="J7" i="20"/>
  <c r="F61" i="20" s="1"/>
  <c r="K27" i="20" s="1"/>
  <c r="H27" i="20" s="1"/>
  <c r="I7" i="20"/>
  <c r="J6" i="20"/>
  <c r="I6" i="20"/>
  <c r="E60" i="20" s="1"/>
  <c r="K22" i="20" s="1"/>
  <c r="H22" i="20" s="1"/>
  <c r="J8" i="20"/>
  <c r="F62" i="20" s="1"/>
  <c r="K26" i="20" s="1"/>
  <c r="H26" i="20" s="1"/>
  <c r="X7" i="20"/>
  <c r="R32" i="20" s="1"/>
  <c r="S32" i="20" s="1"/>
  <c r="X6" i="20"/>
  <c r="R31" i="20" s="1"/>
  <c r="S31" i="20" s="1"/>
  <c r="X8" i="20"/>
  <c r="F61" i="21"/>
  <c r="E61" i="21"/>
  <c r="K24" i="21" s="1"/>
  <c r="E60" i="21"/>
  <c r="F86" i="21"/>
  <c r="E53" i="21" s="1"/>
  <c r="F86" i="20"/>
  <c r="E52" i="20" s="1"/>
  <c r="E61" i="20"/>
  <c r="K24" i="20" s="1"/>
  <c r="H24" i="20" s="1"/>
  <c r="F60" i="20"/>
  <c r="K15" i="20"/>
  <c r="K15" i="21"/>
  <c r="H67" i="20"/>
  <c r="H76" i="20"/>
  <c r="G136" i="21"/>
  <c r="R33" i="20"/>
  <c r="S33" i="20" s="1"/>
  <c r="E130" i="21"/>
  <c r="G130" i="21"/>
  <c r="D131" i="21"/>
  <c r="E131" i="21"/>
  <c r="D133" i="21"/>
  <c r="L15" i="21"/>
  <c r="D129" i="21"/>
  <c r="E129" i="21"/>
  <c r="E133" i="21"/>
  <c r="D135" i="21"/>
  <c r="E135" i="21"/>
  <c r="E128" i="21"/>
  <c r="G128" i="21"/>
  <c r="G178" i="20"/>
  <c r="D171" i="20"/>
  <c r="D173" i="20"/>
  <c r="L15" i="20"/>
  <c r="D175" i="20"/>
  <c r="D177" i="20"/>
  <c r="F129" i="21"/>
  <c r="F131" i="21"/>
  <c r="F133" i="21"/>
  <c r="F135" i="21"/>
  <c r="G129" i="21"/>
  <c r="G131" i="21"/>
  <c r="G133" i="21"/>
  <c r="G135" i="21"/>
  <c r="F62" i="21"/>
  <c r="K26" i="21" s="1"/>
  <c r="D128" i="21"/>
  <c r="D130" i="21"/>
  <c r="D132" i="21"/>
  <c r="D134" i="21"/>
  <c r="D136" i="21"/>
  <c r="E132" i="21"/>
  <c r="E134" i="21"/>
  <c r="E136" i="21"/>
  <c r="F128" i="21"/>
  <c r="F130" i="21"/>
  <c r="F132" i="21"/>
  <c r="F134" i="21"/>
  <c r="F136" i="21"/>
  <c r="G132" i="21"/>
  <c r="G134" i="21"/>
  <c r="E173" i="20"/>
  <c r="E175" i="20"/>
  <c r="E177" i="20"/>
  <c r="E179" i="20"/>
  <c r="G171" i="20"/>
  <c r="G173" i="20"/>
  <c r="G175" i="20"/>
  <c r="G177" i="20"/>
  <c r="D170" i="20"/>
  <c r="D172" i="20"/>
  <c r="D174" i="20"/>
  <c r="D176" i="20"/>
  <c r="D178" i="20"/>
  <c r="E172" i="20"/>
  <c r="E174" i="20"/>
  <c r="E176" i="20"/>
  <c r="E178" i="20"/>
  <c r="E180" i="20"/>
  <c r="F170" i="20"/>
  <c r="F172" i="20"/>
  <c r="F174" i="20"/>
  <c r="F176" i="20"/>
  <c r="F178" i="20"/>
  <c r="F171" i="20"/>
  <c r="F173" i="20"/>
  <c r="F175" i="20"/>
  <c r="F177" i="20"/>
  <c r="G170" i="20"/>
  <c r="G172" i="20"/>
  <c r="G174" i="20"/>
  <c r="G176" i="20"/>
  <c r="D84" i="19"/>
  <c r="C49" i="19" s="1"/>
  <c r="D74" i="19"/>
  <c r="F74" i="19"/>
  <c r="F73" i="19"/>
  <c r="F72" i="19"/>
  <c r="F65" i="19"/>
  <c r="D65" i="19"/>
  <c r="F64" i="19"/>
  <c r="F63" i="19"/>
  <c r="F62" i="19"/>
  <c r="M15" i="19"/>
  <c r="J15" i="19"/>
  <c r="D15" i="19"/>
  <c r="C15" i="19"/>
  <c r="H12" i="19"/>
  <c r="M11" i="19"/>
  <c r="K7" i="21" l="1"/>
  <c r="K8" i="21"/>
  <c r="K6" i="21"/>
  <c r="D74" i="20"/>
  <c r="H74" i="20" s="1"/>
  <c r="K6" i="20"/>
  <c r="K7" i="20"/>
  <c r="K8" i="20"/>
  <c r="K9" i="20"/>
  <c r="X6" i="19"/>
  <c r="Q20" i="19" s="1"/>
  <c r="R20" i="19" s="1"/>
  <c r="X7" i="19"/>
  <c r="Q21" i="19" s="1"/>
  <c r="R21" i="19" s="1"/>
  <c r="X8" i="19"/>
  <c r="Q22" i="19" s="1"/>
  <c r="R22" i="19" s="1"/>
  <c r="J9" i="19"/>
  <c r="F84" i="19" s="1"/>
  <c r="E49" i="19" s="1"/>
  <c r="I9" i="19"/>
  <c r="I7" i="19"/>
  <c r="E59" i="19" s="1"/>
  <c r="J8" i="19"/>
  <c r="J6" i="19"/>
  <c r="F58" i="19" s="1"/>
  <c r="I6" i="19"/>
  <c r="J7" i="19"/>
  <c r="F59" i="19" s="1"/>
  <c r="K24" i="19" s="1"/>
  <c r="I8" i="19"/>
  <c r="E60" i="19" s="1"/>
  <c r="K20" i="19" s="1"/>
  <c r="D28" i="21"/>
  <c r="D39" i="21"/>
  <c r="D73" i="21"/>
  <c r="D28" i="20"/>
  <c r="H28" i="20" s="1"/>
  <c r="D39" i="20"/>
  <c r="H39" i="20" s="1"/>
  <c r="K15" i="19"/>
  <c r="H60" i="21"/>
  <c r="D75" i="21"/>
  <c r="D41" i="21"/>
  <c r="D74" i="21"/>
  <c r="H74" i="21" s="1"/>
  <c r="D40" i="21"/>
  <c r="D64" i="20"/>
  <c r="H64" i="20" s="1"/>
  <c r="D30" i="20"/>
  <c r="H30" i="20" s="1"/>
  <c r="D41" i="20"/>
  <c r="H41" i="20" s="1"/>
  <c r="D66" i="20"/>
  <c r="H66" i="20" s="1"/>
  <c r="D40" i="20"/>
  <c r="H40" i="20" s="1"/>
  <c r="D29" i="20"/>
  <c r="H29" i="20" s="1"/>
  <c r="D65" i="20"/>
  <c r="H65" i="20" s="1"/>
  <c r="G26" i="20"/>
  <c r="J26" i="20"/>
  <c r="K37" i="20"/>
  <c r="H37" i="20" s="1"/>
  <c r="G27" i="20"/>
  <c r="J27" i="20"/>
  <c r="F69" i="20"/>
  <c r="K25" i="20"/>
  <c r="H25" i="20" s="1"/>
  <c r="G24" i="20"/>
  <c r="J24" i="20"/>
  <c r="J22" i="20"/>
  <c r="G22" i="20"/>
  <c r="K37" i="21"/>
  <c r="K35" i="21"/>
  <c r="E69" i="21"/>
  <c r="K22" i="21"/>
  <c r="F69" i="21"/>
  <c r="K25" i="21"/>
  <c r="D64" i="21"/>
  <c r="H64" i="21" s="1"/>
  <c r="D30" i="21"/>
  <c r="D66" i="21"/>
  <c r="H66" i="21" s="1"/>
  <c r="G24" i="21"/>
  <c r="H24" i="21"/>
  <c r="J24" i="21" s="1"/>
  <c r="F70" i="21"/>
  <c r="K27" i="21"/>
  <c r="D29" i="21"/>
  <c r="H26" i="21"/>
  <c r="J26" i="21" s="1"/>
  <c r="G26" i="21"/>
  <c r="D65" i="21"/>
  <c r="H65" i="21" s="1"/>
  <c r="F71" i="21"/>
  <c r="K33" i="20"/>
  <c r="F70" i="20"/>
  <c r="F71" i="20"/>
  <c r="H65" i="19"/>
  <c r="H74" i="19"/>
  <c r="G60" i="21"/>
  <c r="D73" i="20"/>
  <c r="E70" i="21"/>
  <c r="R26" i="21"/>
  <c r="G134" i="19"/>
  <c r="S34" i="20"/>
  <c r="G61" i="21"/>
  <c r="H61" i="21"/>
  <c r="E62" i="21"/>
  <c r="K23" i="21" s="1"/>
  <c r="E86" i="21"/>
  <c r="E86" i="20"/>
  <c r="G61" i="20"/>
  <c r="H61" i="20"/>
  <c r="E70" i="20"/>
  <c r="E62" i="20"/>
  <c r="K23" i="20" s="1"/>
  <c r="H23" i="20" s="1"/>
  <c r="E131" i="19"/>
  <c r="D133" i="19"/>
  <c r="E58" i="19"/>
  <c r="K19" i="19" s="1"/>
  <c r="E133" i="19"/>
  <c r="L15" i="19"/>
  <c r="D127" i="19"/>
  <c r="E127" i="19"/>
  <c r="D129" i="19"/>
  <c r="E129" i="19"/>
  <c r="D131" i="19"/>
  <c r="D126" i="19"/>
  <c r="D128" i="19"/>
  <c r="D130" i="19"/>
  <c r="D132" i="19"/>
  <c r="D134" i="19"/>
  <c r="F127" i="19"/>
  <c r="F131" i="19"/>
  <c r="G129" i="19"/>
  <c r="G131" i="19"/>
  <c r="G133" i="19"/>
  <c r="E126" i="19"/>
  <c r="E128" i="19"/>
  <c r="E130" i="19"/>
  <c r="E132" i="19"/>
  <c r="E134" i="19"/>
  <c r="F126" i="19"/>
  <c r="F128" i="19"/>
  <c r="F130" i="19"/>
  <c r="F132" i="19"/>
  <c r="F134" i="19"/>
  <c r="F129" i="19"/>
  <c r="F133" i="19"/>
  <c r="G127" i="19"/>
  <c r="G126" i="19"/>
  <c r="G128" i="19"/>
  <c r="G130" i="19"/>
  <c r="G132" i="19"/>
  <c r="K6" i="19" l="1"/>
  <c r="R23" i="19"/>
  <c r="K9" i="19"/>
  <c r="F68" i="19"/>
  <c r="G59" i="19"/>
  <c r="K21" i="19"/>
  <c r="H59" i="19"/>
  <c r="G24" i="19"/>
  <c r="H24" i="19"/>
  <c r="J24" i="19" s="1"/>
  <c r="K35" i="19"/>
  <c r="E84" i="19"/>
  <c r="D49" i="19" s="1"/>
  <c r="F49" i="19" s="1"/>
  <c r="K8" i="19"/>
  <c r="K7" i="19"/>
  <c r="H69" i="21"/>
  <c r="E27" i="20"/>
  <c r="F27" i="20" s="1"/>
  <c r="D25" i="19"/>
  <c r="D36" i="19"/>
  <c r="E22" i="20"/>
  <c r="J39" i="20"/>
  <c r="G39" i="20"/>
  <c r="J28" i="20"/>
  <c r="G28" i="20"/>
  <c r="H39" i="21"/>
  <c r="J39" i="21" s="1"/>
  <c r="G39" i="21"/>
  <c r="G28" i="21"/>
  <c r="H28" i="21"/>
  <c r="J28" i="21" s="1"/>
  <c r="E26" i="20"/>
  <c r="F26" i="20" s="1"/>
  <c r="G69" i="21"/>
  <c r="E26" i="21"/>
  <c r="F26" i="21" s="1"/>
  <c r="E24" i="21"/>
  <c r="F24" i="21" s="1"/>
  <c r="H86" i="21"/>
  <c r="D53" i="21"/>
  <c r="F53" i="21" s="1"/>
  <c r="G40" i="21"/>
  <c r="H40" i="21"/>
  <c r="J40" i="21" s="1"/>
  <c r="H41" i="21"/>
  <c r="J41" i="21" s="1"/>
  <c r="G41" i="21"/>
  <c r="E24" i="20"/>
  <c r="F24" i="20" s="1"/>
  <c r="J29" i="20"/>
  <c r="G29" i="20"/>
  <c r="G40" i="20"/>
  <c r="J40" i="20"/>
  <c r="G41" i="20"/>
  <c r="J41" i="20"/>
  <c r="J30" i="20"/>
  <c r="G30" i="20"/>
  <c r="D26" i="19"/>
  <c r="G26" i="19" s="1"/>
  <c r="D38" i="19"/>
  <c r="D37" i="19"/>
  <c r="K34" i="21"/>
  <c r="K36" i="21"/>
  <c r="K38" i="21"/>
  <c r="H86" i="20"/>
  <c r="D52" i="20"/>
  <c r="F52" i="20" s="1"/>
  <c r="G37" i="21"/>
  <c r="H37" i="21"/>
  <c r="J37" i="21" s="1"/>
  <c r="K31" i="19"/>
  <c r="J23" i="20"/>
  <c r="K34" i="20"/>
  <c r="G23" i="20"/>
  <c r="G33" i="20"/>
  <c r="E33" i="20" s="1"/>
  <c r="K33" i="21"/>
  <c r="G37" i="20"/>
  <c r="J37" i="20"/>
  <c r="G35" i="21"/>
  <c r="E35" i="21" s="1"/>
  <c r="J25" i="20"/>
  <c r="G25" i="20"/>
  <c r="G30" i="21"/>
  <c r="H30" i="21"/>
  <c r="J30" i="21" s="1"/>
  <c r="H27" i="21"/>
  <c r="J27" i="21" s="1"/>
  <c r="G27" i="21"/>
  <c r="G25" i="21"/>
  <c r="H25" i="21"/>
  <c r="J25" i="21" s="1"/>
  <c r="H29" i="21"/>
  <c r="J29" i="21" s="1"/>
  <c r="G29" i="21"/>
  <c r="H22" i="21"/>
  <c r="J22" i="21" s="1"/>
  <c r="G22" i="21"/>
  <c r="G23" i="21"/>
  <c r="H23" i="21"/>
  <c r="J23" i="21" s="1"/>
  <c r="H70" i="21"/>
  <c r="H73" i="21"/>
  <c r="H75" i="21"/>
  <c r="H73" i="20"/>
  <c r="D75" i="20"/>
  <c r="H75" i="20" s="1"/>
  <c r="K38" i="20"/>
  <c r="H38" i="20" s="1"/>
  <c r="K36" i="20"/>
  <c r="H36" i="20" s="1"/>
  <c r="K35" i="20"/>
  <c r="D72" i="19"/>
  <c r="H72" i="19" s="1"/>
  <c r="F67" i="19"/>
  <c r="K22" i="19"/>
  <c r="G20" i="19"/>
  <c r="H20" i="19"/>
  <c r="D71" i="19"/>
  <c r="H71" i="19" s="1"/>
  <c r="D27" i="19"/>
  <c r="D64" i="19"/>
  <c r="H64" i="19" s="1"/>
  <c r="H19" i="19"/>
  <c r="G19" i="19"/>
  <c r="D63" i="19"/>
  <c r="H63" i="19" s="1"/>
  <c r="F60" i="19"/>
  <c r="K30" i="19"/>
  <c r="D62" i="19"/>
  <c r="H62" i="19" s="1"/>
  <c r="G70" i="21"/>
  <c r="J83" i="19"/>
  <c r="E67" i="19"/>
  <c r="E71" i="21"/>
  <c r="H62" i="21"/>
  <c r="D80" i="21" s="1"/>
  <c r="M22" i="21" s="1"/>
  <c r="G62" i="21"/>
  <c r="H62" i="20"/>
  <c r="E71" i="20"/>
  <c r="G62" i="20"/>
  <c r="G70" i="20"/>
  <c r="H70" i="20"/>
  <c r="E69" i="20"/>
  <c r="H60" i="20"/>
  <c r="G60" i="20"/>
  <c r="G58" i="19"/>
  <c r="H58" i="19"/>
  <c r="E24" i="19" l="1"/>
  <c r="F24" i="19" s="1"/>
  <c r="H35" i="19"/>
  <c r="J35" i="19" s="1"/>
  <c r="G35" i="19"/>
  <c r="H84" i="19"/>
  <c r="G21" i="19"/>
  <c r="H21" i="19"/>
  <c r="J21" i="19" s="1"/>
  <c r="K32" i="19"/>
  <c r="G32" i="19" s="1"/>
  <c r="E32" i="19" s="1"/>
  <c r="F32" i="19" s="1"/>
  <c r="E39" i="21"/>
  <c r="F39" i="21" s="1"/>
  <c r="E28" i="21"/>
  <c r="F28" i="21" s="1"/>
  <c r="E39" i="20"/>
  <c r="F39" i="20" s="1"/>
  <c r="E28" i="20"/>
  <c r="F28" i="20" s="1"/>
  <c r="E40" i="20"/>
  <c r="F40" i="20" s="1"/>
  <c r="H36" i="19"/>
  <c r="J36" i="19" s="1"/>
  <c r="G36" i="19"/>
  <c r="H104" i="20"/>
  <c r="H25" i="19"/>
  <c r="J25" i="19" s="1"/>
  <c r="G25" i="19"/>
  <c r="H26" i="19"/>
  <c r="J26" i="19" s="1"/>
  <c r="E26" i="19" s="1"/>
  <c r="F26" i="19" s="1"/>
  <c r="E23" i="20"/>
  <c r="F23" i="20" s="1"/>
  <c r="E25" i="21"/>
  <c r="F25" i="21" s="1"/>
  <c r="E27" i="21"/>
  <c r="F27" i="21" s="1"/>
  <c r="E37" i="21"/>
  <c r="F37" i="21" s="1"/>
  <c r="E29" i="21"/>
  <c r="F29" i="21" s="1"/>
  <c r="E41" i="21"/>
  <c r="F41" i="21" s="1"/>
  <c r="E40" i="21"/>
  <c r="F40" i="21" s="1"/>
  <c r="E22" i="21"/>
  <c r="F22" i="21" s="1"/>
  <c r="E41" i="20"/>
  <c r="F41" i="20" s="1"/>
  <c r="E29" i="20"/>
  <c r="F29" i="20" s="1"/>
  <c r="E25" i="20"/>
  <c r="F25" i="20" s="1"/>
  <c r="E30" i="20"/>
  <c r="F30" i="20" s="1"/>
  <c r="G37" i="19"/>
  <c r="H37" i="19"/>
  <c r="J37" i="19" s="1"/>
  <c r="H38" i="19"/>
  <c r="J38" i="19" s="1"/>
  <c r="G38" i="19"/>
  <c r="G35" i="20"/>
  <c r="E35" i="20" s="1"/>
  <c r="F35" i="20" s="1"/>
  <c r="E37" i="20"/>
  <c r="F37" i="20" s="1"/>
  <c r="G34" i="20"/>
  <c r="E34" i="20" s="1"/>
  <c r="F34" i="20" s="1"/>
  <c r="H67" i="19"/>
  <c r="G38" i="21"/>
  <c r="H38" i="21"/>
  <c r="J38" i="21" s="1"/>
  <c r="G22" i="19"/>
  <c r="G33" i="21"/>
  <c r="E33" i="21" s="1"/>
  <c r="F33" i="21" s="1"/>
  <c r="G31" i="19"/>
  <c r="E31" i="19" s="1"/>
  <c r="F31" i="19" s="1"/>
  <c r="G36" i="21"/>
  <c r="H36" i="21"/>
  <c r="J36" i="21" s="1"/>
  <c r="F33" i="20"/>
  <c r="G34" i="21"/>
  <c r="G30" i="19"/>
  <c r="E30" i="19" s="1"/>
  <c r="F30" i="19" s="1"/>
  <c r="F35" i="21"/>
  <c r="E23" i="21"/>
  <c r="F23" i="21" s="1"/>
  <c r="E30" i="21"/>
  <c r="F30" i="21" s="1"/>
  <c r="D85" i="21"/>
  <c r="H85" i="21" s="1"/>
  <c r="J38" i="20"/>
  <c r="G38" i="20"/>
  <c r="G36" i="20"/>
  <c r="J36" i="20"/>
  <c r="F22" i="20"/>
  <c r="G60" i="19"/>
  <c r="K23" i="19"/>
  <c r="H22" i="19"/>
  <c r="J22" i="19" s="1"/>
  <c r="K33" i="19"/>
  <c r="D73" i="19"/>
  <c r="H73" i="19" s="1"/>
  <c r="H27" i="19"/>
  <c r="J27" i="19" s="1"/>
  <c r="G27" i="19"/>
  <c r="F69" i="19"/>
  <c r="H60" i="19"/>
  <c r="J20" i="19"/>
  <c r="E20" i="19" s="1"/>
  <c r="J19" i="19"/>
  <c r="E19" i="19" s="1"/>
  <c r="E69" i="19"/>
  <c r="D80" i="20"/>
  <c r="M22" i="20" s="1"/>
  <c r="D91" i="20"/>
  <c r="H93" i="20"/>
  <c r="D84" i="21"/>
  <c r="H84" i="21" s="1"/>
  <c r="H80" i="21"/>
  <c r="D82" i="21"/>
  <c r="G67" i="19"/>
  <c r="E68" i="19"/>
  <c r="H68" i="19" s="1"/>
  <c r="C90" i="21"/>
  <c r="C93" i="21"/>
  <c r="C92" i="21"/>
  <c r="C91" i="21"/>
  <c r="H71" i="21"/>
  <c r="D81" i="21" s="1"/>
  <c r="G71" i="21"/>
  <c r="C133" i="20"/>
  <c r="C132" i="20"/>
  <c r="C134" i="20"/>
  <c r="C135" i="20"/>
  <c r="H69" i="20"/>
  <c r="G69" i="20"/>
  <c r="H71" i="20"/>
  <c r="G71" i="20"/>
  <c r="E35" i="19" l="1"/>
  <c r="F35" i="19" s="1"/>
  <c r="E36" i="19"/>
  <c r="F36" i="19" s="1"/>
  <c r="E25" i="19"/>
  <c r="F25" i="19" s="1"/>
  <c r="E38" i="19"/>
  <c r="F38" i="19" s="1"/>
  <c r="E37" i="19"/>
  <c r="F37" i="19" s="1"/>
  <c r="E36" i="21"/>
  <c r="F36" i="21" s="1"/>
  <c r="E38" i="21"/>
  <c r="F38" i="21" s="1"/>
  <c r="E36" i="20"/>
  <c r="F36" i="20" s="1"/>
  <c r="E38" i="20"/>
  <c r="F38" i="20" s="1"/>
  <c r="E27" i="19"/>
  <c r="F27" i="19" s="1"/>
  <c r="E22" i="19"/>
  <c r="F22" i="19" s="1"/>
  <c r="K34" i="19"/>
  <c r="G23" i="19"/>
  <c r="E21" i="19"/>
  <c r="F21" i="19" s="1"/>
  <c r="G33" i="19"/>
  <c r="H33" i="19"/>
  <c r="J33" i="19" s="1"/>
  <c r="E34" i="21"/>
  <c r="F34" i="21" s="1"/>
  <c r="H82" i="21"/>
  <c r="G51" i="21"/>
  <c r="H51" i="21"/>
  <c r="J51" i="21"/>
  <c r="J50" i="20"/>
  <c r="G50" i="20"/>
  <c r="H50" i="20"/>
  <c r="D83" i="19"/>
  <c r="H83" i="19" s="1"/>
  <c r="H23" i="19"/>
  <c r="H69" i="19"/>
  <c r="D79" i="19" s="1"/>
  <c r="M20" i="19" s="1"/>
  <c r="F20" i="19"/>
  <c r="G69" i="19"/>
  <c r="F19" i="19"/>
  <c r="D102" i="20"/>
  <c r="D83" i="21"/>
  <c r="H81" i="21"/>
  <c r="D81" i="20"/>
  <c r="M23" i="20" s="1"/>
  <c r="H80" i="20"/>
  <c r="D82" i="20"/>
  <c r="M24" i="20" s="1"/>
  <c r="G68" i="19"/>
  <c r="C89" i="19"/>
  <c r="C91" i="19"/>
  <c r="C90" i="19"/>
  <c r="D78" i="19"/>
  <c r="C88" i="19"/>
  <c r="E33" i="19" l="1"/>
  <c r="F33" i="19" s="1"/>
  <c r="F50" i="20"/>
  <c r="H34" i="19"/>
  <c r="J34" i="19" s="1"/>
  <c r="G34" i="19"/>
  <c r="G47" i="19" s="1"/>
  <c r="F51" i="21"/>
  <c r="H83" i="21"/>
  <c r="H58" i="21" s="1"/>
  <c r="M23" i="21"/>
  <c r="O22" i="21"/>
  <c r="M24" i="21"/>
  <c r="O24" i="21" s="1"/>
  <c r="H81" i="20"/>
  <c r="H82" i="20"/>
  <c r="J23" i="19"/>
  <c r="D80" i="19"/>
  <c r="H80" i="19" s="1"/>
  <c r="M19" i="19"/>
  <c r="M22" i="19"/>
  <c r="O22" i="19" s="1"/>
  <c r="O20" i="19"/>
  <c r="H96" i="20"/>
  <c r="D93" i="20"/>
  <c r="I93" i="20"/>
  <c r="D92" i="20"/>
  <c r="G92" i="20" s="1"/>
  <c r="G91" i="20"/>
  <c r="H79" i="19"/>
  <c r="D81" i="19"/>
  <c r="H81" i="19" s="1"/>
  <c r="D83" i="20"/>
  <c r="C94" i="21"/>
  <c r="C95" i="21" s="1"/>
  <c r="H78" i="19"/>
  <c r="D82" i="19"/>
  <c r="H82" i="19" s="1"/>
  <c r="E34" i="19" l="1"/>
  <c r="F34" i="19" s="1"/>
  <c r="J47" i="19"/>
  <c r="H47" i="19"/>
  <c r="E23" i="19"/>
  <c r="F23" i="19" s="1"/>
  <c r="O23" i="21"/>
  <c r="M25" i="21"/>
  <c r="O25" i="21" s="1"/>
  <c r="H83" i="20"/>
  <c r="M25" i="20"/>
  <c r="O25" i="20" s="1"/>
  <c r="O23" i="20"/>
  <c r="O24" i="20"/>
  <c r="O22" i="20"/>
  <c r="O19" i="19"/>
  <c r="M21" i="19"/>
  <c r="O21" i="19" s="1"/>
  <c r="G93" i="20"/>
  <c r="D84" i="20"/>
  <c r="H84" i="20" s="1"/>
  <c r="C136" i="20" s="1"/>
  <c r="C137" i="20" s="1"/>
  <c r="H56" i="19"/>
  <c r="C92" i="19"/>
  <c r="C93" i="19" s="1"/>
  <c r="F47" i="19" l="1"/>
  <c r="H58" i="20"/>
  <c r="D104" i="20"/>
  <c r="H107" i="20"/>
  <c r="I104" i="20"/>
  <c r="G102" i="20"/>
  <c r="D103" i="20"/>
  <c r="G103" i="20" s="1"/>
  <c r="G104" i="20" l="1"/>
  <c r="D85" i="20"/>
  <c r="H85" i="20" s="1"/>
  <c r="D81" i="17" l="1"/>
  <c r="M107" i="17"/>
  <c r="H95" i="17"/>
  <c r="C226" i="17"/>
  <c r="C225" i="17"/>
  <c r="C224" i="17"/>
  <c r="C223" i="17"/>
  <c r="C217" i="17"/>
  <c r="C216" i="17"/>
  <c r="C215" i="17"/>
  <c r="C214" i="17"/>
  <c r="C208" i="17"/>
  <c r="C207" i="17"/>
  <c r="C206" i="17"/>
  <c r="C205" i="17"/>
  <c r="C199" i="17"/>
  <c r="C198" i="17"/>
  <c r="C197" i="17"/>
  <c r="C196" i="17"/>
  <c r="C187" i="17"/>
  <c r="K186" i="17"/>
  <c r="C186" i="17"/>
  <c r="N186" i="17" s="1"/>
  <c r="O186" i="17" s="1"/>
  <c r="C185" i="17"/>
  <c r="K184" i="17"/>
  <c r="C184" i="17"/>
  <c r="N184" i="17" s="1"/>
  <c r="O184" i="17" s="1"/>
  <c r="K181" i="17"/>
  <c r="K220" i="17" s="1"/>
  <c r="C178" i="17"/>
  <c r="K177" i="17"/>
  <c r="C177" i="17"/>
  <c r="N177" i="17" s="1"/>
  <c r="O177" i="17" s="1"/>
  <c r="C176" i="17"/>
  <c r="K175" i="17"/>
  <c r="C175" i="17"/>
  <c r="N175" i="17" s="1"/>
  <c r="O175" i="17" s="1"/>
  <c r="K172" i="17"/>
  <c r="K211" i="17" s="1"/>
  <c r="K169" i="17"/>
  <c r="C169" i="17"/>
  <c r="N169" i="17" s="1"/>
  <c r="O169" i="17" s="1"/>
  <c r="K168" i="17"/>
  <c r="C168" i="17"/>
  <c r="N168" i="17" s="1"/>
  <c r="O168" i="17" s="1"/>
  <c r="K167" i="17"/>
  <c r="C167" i="17"/>
  <c r="N167" i="17" s="1"/>
  <c r="O167" i="17" s="1"/>
  <c r="K166" i="17"/>
  <c r="C166" i="17"/>
  <c r="N166" i="17" s="1"/>
  <c r="O166" i="17" s="1"/>
  <c r="K163" i="17"/>
  <c r="K202" i="17" s="1"/>
  <c r="C160" i="17"/>
  <c r="C159" i="17"/>
  <c r="C158" i="17"/>
  <c r="C157" i="17"/>
  <c r="K154" i="17"/>
  <c r="K160" i="17" s="1"/>
  <c r="C150" i="17"/>
  <c r="K149" i="17"/>
  <c r="C149" i="17"/>
  <c r="N149" i="17" s="1"/>
  <c r="O149" i="17" s="1"/>
  <c r="C148" i="17"/>
  <c r="K147" i="17"/>
  <c r="C147" i="17"/>
  <c r="N147" i="17" s="1"/>
  <c r="O147" i="17" s="1"/>
  <c r="K144" i="17"/>
  <c r="C141" i="17"/>
  <c r="K140" i="17"/>
  <c r="C140" i="17"/>
  <c r="N140" i="17" s="1"/>
  <c r="O140" i="17" s="1"/>
  <c r="C139" i="17"/>
  <c r="K138" i="17"/>
  <c r="C138" i="17"/>
  <c r="N138" i="17" s="1"/>
  <c r="O138" i="17" s="1"/>
  <c r="K135" i="17"/>
  <c r="K132" i="17"/>
  <c r="C132" i="17"/>
  <c r="N132" i="17" s="1"/>
  <c r="O132" i="17" s="1"/>
  <c r="K131" i="17"/>
  <c r="C131" i="17"/>
  <c r="N131" i="17" s="1"/>
  <c r="O131" i="17" s="1"/>
  <c r="K130" i="17"/>
  <c r="C130" i="17"/>
  <c r="N130" i="17" s="1"/>
  <c r="O130" i="17" s="1"/>
  <c r="K129" i="17"/>
  <c r="C129" i="17"/>
  <c r="N129" i="17" s="1"/>
  <c r="O129" i="17" s="1"/>
  <c r="K126" i="17"/>
  <c r="C123" i="17"/>
  <c r="C122" i="17"/>
  <c r="C121" i="17"/>
  <c r="C120" i="17"/>
  <c r="K117" i="17"/>
  <c r="J99" i="17"/>
  <c r="H99" i="17"/>
  <c r="K99" i="17" s="1"/>
  <c r="J98" i="17"/>
  <c r="H98" i="17"/>
  <c r="H97" i="17"/>
  <c r="H96" i="17"/>
  <c r="J93" i="17"/>
  <c r="H93" i="17"/>
  <c r="K93" i="17" s="1"/>
  <c r="J92" i="17"/>
  <c r="H92" i="17"/>
  <c r="K92" i="17" s="1"/>
  <c r="J91" i="17"/>
  <c r="J97" i="17" s="1"/>
  <c r="H91" i="17"/>
  <c r="K91" i="17" s="1"/>
  <c r="J90" i="17"/>
  <c r="J96" i="17" s="1"/>
  <c r="K96" i="17" s="1"/>
  <c r="H90" i="17"/>
  <c r="K90" i="17" s="1"/>
  <c r="E82" i="17"/>
  <c r="E81" i="17"/>
  <c r="E79" i="17"/>
  <c r="E77" i="17"/>
  <c r="J21" i="17"/>
  <c r="I21" i="17"/>
  <c r="G21" i="17"/>
  <c r="J20" i="17"/>
  <c r="I20" i="17"/>
  <c r="G20" i="17"/>
  <c r="J19" i="17"/>
  <c r="I19" i="17"/>
  <c r="G19" i="17"/>
  <c r="G16" i="17"/>
  <c r="M13" i="17"/>
  <c r="L13" i="17" s="1"/>
  <c r="J13" i="17"/>
  <c r="K13" i="17" s="1"/>
  <c r="D13" i="17"/>
  <c r="J6" i="17" s="1"/>
  <c r="C13" i="17"/>
  <c r="H10" i="17"/>
  <c r="M9" i="17"/>
  <c r="J7" i="17"/>
  <c r="F66" i="17" s="1"/>
  <c r="G7" i="17"/>
  <c r="U6" i="17"/>
  <c r="R6" i="17"/>
  <c r="Q6" i="17"/>
  <c r="I6" i="17"/>
  <c r="E46" i="17" s="1"/>
  <c r="H6" i="17"/>
  <c r="E6" i="17"/>
  <c r="U4" i="17"/>
  <c r="R4" i="17"/>
  <c r="X6" i="17" l="1"/>
  <c r="K97" i="17"/>
  <c r="K98" i="17"/>
  <c r="N214" i="17"/>
  <c r="O214" i="17" s="1"/>
  <c r="K226" i="17"/>
  <c r="N226" i="17" s="1"/>
  <c r="O226" i="17" s="1"/>
  <c r="K224" i="17"/>
  <c r="N224" i="17" s="1"/>
  <c r="O224" i="17" s="1"/>
  <c r="K225" i="17"/>
  <c r="N225" i="17" s="1"/>
  <c r="O225" i="17" s="1"/>
  <c r="K223" i="17"/>
  <c r="E45" i="17"/>
  <c r="G46" i="17"/>
  <c r="E43" i="17"/>
  <c r="E33" i="17"/>
  <c r="E44" i="17"/>
  <c r="E34" i="17"/>
  <c r="E35" i="17"/>
  <c r="E66" i="17"/>
  <c r="E56" i="17"/>
  <c r="E36" i="17"/>
  <c r="O170" i="17"/>
  <c r="H49" i="17" s="1"/>
  <c r="K216" i="17"/>
  <c r="N216" i="17" s="1"/>
  <c r="O216" i="17" s="1"/>
  <c r="K214" i="17"/>
  <c r="K217" i="17"/>
  <c r="N217" i="17" s="1"/>
  <c r="O217" i="17" s="1"/>
  <c r="K215" i="17"/>
  <c r="N215" i="17" s="1"/>
  <c r="O215" i="17" s="1"/>
  <c r="O133" i="17"/>
  <c r="H39" i="17" s="1"/>
  <c r="F71" i="17"/>
  <c r="F65" i="17"/>
  <c r="F70" i="17" s="1"/>
  <c r="F63" i="17"/>
  <c r="F68" i="17" s="1"/>
  <c r="F64" i="17"/>
  <c r="F69" i="17" s="1"/>
  <c r="N121" i="17"/>
  <c r="O121" i="17" s="1"/>
  <c r="N160" i="17"/>
  <c r="O160" i="17" s="1"/>
  <c r="F46" i="17"/>
  <c r="G18" i="17"/>
  <c r="N223" i="17"/>
  <c r="O223" i="17" s="1"/>
  <c r="K207" i="17"/>
  <c r="N207" i="17" s="1"/>
  <c r="O207" i="17" s="1"/>
  <c r="K205" i="17"/>
  <c r="N205" i="17" s="1"/>
  <c r="O205" i="17" s="1"/>
  <c r="K208" i="17"/>
  <c r="K206" i="17"/>
  <c r="N206" i="17" s="1"/>
  <c r="O206" i="17" s="1"/>
  <c r="N208" i="17"/>
  <c r="O208" i="17" s="1"/>
  <c r="K193" i="17"/>
  <c r="K6" i="17"/>
  <c r="G17" i="17"/>
  <c r="G22" i="17" s="1"/>
  <c r="K120" i="17"/>
  <c r="N120" i="17" s="1"/>
  <c r="O120" i="17" s="1"/>
  <c r="K122" i="17"/>
  <c r="N122" i="17" s="1"/>
  <c r="O122" i="17" s="1"/>
  <c r="K139" i="17"/>
  <c r="N139" i="17" s="1"/>
  <c r="O139" i="17" s="1"/>
  <c r="K141" i="17"/>
  <c r="N141" i="17" s="1"/>
  <c r="O141" i="17" s="1"/>
  <c r="K157" i="17"/>
  <c r="N157" i="17" s="1"/>
  <c r="O157" i="17" s="1"/>
  <c r="K159" i="17"/>
  <c r="N159" i="17" s="1"/>
  <c r="O159" i="17" s="1"/>
  <c r="K176" i="17"/>
  <c r="N176" i="17" s="1"/>
  <c r="O176" i="17" s="1"/>
  <c r="K178" i="17"/>
  <c r="N178" i="17" s="1"/>
  <c r="O178" i="17" s="1"/>
  <c r="K148" i="17"/>
  <c r="N148" i="17" s="1"/>
  <c r="O148" i="17" s="1"/>
  <c r="K150" i="17"/>
  <c r="N150" i="17" s="1"/>
  <c r="O150" i="17" s="1"/>
  <c r="K185" i="17"/>
  <c r="N185" i="17" s="1"/>
  <c r="O185" i="17" s="1"/>
  <c r="K187" i="17"/>
  <c r="N187" i="17" s="1"/>
  <c r="O187" i="17" s="1"/>
  <c r="K121" i="17"/>
  <c r="K123" i="17"/>
  <c r="N123" i="17" s="1"/>
  <c r="O123" i="17" s="1"/>
  <c r="K158" i="17"/>
  <c r="N158" i="17" s="1"/>
  <c r="O158" i="17" s="1"/>
  <c r="O142" i="17" l="1"/>
  <c r="H40" i="17" s="1"/>
  <c r="O179" i="17"/>
  <c r="H50" i="17" s="1"/>
  <c r="O151" i="17"/>
  <c r="H41" i="17" s="1"/>
  <c r="O188" i="17"/>
  <c r="H51" i="17" s="1"/>
  <c r="O227" i="17"/>
  <c r="H61" i="17" s="1"/>
  <c r="K111" i="17" s="1"/>
  <c r="O218" i="17"/>
  <c r="H60" i="17" s="1"/>
  <c r="K110" i="17" s="1"/>
  <c r="G45" i="17"/>
  <c r="E55" i="17"/>
  <c r="G55" i="17" s="1"/>
  <c r="E71" i="17"/>
  <c r="G66" i="17"/>
  <c r="E63" i="17"/>
  <c r="E65" i="17"/>
  <c r="E64" i="17"/>
  <c r="E53" i="17"/>
  <c r="G53" i="17" s="1"/>
  <c r="O161" i="17"/>
  <c r="H48" i="17" s="1"/>
  <c r="I89" i="17"/>
  <c r="O209" i="17"/>
  <c r="H59" i="17" s="1"/>
  <c r="K109" i="17" s="1"/>
  <c r="F45" i="17"/>
  <c r="F55" i="17" s="1"/>
  <c r="F35" i="17"/>
  <c r="G35" i="17" s="1"/>
  <c r="F43" i="17"/>
  <c r="F53" i="17" s="1"/>
  <c r="F33" i="17"/>
  <c r="G33" i="17" s="1"/>
  <c r="F56" i="17"/>
  <c r="G56" i="17" s="1"/>
  <c r="F36" i="17"/>
  <c r="J89" i="17" s="1"/>
  <c r="J95" i="17" s="1"/>
  <c r="F44" i="17"/>
  <c r="F54" i="17" s="1"/>
  <c r="F34" i="17"/>
  <c r="G34" i="17" s="1"/>
  <c r="K199" i="17"/>
  <c r="N199" i="17" s="1"/>
  <c r="O199" i="17" s="1"/>
  <c r="K197" i="17"/>
  <c r="N197" i="17" s="1"/>
  <c r="O197" i="17" s="1"/>
  <c r="K198" i="17"/>
  <c r="N198" i="17" s="1"/>
  <c r="O198" i="17" s="1"/>
  <c r="K196" i="17"/>
  <c r="N196" i="17" s="1"/>
  <c r="O196" i="17" s="1"/>
  <c r="O124" i="17"/>
  <c r="H38" i="17" s="1"/>
  <c r="K103" i="17"/>
  <c r="G44" i="17"/>
  <c r="E54" i="17"/>
  <c r="G54" i="17" s="1"/>
  <c r="K104" i="17" l="1"/>
  <c r="G26" i="17"/>
  <c r="K105" i="17"/>
  <c r="O200" i="17"/>
  <c r="H58" i="17" s="1"/>
  <c r="K108" i="17" s="1"/>
  <c r="H44" i="17"/>
  <c r="H45" i="17"/>
  <c r="H43" i="17"/>
  <c r="H46" i="17"/>
  <c r="G71" i="17"/>
  <c r="I95" i="17"/>
  <c r="E69" i="17"/>
  <c r="G69" i="17" s="1"/>
  <c r="G64" i="17"/>
  <c r="G43" i="17"/>
  <c r="G65" i="17"/>
  <c r="E70" i="17"/>
  <c r="G70" i="17" s="1"/>
  <c r="E68" i="17"/>
  <c r="G68" i="17" s="1"/>
  <c r="G63" i="17"/>
  <c r="K102" i="17"/>
  <c r="G36" i="17"/>
  <c r="H53" i="17" l="1"/>
  <c r="D65" i="17"/>
  <c r="M95" i="17"/>
  <c r="H26" i="17"/>
  <c r="H34" i="17"/>
  <c r="H35" i="17"/>
  <c r="D33" i="17"/>
  <c r="H36" i="17"/>
  <c r="H56" i="17"/>
  <c r="D66" i="17"/>
  <c r="D64" i="17"/>
  <c r="H54" i="17"/>
  <c r="H33" i="17" l="1"/>
  <c r="K101" i="17" s="1"/>
  <c r="M101" i="17" s="1"/>
  <c r="H89" i="17"/>
  <c r="K89" i="17" s="1"/>
  <c r="M89" i="17" s="1"/>
  <c r="I25" i="17"/>
  <c r="K95" i="17"/>
  <c r="D63" i="17"/>
  <c r="H63" i="17" s="1"/>
  <c r="H55" i="17"/>
  <c r="D69" i="17"/>
  <c r="H69" i="17" s="1"/>
  <c r="H64" i="17"/>
  <c r="H66" i="17"/>
  <c r="D71" i="17"/>
  <c r="H71" i="17" s="1"/>
  <c r="H65" i="17"/>
  <c r="D70" i="17"/>
  <c r="H70" i="17" s="1"/>
  <c r="D68" i="17"/>
  <c r="H68" i="17" s="1"/>
  <c r="K107" i="17" l="1"/>
  <c r="D76" i="17"/>
  <c r="D78" i="17" s="1"/>
  <c r="H78" i="17" s="1"/>
  <c r="K27" i="17"/>
  <c r="D77" i="17"/>
  <c r="H77" i="17" s="1"/>
  <c r="H73" i="17"/>
  <c r="J73" i="17" s="1"/>
  <c r="I71" i="17"/>
  <c r="K114" i="17" l="1"/>
  <c r="D82" i="17" s="1"/>
  <c r="H82" i="17" s="1"/>
  <c r="H76" i="17"/>
  <c r="D80" i="17"/>
  <c r="H80" i="17" s="1"/>
  <c r="K113" i="17"/>
  <c r="H85" i="17" s="1"/>
  <c r="D79" i="17"/>
  <c r="H79" i="17" s="1"/>
  <c r="H81" i="17"/>
  <c r="H31" i="17" l="1"/>
  <c r="G8" i="10" l="1"/>
  <c r="D51" i="16" l="1"/>
  <c r="D50" i="16"/>
  <c r="D53" i="16"/>
  <c r="D50" i="15"/>
  <c r="D53" i="15" s="1"/>
  <c r="D49" i="15"/>
  <c r="D52" i="15" s="1"/>
  <c r="E67" i="16"/>
  <c r="E65" i="16"/>
  <c r="E64" i="16"/>
  <c r="E62" i="16"/>
  <c r="E61" i="16"/>
  <c r="D39" i="16"/>
  <c r="D38" i="16"/>
  <c r="D37" i="16"/>
  <c r="D36" i="16"/>
  <c r="D31" i="16"/>
  <c r="D30" i="16"/>
  <c r="D29" i="16"/>
  <c r="D28" i="16"/>
  <c r="M17" i="16"/>
  <c r="J17" i="16"/>
  <c r="H14" i="16"/>
  <c r="M13" i="16"/>
  <c r="K17" i="16" s="1"/>
  <c r="H8" i="16"/>
  <c r="G8" i="16"/>
  <c r="E8" i="16"/>
  <c r="D8" i="16"/>
  <c r="Q7" i="16"/>
  <c r="N7" i="16"/>
  <c r="F31" i="16" s="1"/>
  <c r="F39" i="16" s="1"/>
  <c r="H7" i="16"/>
  <c r="H10" i="16" s="1"/>
  <c r="G7" i="16"/>
  <c r="F7" i="16"/>
  <c r="E7" i="16"/>
  <c r="D7" i="16"/>
  <c r="C7" i="16"/>
  <c r="V6" i="16"/>
  <c r="U6" i="16"/>
  <c r="S6" i="16"/>
  <c r="R6" i="16"/>
  <c r="Q6" i="16"/>
  <c r="N6" i="16"/>
  <c r="F30" i="16" s="1"/>
  <c r="F38" i="16" s="1"/>
  <c r="H38" i="16" s="1"/>
  <c r="H6" i="16"/>
  <c r="H9" i="16" s="1"/>
  <c r="G6" i="16"/>
  <c r="F6" i="16"/>
  <c r="E6" i="16"/>
  <c r="D6" i="16"/>
  <c r="C6" i="16"/>
  <c r="N5" i="16"/>
  <c r="F29" i="16" s="1"/>
  <c r="N4" i="16"/>
  <c r="F28" i="16" s="1"/>
  <c r="F36" i="16" s="1"/>
  <c r="F4" i="16"/>
  <c r="U4" i="16" s="1"/>
  <c r="C4" i="16"/>
  <c r="R4" i="16" s="1"/>
  <c r="N3" i="16"/>
  <c r="F2" i="16"/>
  <c r="E66" i="15"/>
  <c r="E64" i="15"/>
  <c r="E63" i="15"/>
  <c r="E61" i="15"/>
  <c r="E60" i="15"/>
  <c r="E56" i="15"/>
  <c r="H56" i="15" s="1"/>
  <c r="D39" i="15"/>
  <c r="D38" i="15"/>
  <c r="D37" i="15"/>
  <c r="D36" i="15"/>
  <c r="D31" i="15"/>
  <c r="D30" i="15"/>
  <c r="D29" i="15"/>
  <c r="D28" i="15"/>
  <c r="M17" i="15"/>
  <c r="J17" i="15"/>
  <c r="H14" i="15"/>
  <c r="M13" i="15"/>
  <c r="H8" i="15"/>
  <c r="G8" i="15"/>
  <c r="E8" i="15"/>
  <c r="D8" i="15"/>
  <c r="Q7" i="15"/>
  <c r="N7" i="15"/>
  <c r="F31" i="15" s="1"/>
  <c r="F39" i="15" s="1"/>
  <c r="H7" i="15"/>
  <c r="H10" i="15" s="1"/>
  <c r="G7" i="15"/>
  <c r="E7" i="15"/>
  <c r="D7" i="15"/>
  <c r="V6" i="15"/>
  <c r="U6" i="15"/>
  <c r="S6" i="15"/>
  <c r="R6" i="15"/>
  <c r="Q6" i="15"/>
  <c r="N6" i="15"/>
  <c r="F30" i="15" s="1"/>
  <c r="H6" i="15"/>
  <c r="H9" i="15" s="1"/>
  <c r="G6" i="15"/>
  <c r="F6" i="15"/>
  <c r="E6" i="15"/>
  <c r="D6" i="15"/>
  <c r="C6" i="15"/>
  <c r="N5" i="15"/>
  <c r="F29" i="15" s="1"/>
  <c r="F37" i="15" s="1"/>
  <c r="N4" i="15"/>
  <c r="F28" i="15" s="1"/>
  <c r="F36" i="15" s="1"/>
  <c r="F4" i="15"/>
  <c r="U4" i="15" s="1"/>
  <c r="C4" i="15"/>
  <c r="R4" i="15" s="1"/>
  <c r="N3" i="15"/>
  <c r="F2" i="15"/>
  <c r="D17" i="15" s="1"/>
  <c r="D54" i="16" l="1"/>
  <c r="H30" i="16"/>
  <c r="C17" i="16"/>
  <c r="D17" i="16"/>
  <c r="H31" i="16"/>
  <c r="H28" i="16"/>
  <c r="L17" i="16"/>
  <c r="H39" i="16"/>
  <c r="H37" i="15"/>
  <c r="H36" i="15"/>
  <c r="H31" i="15"/>
  <c r="K17" i="15"/>
  <c r="H39" i="15"/>
  <c r="C17" i="15"/>
  <c r="K9" i="15" s="1"/>
  <c r="H29" i="15"/>
  <c r="H28" i="15"/>
  <c r="L17" i="15"/>
  <c r="H36" i="16"/>
  <c r="H30" i="15"/>
  <c r="F38" i="15"/>
  <c r="H38" i="15" s="1"/>
  <c r="F37" i="16"/>
  <c r="H37" i="16" s="1"/>
  <c r="H29" i="16"/>
  <c r="K6" i="16" l="1"/>
  <c r="F25" i="16" s="1"/>
  <c r="F33" i="16" s="1"/>
  <c r="J6" i="16"/>
  <c r="E25" i="16" s="1"/>
  <c r="E33" i="16" s="1"/>
  <c r="I6" i="15"/>
  <c r="E41" i="15" s="1"/>
  <c r="E47" i="15" s="1"/>
  <c r="H47" i="15" s="1"/>
  <c r="K10" i="16"/>
  <c r="F51" i="16" s="1"/>
  <c r="F54" i="16" s="1"/>
  <c r="K9" i="16"/>
  <c r="F50" i="16" s="1"/>
  <c r="F53" i="16" s="1"/>
  <c r="I7" i="16"/>
  <c r="E42" i="16" s="1"/>
  <c r="E57" i="16" s="1"/>
  <c r="H57" i="16" s="1"/>
  <c r="J7" i="16"/>
  <c r="E26" i="16" s="1"/>
  <c r="E51" i="16" s="1"/>
  <c r="X6" i="16"/>
  <c r="J41" i="16" s="1"/>
  <c r="J8" i="16"/>
  <c r="I6" i="16"/>
  <c r="E41" i="16" s="1"/>
  <c r="K8" i="16"/>
  <c r="F56" i="16" s="1"/>
  <c r="H56" i="16" s="1"/>
  <c r="Y6" i="16"/>
  <c r="J25" i="16" s="1"/>
  <c r="K25" i="16" s="1"/>
  <c r="K7" i="16"/>
  <c r="F26" i="16" s="1"/>
  <c r="F34" i="16" s="1"/>
  <c r="Y6" i="15"/>
  <c r="J25" i="15" s="1"/>
  <c r="K25" i="15" s="1"/>
  <c r="F49" i="15"/>
  <c r="K10" i="15"/>
  <c r="F50" i="15" s="1"/>
  <c r="F53" i="15" s="1"/>
  <c r="K6" i="15"/>
  <c r="F25" i="15" s="1"/>
  <c r="F33" i="15" s="1"/>
  <c r="X6" i="15"/>
  <c r="J41" i="15" s="1"/>
  <c r="J44" i="15" s="1"/>
  <c r="K44" i="15" s="1"/>
  <c r="J8" i="15"/>
  <c r="K7" i="15"/>
  <c r="F26" i="15" s="1"/>
  <c r="F34" i="15" s="1"/>
  <c r="J7" i="15"/>
  <c r="E26" i="15" s="1"/>
  <c r="J6" i="15"/>
  <c r="E25" i="15" s="1"/>
  <c r="K8" i="15"/>
  <c r="F55" i="15" s="1"/>
  <c r="H55" i="15" s="1"/>
  <c r="H33" i="16" l="1"/>
  <c r="H51" i="16"/>
  <c r="H25" i="16"/>
  <c r="E50" i="16"/>
  <c r="E53" i="16" s="1"/>
  <c r="G25" i="16"/>
  <c r="E44" i="15"/>
  <c r="H44" i="15" s="1"/>
  <c r="D61" i="15" s="1"/>
  <c r="H41" i="15"/>
  <c r="D67" i="16"/>
  <c r="H67" i="16" s="1"/>
  <c r="E54" i="16"/>
  <c r="G51" i="16"/>
  <c r="F52" i="15"/>
  <c r="D66" i="15" s="1"/>
  <c r="H66" i="15" s="1"/>
  <c r="H26" i="16"/>
  <c r="E48" i="16"/>
  <c r="H48" i="16" s="1"/>
  <c r="E45" i="16"/>
  <c r="H45" i="16" s="1"/>
  <c r="H42" i="16"/>
  <c r="K41" i="16"/>
  <c r="J44" i="16"/>
  <c r="K44" i="16" s="1"/>
  <c r="G26" i="16"/>
  <c r="E34" i="16"/>
  <c r="H34" i="16" s="1"/>
  <c r="E44" i="16"/>
  <c r="H44" i="16" s="1"/>
  <c r="E47" i="16"/>
  <c r="H47" i="16" s="1"/>
  <c r="H41" i="16"/>
  <c r="E33" i="15"/>
  <c r="H33" i="15" s="1"/>
  <c r="E49" i="15"/>
  <c r="E52" i="15" s="1"/>
  <c r="E34" i="15"/>
  <c r="H34" i="15" s="1"/>
  <c r="E50" i="15"/>
  <c r="E53" i="15" s="1"/>
  <c r="G53" i="15" s="1"/>
  <c r="K41" i="15"/>
  <c r="L41" i="15" s="1"/>
  <c r="H26" i="15"/>
  <c r="G25" i="15"/>
  <c r="H25" i="15"/>
  <c r="G26" i="15"/>
  <c r="D61" i="16" l="1"/>
  <c r="H61" i="16" s="1"/>
  <c r="H50" i="16"/>
  <c r="G50" i="16"/>
  <c r="D60" i="16"/>
  <c r="D66" i="16" s="1"/>
  <c r="H66" i="16" s="1"/>
  <c r="H53" i="15"/>
  <c r="D59" i="15"/>
  <c r="D62" i="15" s="1"/>
  <c r="H62" i="15" s="1"/>
  <c r="D62" i="16"/>
  <c r="G54" i="16"/>
  <c r="H54" i="16"/>
  <c r="G53" i="16"/>
  <c r="H53" i="16"/>
  <c r="L41" i="16"/>
  <c r="H50" i="15"/>
  <c r="G50" i="15"/>
  <c r="H49" i="15"/>
  <c r="G49" i="15"/>
  <c r="H61" i="15"/>
  <c r="D64" i="15"/>
  <c r="H64" i="15" s="1"/>
  <c r="D64" i="16" l="1"/>
  <c r="H64" i="16" s="1"/>
  <c r="D65" i="15"/>
  <c r="H65" i="15" s="1"/>
  <c r="H59" i="15"/>
  <c r="H60" i="16"/>
  <c r="D63" i="16"/>
  <c r="H63" i="16" s="1"/>
  <c r="H62" i="16"/>
  <c r="D65" i="16"/>
  <c r="H65" i="16" s="1"/>
  <c r="H52" i="15"/>
  <c r="D60" i="15" s="1"/>
  <c r="G52" i="15"/>
  <c r="H60" i="15" l="1"/>
  <c r="D63" i="15"/>
  <c r="H63" i="15" s="1"/>
  <c r="D55" i="10" l="1"/>
  <c r="D62" i="10"/>
  <c r="E76" i="10"/>
  <c r="E74" i="10"/>
  <c r="E72" i="10"/>
  <c r="F55" i="10"/>
  <c r="F62" i="10" s="1"/>
  <c r="F54" i="10"/>
  <c r="F61" i="10" s="1"/>
  <c r="F53" i="10"/>
  <c r="F60" i="10" s="1"/>
  <c r="F52" i="10"/>
  <c r="F59" i="10" s="1"/>
  <c r="M14" i="10"/>
  <c r="J14" i="10"/>
  <c r="D14" i="10"/>
  <c r="C14" i="10"/>
  <c r="H11" i="10"/>
  <c r="M10" i="10"/>
  <c r="I6" i="10" l="1"/>
  <c r="J6" i="10"/>
  <c r="I7" i="10"/>
  <c r="D44" i="10" s="1"/>
  <c r="J7" i="10"/>
  <c r="E44" i="10" s="1"/>
  <c r="K14" i="10"/>
  <c r="F78" i="10"/>
  <c r="J8" i="10"/>
  <c r="H55" i="10"/>
  <c r="L14" i="10"/>
  <c r="K21" i="10"/>
  <c r="K6" i="10" l="1"/>
  <c r="D30" i="10"/>
  <c r="D23" i="10"/>
  <c r="H23" i="10" s="1"/>
  <c r="J23" i="10" s="1"/>
  <c r="D25" i="10"/>
  <c r="D32" i="10"/>
  <c r="D31" i="10"/>
  <c r="D24" i="10"/>
  <c r="G24" i="10" s="1"/>
  <c r="D53" i="10"/>
  <c r="H53" i="10" s="1"/>
  <c r="D60" i="10"/>
  <c r="H60" i="10" s="1"/>
  <c r="F44" i="10"/>
  <c r="H21" i="10"/>
  <c r="J21" i="10" s="1"/>
  <c r="G21" i="10"/>
  <c r="K28" i="10"/>
  <c r="F50" i="10"/>
  <c r="F57" i="10" s="1"/>
  <c r="K22" i="10"/>
  <c r="K7" i="10"/>
  <c r="E78" i="10"/>
  <c r="H78" i="10" s="1"/>
  <c r="D52" i="10"/>
  <c r="H52" i="10" s="1"/>
  <c r="D54" i="10"/>
  <c r="H54" i="10" s="1"/>
  <c r="E50" i="10"/>
  <c r="E57" i="10" s="1"/>
  <c r="G28" i="10" l="1"/>
  <c r="E28" i="10" s="1"/>
  <c r="F28" i="10" s="1"/>
  <c r="H24" i="10"/>
  <c r="J24" i="10" s="1"/>
  <c r="E24" i="10" s="1"/>
  <c r="F24" i="10" s="1"/>
  <c r="G31" i="10"/>
  <c r="H31" i="10"/>
  <c r="J31" i="10" s="1"/>
  <c r="H32" i="10"/>
  <c r="J32" i="10" s="1"/>
  <c r="G32" i="10"/>
  <c r="H25" i="10"/>
  <c r="J25" i="10" s="1"/>
  <c r="G25" i="10"/>
  <c r="G23" i="10"/>
  <c r="E23" i="10" s="1"/>
  <c r="H30" i="10"/>
  <c r="J30" i="10" s="1"/>
  <c r="G30" i="10"/>
  <c r="H22" i="10"/>
  <c r="J22" i="10" s="1"/>
  <c r="G22" i="10"/>
  <c r="K29" i="10"/>
  <c r="G57" i="10"/>
  <c r="E21" i="10"/>
  <c r="F21" i="10" s="1"/>
  <c r="G50" i="10"/>
  <c r="H50" i="10"/>
  <c r="D71" i="10" s="1"/>
  <c r="M21" i="10" s="1"/>
  <c r="M23" i="10" s="1"/>
  <c r="E32" i="10" l="1"/>
  <c r="F32" i="10" s="1"/>
  <c r="E31" i="10"/>
  <c r="F31" i="10" s="1"/>
  <c r="E30" i="10"/>
  <c r="F30" i="10" s="1"/>
  <c r="E25" i="10"/>
  <c r="F25" i="10" s="1"/>
  <c r="H29" i="10"/>
  <c r="G29" i="10"/>
  <c r="G42" i="10" s="1"/>
  <c r="O21" i="10"/>
  <c r="E22" i="10"/>
  <c r="F22" i="10" s="1"/>
  <c r="F23" i="10"/>
  <c r="D59" i="10"/>
  <c r="H62" i="10"/>
  <c r="O23" i="10" l="1"/>
  <c r="J29" i="10"/>
  <c r="E29" i="10" s="1"/>
  <c r="H42" i="10"/>
  <c r="D73" i="10"/>
  <c r="H73" i="10" s="1"/>
  <c r="D75" i="10"/>
  <c r="H75" i="10" s="1"/>
  <c r="H71" i="10"/>
  <c r="J42" i="10" l="1"/>
  <c r="F29" i="10"/>
  <c r="F42" i="10" s="1"/>
  <c r="D61" i="10" l="1"/>
  <c r="H61" i="10" s="1"/>
  <c r="H59" i="10"/>
  <c r="H57" i="10" l="1"/>
  <c r="D76" i="10" l="1"/>
  <c r="H76" i="10" s="1"/>
  <c r="D72" i="10" l="1"/>
  <c r="H68" i="10"/>
  <c r="D74" i="10" l="1"/>
  <c r="H74" i="10" s="1"/>
  <c r="M22" i="10"/>
  <c r="H72" i="10"/>
  <c r="O22" i="10" l="1"/>
  <c r="M24" i="10"/>
  <c r="O24" i="10" s="1"/>
  <c r="H48" i="10"/>
  <c r="C151" i="30"/>
  <c r="H112" i="30"/>
  <c r="I112" i="30" s="1"/>
  <c r="D99" i="30"/>
  <c r="H99" i="30" s="1"/>
  <c r="D110" i="30"/>
  <c r="D111" i="30" s="1"/>
  <c r="G111" i="30" s="1"/>
  <c r="C153" i="30"/>
  <c r="C152" i="30"/>
  <c r="C154" i="30"/>
  <c r="D112" i="30" l="1"/>
  <c r="M22" i="30"/>
  <c r="O22" i="30" s="1"/>
  <c r="H115" i="30"/>
  <c r="G110" i="30"/>
  <c r="D101" i="30"/>
  <c r="D103" i="30" l="1"/>
  <c r="H103" i="30" s="1"/>
  <c r="G112" i="30"/>
  <c r="M24" i="30"/>
  <c r="O24" i="30" s="1"/>
  <c r="H101" i="30"/>
  <c r="H62" i="30" l="1"/>
  <c r="C155" i="30"/>
  <c r="C156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795FA32D-8254-476E-9711-C9ED6CD38A0E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J105" authorId="0" shapeId="0" xr:uid="{51892E4D-2C33-488B-AC0F-FB22C4BCE39B}">
      <text>
        <r>
          <rPr>
            <b/>
            <sz val="9"/>
            <color indexed="81"/>
            <rFont val="Segoe UI"/>
            <family val="2"/>
          </rPr>
          <t xml:space="preserve">NÃO APAGAR!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C12" authorId="0" shapeId="0" xr:uid="{7A3BDD8D-548A-43AF-8A20-3F3B1A0BF525}">
      <text>
        <r>
          <rPr>
            <b/>
            <sz val="9"/>
            <color indexed="81"/>
            <rFont val="Segoe UI"/>
            <family val="2"/>
          </rPr>
          <t>Devido à falta de definição no sistema, não há diferença entre GD1 e GD2.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C12" authorId="0" shapeId="0" xr:uid="{F18C4CC7-2C64-4861-82BE-913DCD042774}">
      <text>
        <r>
          <rPr>
            <b/>
            <sz val="9"/>
            <color indexed="81"/>
            <rFont val="Segoe UI"/>
            <family val="2"/>
          </rPr>
          <t>Devido à falta de definição no sistema, não há diferença entre GD1 e GD2.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C12" authorId="0" shapeId="0" xr:uid="{C7E19220-0BF3-458C-AFBF-CE8C87C13380}">
      <text>
        <r>
          <rPr>
            <b/>
            <sz val="9"/>
            <color indexed="81"/>
            <rFont val="Segoe UI"/>
            <family val="2"/>
          </rPr>
          <t>Devido à falta de definição no sistema, não há diferença entre GD1 e GD2.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C12" authorId="0" shapeId="0" xr:uid="{86F22600-0DB9-4919-B4A4-38FC197D130A}">
      <text>
        <r>
          <rPr>
            <b/>
            <sz val="9"/>
            <color indexed="81"/>
            <rFont val="Segoe UI"/>
            <family val="2"/>
          </rPr>
          <t>Devido à falta de definição no sistema, não há diferença entre GD1 e GD2.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49" authorId="0" shapeId="0" xr:uid="{F0B1127D-D478-47E9-8AFC-92039EBA4367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50" authorId="0" shapeId="0" xr:uid="{01B7E631-6928-422F-9797-07EF43EAB42E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63" authorId="0" shapeId="0" xr:uid="{75A84DE0-2469-44D9-A8A8-12B4BAC03D18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66" authorId="0" shapeId="0" xr:uid="{3AA851A0-3757-427D-8CEB-7B914192BCD1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<sst xmlns="http://schemas.openxmlformats.org/spreadsheetml/2006/main" count="2834" uniqueCount="424">
  <si>
    <t>Regra do custo de disponibilidade</t>
  </si>
  <si>
    <t>Consumo =</t>
  </si>
  <si>
    <t>kWh</t>
  </si>
  <si>
    <t>Energia Injetada =</t>
  </si>
  <si>
    <t>TUSD =</t>
  </si>
  <si>
    <t>TE =</t>
  </si>
  <si>
    <t>R$/kWh</t>
  </si>
  <si>
    <t>R$</t>
  </si>
  <si>
    <t xml:space="preserve"> </t>
  </si>
  <si>
    <t>TE</t>
  </si>
  <si>
    <t>TUSD</t>
  </si>
  <si>
    <t>ICMS</t>
  </si>
  <si>
    <t>Bandeira</t>
  </si>
  <si>
    <t>VERDE</t>
  </si>
  <si>
    <t>BAM</t>
  </si>
  <si>
    <t>BVM1</t>
  </si>
  <si>
    <t>BVM2</t>
  </si>
  <si>
    <t>Escassez Hídrica</t>
  </si>
  <si>
    <t>Adicional de Bandeira Amarela</t>
  </si>
  <si>
    <t>Adicional de bandeira Vermelha 2</t>
  </si>
  <si>
    <t>Adicional de bandeira Vermelha 1</t>
  </si>
  <si>
    <t>Leitura Anterior</t>
  </si>
  <si>
    <t>Nº de dias tarifa Anterior</t>
  </si>
  <si>
    <t>Nº de dias tarifa Nova</t>
  </si>
  <si>
    <t>Leitura Atual</t>
  </si>
  <si>
    <t>Vigência das Tarifas (troca Bandeira):</t>
  </si>
  <si>
    <t>Altere a bandeira na célula abaixo</t>
  </si>
  <si>
    <t>B1 Res</t>
  </si>
  <si>
    <t>Vigência das Tarifas:</t>
  </si>
  <si>
    <t>ANEEL em 29/06</t>
  </si>
  <si>
    <t>TUSD FIO B</t>
  </si>
  <si>
    <t>TARIFA</t>
  </si>
  <si>
    <t>Tarifas Proporcionalizadas</t>
  </si>
  <si>
    <t>Tusd</t>
  </si>
  <si>
    <t>TUSD + TE</t>
  </si>
  <si>
    <t>Tusd (R$/kWh)</t>
  </si>
  <si>
    <t>B1</t>
  </si>
  <si>
    <t>Fatura</t>
  </si>
  <si>
    <t>INSTALAÇÃO</t>
  </si>
  <si>
    <t>Fatura B1 Residencial</t>
  </si>
  <si>
    <t>Qtde</t>
  </si>
  <si>
    <t>Fornecimento de Energia Elétrica</t>
  </si>
  <si>
    <t>Energia Fornecida</t>
  </si>
  <si>
    <t xml:space="preserve">Adicional BAM </t>
  </si>
  <si>
    <t>Adicional BVM 1</t>
  </si>
  <si>
    <t>Adicional BVM 2</t>
  </si>
  <si>
    <t>Adicional Escassez Hídrica</t>
  </si>
  <si>
    <t>Energia Injetada</t>
  </si>
  <si>
    <t>Base de Cálculo</t>
  </si>
  <si>
    <t xml:space="preserve">PIS </t>
  </si>
  <si>
    <t>PIS Eneg Inj</t>
  </si>
  <si>
    <t>COFINS</t>
  </si>
  <si>
    <t>COFINS Eneg Inj</t>
  </si>
  <si>
    <t>ICMS Eneg Inj</t>
  </si>
  <si>
    <t>Custo de disponibilidade</t>
  </si>
  <si>
    <t>Perc. de Redução da Energia Injetada</t>
  </si>
  <si>
    <t>bandeira proporcional</t>
  </si>
  <si>
    <t>TE SCEE</t>
  </si>
  <si>
    <t>TARIFA ANTIGA - REH 3091/2022</t>
  </si>
  <si>
    <t>TARIFA NOVA - REH XXXX/2023</t>
  </si>
  <si>
    <t>monofásico</t>
  </si>
  <si>
    <t>bifásico</t>
  </si>
  <si>
    <t>trifásico</t>
  </si>
  <si>
    <t>Cliente</t>
  </si>
  <si>
    <t>GDII</t>
  </si>
  <si>
    <t>B3</t>
  </si>
  <si>
    <t>B2</t>
  </si>
  <si>
    <t>Com tributos</t>
  </si>
  <si>
    <t>PIS</t>
  </si>
  <si>
    <t>x</t>
  </si>
  <si>
    <t>Rural c/ incrição</t>
  </si>
  <si>
    <t>Injetada</t>
  </si>
  <si>
    <t>A4 Verde</t>
  </si>
  <si>
    <t>MMGD</t>
  </si>
  <si>
    <t>OK</t>
  </si>
  <si>
    <t>Tusd (R$/kW)</t>
  </si>
  <si>
    <t>TE (R$/kWh)</t>
  </si>
  <si>
    <t>A4 Verde P</t>
  </si>
  <si>
    <t>A4 Verde FP</t>
  </si>
  <si>
    <t>Fatura A4 Verde - MMGD</t>
  </si>
  <si>
    <t xml:space="preserve">Documento impressão: </t>
  </si>
  <si>
    <t>TUSD Fio B</t>
  </si>
  <si>
    <t>Receita Fio B</t>
  </si>
  <si>
    <t>Consumo Ponta</t>
  </si>
  <si>
    <t>Consumo Fora Ponta</t>
  </si>
  <si>
    <t>Adicional BAM</t>
  </si>
  <si>
    <t>Adic. Escassez Hídrica</t>
  </si>
  <si>
    <t>Energ Injetada Ponta</t>
  </si>
  <si>
    <t>Energ Injetada Fora Ponta</t>
  </si>
  <si>
    <t>EUSD B</t>
  </si>
  <si>
    <t>Demanda</t>
  </si>
  <si>
    <t>Demanda não utilizada</t>
  </si>
  <si>
    <t>Ultrap Demanda</t>
  </si>
  <si>
    <t>ERE</t>
  </si>
  <si>
    <t>DRE</t>
  </si>
  <si>
    <t>PIS Injetado</t>
  </si>
  <si>
    <t>PIS não utilizada</t>
  </si>
  <si>
    <t>COFINS Injetado</t>
  </si>
  <si>
    <t>COFINS não utilizada</t>
  </si>
  <si>
    <t>ICMS Injetado TE</t>
  </si>
  <si>
    <t>A4 AZUL</t>
  </si>
  <si>
    <t>A4 Azul P</t>
  </si>
  <si>
    <t>A4 Azul FP</t>
  </si>
  <si>
    <t>Fatura A4 Azul - MMGD</t>
  </si>
  <si>
    <t>Demanda Ponta</t>
  </si>
  <si>
    <t>Demanda Fora Ponta</t>
  </si>
  <si>
    <t>Demanda não utilizada P</t>
  </si>
  <si>
    <t>Demanda não utilizada FP</t>
  </si>
  <si>
    <t>Ultrap Demanda P</t>
  </si>
  <si>
    <t>Ultrap Demanda FP</t>
  </si>
  <si>
    <t>Fatura B1 Baixa Renda</t>
  </si>
  <si>
    <t>TE SCEE P</t>
  </si>
  <si>
    <t>TE SCEE FP</t>
  </si>
  <si>
    <t>Energia Comp. P SCEE</t>
  </si>
  <si>
    <t>Energia Comp. FP SCEE</t>
  </si>
  <si>
    <t>Des Energ. Comp. P SCEE</t>
  </si>
  <si>
    <t>Des Energ. Comp. FP SCEE</t>
  </si>
  <si>
    <t>TUSD P</t>
  </si>
  <si>
    <t>TE P</t>
  </si>
  <si>
    <t>TUSD FP</t>
  </si>
  <si>
    <t>TE FP</t>
  </si>
  <si>
    <t>Energia Fornecida 0 - 30</t>
  </si>
  <si>
    <t>Energia Fornecida 31 - 100</t>
  </si>
  <si>
    <t>Energia Fornecida &gt; 220</t>
  </si>
  <si>
    <t>Energia Fornecida 101 - 220</t>
  </si>
  <si>
    <t>TARIFA 
R$ kWh</t>
  </si>
  <si>
    <t>Baixa renda</t>
  </si>
  <si>
    <t>B1 Baixa renda</t>
  </si>
  <si>
    <t>Consumo - Adicional de Bandeira</t>
  </si>
  <si>
    <t>Consumo</t>
  </si>
  <si>
    <t xml:space="preserve">Tarifas </t>
  </si>
  <si>
    <t>Receita</t>
  </si>
  <si>
    <t>Receita Total</t>
  </si>
  <si>
    <t>KWh</t>
  </si>
  <si>
    <t>Tusd+TE</t>
  </si>
  <si>
    <t>TOTAL</t>
  </si>
  <si>
    <t>Energia Inejtada 0 - 30</t>
  </si>
  <si>
    <t>Energia Injetada 31 - 100</t>
  </si>
  <si>
    <t>Energia Injetada 101 - 220</t>
  </si>
  <si>
    <t>Energia Injetada &gt; 220</t>
  </si>
  <si>
    <t>Benefício Tarifa Social</t>
  </si>
  <si>
    <t>(mensagem na fatura)</t>
  </si>
  <si>
    <t>TUSD          X</t>
  </si>
  <si>
    <t xml:space="preserve">TE           </t>
  </si>
  <si>
    <t>B1 Baixa Renda</t>
  </si>
  <si>
    <t>sem considerar as bandeiras</t>
  </si>
  <si>
    <t>considerando as bandeiras no cálculo dos tributos</t>
  </si>
  <si>
    <t>Energia Injetada - Adicional de Bandeira</t>
  </si>
  <si>
    <t>Energia Compensada SCEE  0 - 30</t>
  </si>
  <si>
    <t>Energia Compensada SCEE  31 - 100</t>
  </si>
  <si>
    <t>Energia Compensada SCEE 101 - 220</t>
  </si>
  <si>
    <t>Energia Compensada SCEE &gt; 220</t>
  </si>
  <si>
    <t>Des Energ. Comp. SCEE 0 - 30</t>
  </si>
  <si>
    <t>Des Energ. Comp. SCEE 31 - 100</t>
  </si>
  <si>
    <t>Des Energ. Comp. SCEE 101 - 220</t>
  </si>
  <si>
    <t>Des Energ. Comp. SCEE &gt; 220</t>
  </si>
  <si>
    <t>ICMS Desc Tarifa Social</t>
  </si>
  <si>
    <t>Consumo 0 - 30</t>
  </si>
  <si>
    <t>Consumo 31 - 100</t>
  </si>
  <si>
    <t>Consumo 101 - 220</t>
  </si>
  <si>
    <t>Consumo &gt; 220</t>
  </si>
  <si>
    <t>Baixa Renda</t>
  </si>
  <si>
    <t>Bx Renda Consumo</t>
  </si>
  <si>
    <t>Bx Renda Injetada</t>
  </si>
  <si>
    <t>Memória benefício Tarifa Social</t>
  </si>
  <si>
    <t>Com tributos e bandeiras (base ICMS)</t>
  </si>
  <si>
    <t>Informativo Escassez Hídrica</t>
  </si>
  <si>
    <t>CUSTO</t>
  </si>
  <si>
    <t>Part. TUSD (%)</t>
  </si>
  <si>
    <t>Part. TE (%)</t>
  </si>
  <si>
    <t>CDE CONTAS</t>
  </si>
  <si>
    <t>CDE COVID</t>
  </si>
  <si>
    <t>CDE ESCASSEZ HÍDRICA</t>
  </si>
  <si>
    <t>CDE Escassez Hídrica</t>
  </si>
  <si>
    <t>0 - 30</t>
  </si>
  <si>
    <t>31- 100</t>
  </si>
  <si>
    <t>101 - 220</t>
  </si>
  <si>
    <t>&gt;220</t>
  </si>
  <si>
    <t>prop</t>
  </si>
  <si>
    <t>TARIFA BRANCA</t>
  </si>
  <si>
    <t>B1 Ponta</t>
  </si>
  <si>
    <t>B1 Fora Ponta</t>
  </si>
  <si>
    <t>B1 Interm.</t>
  </si>
  <si>
    <t>Fatura B1 Residencial TB</t>
  </si>
  <si>
    <t>Consumo Intemediário</t>
  </si>
  <si>
    <t>Participação</t>
  </si>
  <si>
    <t>Energia</t>
  </si>
  <si>
    <t>Distribuição</t>
  </si>
  <si>
    <t>Transmissão</t>
  </si>
  <si>
    <t>Encargos Setoriais</t>
  </si>
  <si>
    <t>Impostos / Tributos</t>
  </si>
  <si>
    <t>Total</t>
  </si>
  <si>
    <t>Setoriais</t>
  </si>
  <si>
    <t>Grupo B</t>
  </si>
  <si>
    <t>%</t>
  </si>
  <si>
    <t>B1 - Residencial</t>
  </si>
  <si>
    <t>B1 - Residencial Baixa Renda</t>
  </si>
  <si>
    <t>B2 - Rural</t>
  </si>
  <si>
    <t>B2 - Cooperativa Eletrificação Rural</t>
  </si>
  <si>
    <t>B2 - Serviço de Irrigação</t>
  </si>
  <si>
    <t>B3 - Demais Classes</t>
  </si>
  <si>
    <t>B4 - Iluminação Pública</t>
  </si>
  <si>
    <t>B4a - Rede de Distribuição</t>
  </si>
  <si>
    <t>B4b - Bulbo de Lâmpada</t>
  </si>
  <si>
    <t>proporcional</t>
  </si>
  <si>
    <t>Energ Injetada P</t>
  </si>
  <si>
    <t>Energ Injetada FP</t>
  </si>
  <si>
    <t>Energ Injetada Intem</t>
  </si>
  <si>
    <t>Adicional BAM Inj</t>
  </si>
  <si>
    <t>Adicional BVM 1 Inj</t>
  </si>
  <si>
    <t>Adicional BVM 2 Inj</t>
  </si>
  <si>
    <t>Adicional Escassez Hídrica Inj</t>
  </si>
  <si>
    <t>Descrição</t>
  </si>
  <si>
    <t>Unidade</t>
  </si>
  <si>
    <t>Quantidade</t>
  </si>
  <si>
    <t>Preço Unit (R$)
com tributos</t>
  </si>
  <si>
    <t>Valor Total (R$)</t>
  </si>
  <si>
    <t>PIS/COFINS
(R$)</t>
  </si>
  <si>
    <t>Base de Cálculo ICMS
(R$)</t>
  </si>
  <si>
    <t>Alíquota ICMS
(%)</t>
  </si>
  <si>
    <t>ICMS
(R$)</t>
  </si>
  <si>
    <t>Preço Unit (R$)</t>
  </si>
  <si>
    <t>Tributos</t>
  </si>
  <si>
    <t>Base de Cálc
(R$)</t>
  </si>
  <si>
    <t>Alíquota
(%)</t>
  </si>
  <si>
    <t>Valor
(R$)</t>
  </si>
  <si>
    <t>TUSD - Consumo</t>
  </si>
  <si>
    <t>TE - Consumo</t>
  </si>
  <si>
    <t>Juros</t>
  </si>
  <si>
    <t>Multas</t>
  </si>
  <si>
    <t>CIP</t>
  </si>
  <si>
    <t>Informativo Escassez</t>
  </si>
  <si>
    <t>TUSD - Consumo inj</t>
  </si>
  <si>
    <t>TE - Consumo inj</t>
  </si>
  <si>
    <t>Adicional BAM inj</t>
  </si>
  <si>
    <t>PIS Inj</t>
  </si>
  <si>
    <t>COFINS Inj</t>
  </si>
  <si>
    <t>Doc Impr</t>
  </si>
  <si>
    <t>CONSUMO</t>
  </si>
  <si>
    <t>Desconto Bx renda</t>
  </si>
  <si>
    <t>Valor Bx Renda</t>
  </si>
  <si>
    <t>PIS INJ</t>
  </si>
  <si>
    <t>COFINS INJ</t>
  </si>
  <si>
    <t>ICMS INJ</t>
  </si>
  <si>
    <t>B3 Ponta</t>
  </si>
  <si>
    <t>B3 Fora Ponta</t>
  </si>
  <si>
    <t>B3 Interm.</t>
  </si>
  <si>
    <t>B2 Ponta</t>
  </si>
  <si>
    <t>B2 Fora Ponta</t>
  </si>
  <si>
    <t>B2 Interm.</t>
  </si>
  <si>
    <t>Se for base reduzida: (célula E33 = 12%)</t>
  </si>
  <si>
    <t>Base de cálculo reduzida     =</t>
  </si>
  <si>
    <t>Importe</t>
  </si>
  <si>
    <t>=</t>
  </si>
  <si>
    <t>12% x 4%</t>
  </si>
  <si>
    <t>FORNECIDA</t>
  </si>
  <si>
    <t>INJETADA</t>
  </si>
  <si>
    <t>Não está considerando bandeira no cálculo do ICMS</t>
  </si>
  <si>
    <t xml:space="preserve">Adicional BVM1 </t>
  </si>
  <si>
    <t>Adicional BVM2</t>
  </si>
  <si>
    <t>Doações</t>
  </si>
  <si>
    <t>Adicional BVM1 inj</t>
  </si>
  <si>
    <t>Adicional BVM2 inj</t>
  </si>
  <si>
    <t>Adicional EH inj</t>
  </si>
  <si>
    <t>Adicional EH</t>
  </si>
  <si>
    <t xml:space="preserve">Adicional BVM2 </t>
  </si>
  <si>
    <t xml:space="preserve">Adicional EH </t>
  </si>
  <si>
    <t>TUSD - Ponta</t>
  </si>
  <si>
    <t>TUSD - Fora Ponta</t>
  </si>
  <si>
    <t>TUSD - Intermediário</t>
  </si>
  <si>
    <t>TE - Ponta</t>
  </si>
  <si>
    <t>TE - Intermediário</t>
  </si>
  <si>
    <t>TE - Fora Ponta</t>
  </si>
  <si>
    <t>TUSD - Ponta inj</t>
  </si>
  <si>
    <t>TUSD - Inermediário inj</t>
  </si>
  <si>
    <t>TUSD - Fora Ponta inj</t>
  </si>
  <si>
    <t>TE - Ponta inj</t>
  </si>
  <si>
    <t>TE - Intermediário inj</t>
  </si>
  <si>
    <t>TE - Fora Ponta inj</t>
  </si>
  <si>
    <t>B1 Res TB</t>
  </si>
  <si>
    <t>B2 TB</t>
  </si>
  <si>
    <t>B3 TB</t>
  </si>
  <si>
    <t>INJEÇÃO</t>
  </si>
  <si>
    <t>DIFERENÇA</t>
  </si>
  <si>
    <t>COMPENSAÇÃO</t>
  </si>
  <si>
    <t>TUSD - EAF 0 a 30</t>
  </si>
  <si>
    <t>TUSD - EAF 31 a 100</t>
  </si>
  <si>
    <t>TUSD - EAF 101 a 220</t>
  </si>
  <si>
    <t>TUSD - EAF &gt; 220</t>
  </si>
  <si>
    <t>TUSD - EAFdc 0 a 30</t>
  </si>
  <si>
    <t>TUSD - EAFdc 31 a 100</t>
  </si>
  <si>
    <t>TUSD - EAFdc 101 a 220</t>
  </si>
  <si>
    <t>TUSD - EAFdc &gt; 220</t>
  </si>
  <si>
    <t>TE - EAF 0 a 30</t>
  </si>
  <si>
    <t>TE - EAF 31 a 100</t>
  </si>
  <si>
    <t>TE - EAF 101 a 220</t>
  </si>
  <si>
    <t>TE - EAF &gt; 220</t>
  </si>
  <si>
    <t>TE - EAFdc 0 a 30</t>
  </si>
  <si>
    <t>TE - EAFdc 31 a 100</t>
  </si>
  <si>
    <t>TE - EAFdc 101 a 220</t>
  </si>
  <si>
    <t>TE - EAFdc &gt; 220</t>
  </si>
  <si>
    <t>TUSD - EAF Inj</t>
  </si>
  <si>
    <t>TE - EAF Inj</t>
  </si>
  <si>
    <t>Adicional BVM1 Inj</t>
  </si>
  <si>
    <t>Adicional BVM2 Inj</t>
  </si>
  <si>
    <t>Adicional EH Inj</t>
  </si>
  <si>
    <t>EH</t>
  </si>
  <si>
    <t>Consumo - TOTAL</t>
  </si>
  <si>
    <t>Documento Impressão</t>
  </si>
  <si>
    <t>TABELA  1 – TARIFAS DE APLICAÇÃO E BASE ECONÔMICA PARA O GRUPO A.</t>
  </si>
  <si>
    <t>SUBGRUPO</t>
  </si>
  <si>
    <t>MODALIDADE</t>
  </si>
  <si>
    <t>UC</t>
  </si>
  <si>
    <t>POSTO</t>
  </si>
  <si>
    <t>TARIFAS DE APLICAÇÃO</t>
  </si>
  <si>
    <t>BASE ECONÔMICA</t>
  </si>
  <si>
    <t>Reajuste</t>
  </si>
  <si>
    <t>Dia</t>
  </si>
  <si>
    <t>Mês</t>
  </si>
  <si>
    <t>Ano</t>
  </si>
  <si>
    <t xml:space="preserve">TE </t>
  </si>
  <si>
    <t>De</t>
  </si>
  <si>
    <t>07</t>
  </si>
  <si>
    <t>08</t>
  </si>
  <si>
    <t>R$/kW</t>
  </si>
  <si>
    <t>R$/MWh</t>
  </si>
  <si>
    <t>BVD – R$/MWh</t>
  </si>
  <si>
    <t>BAM – R$/MWh</t>
  </si>
  <si>
    <t>BVM – R$/MWh</t>
  </si>
  <si>
    <t>Até</t>
  </si>
  <si>
    <t>31</t>
  </si>
  <si>
    <t>12</t>
  </si>
  <si>
    <t>AZUL</t>
  </si>
  <si>
    <t>NA</t>
  </si>
  <si>
    <t>P</t>
  </si>
  <si>
    <t>A1 (230 kV ou mais)</t>
  </si>
  <si>
    <t>FP</t>
  </si>
  <si>
    <t>AZUL APE</t>
  </si>
  <si>
    <t>A2 (88 a 138kV)</t>
  </si>
  <si>
    <t>DISTRIBUIÇÃO</t>
  </si>
  <si>
    <t>ELFSM</t>
  </si>
  <si>
    <t>GERAÇÃO</t>
  </si>
  <si>
    <t>UTE LASA</t>
  </si>
  <si>
    <t>UTE ALCON</t>
  </si>
  <si>
    <t>UTE SOL</t>
  </si>
  <si>
    <t>UHE MASCARENHAS - ENERGEST</t>
  </si>
  <si>
    <t>UHE SUICA</t>
  </si>
  <si>
    <t>PCH SAO JOAQUIM</t>
  </si>
  <si>
    <t>PCH SAO SIMAO</t>
  </si>
  <si>
    <t>PCH FRANCISCO GROSS</t>
  </si>
  <si>
    <t>PCH SAO PEDRO</t>
  </si>
  <si>
    <t>UTE LINHARES</t>
  </si>
  <si>
    <t>UTE POVOACAO 1</t>
  </si>
  <si>
    <t>UTE ARCEL</t>
  </si>
  <si>
    <t>UTE BIANCOGRES</t>
  </si>
  <si>
    <t>NOVO GERADOR</t>
  </si>
  <si>
    <t>A3 (69kV)</t>
  </si>
  <si>
    <t>A3a (30 a 44kV)</t>
  </si>
  <si>
    <t>VERDE APE</t>
  </si>
  <si>
    <t>CONVENCIONAL</t>
  </si>
  <si>
    <t>A4 (2,3 a 25kV)</t>
  </si>
  <si>
    <t>COELBA</t>
  </si>
  <si>
    <t>TABELA 2 – TARIFAS DE APLICAÇÃO E BASE ECONÔMICA PARA O GRUPO B.</t>
  </si>
  <si>
    <t>CLASSE</t>
  </si>
  <si>
    <t>SUBCLASSE</t>
  </si>
  <si>
    <t>TARIFAS BASE ECONÔMICA</t>
  </si>
  <si>
    <t>BRANCA</t>
  </si>
  <si>
    <t>RESIDENCIAL</t>
  </si>
  <si>
    <t>INT</t>
  </si>
  <si>
    <r>
      <t>BAIXA RENDA</t>
    </r>
    <r>
      <rPr>
        <vertAlign val="superscript"/>
        <sz val="8"/>
        <color theme="1"/>
        <rFont val="Times New Roman"/>
        <family val="1"/>
      </rPr>
      <t>(1)</t>
    </r>
  </si>
  <si>
    <t>RURAL</t>
  </si>
  <si>
    <t>COOPERATIVA DE ELETRIFICAÇÃO RURAL</t>
  </si>
  <si>
    <t>SERVIÇO PÚBLICO DE IRRIGAÇÃO RURAL</t>
  </si>
  <si>
    <t>B4</t>
  </si>
  <si>
    <t>ILUMINAÇÃO PÚBLICA</t>
  </si>
  <si>
    <t>B4a – REDE DE DISTRIBUIÇÃO</t>
  </si>
  <si>
    <t>B4b – BULBO DE LÂMPADA</t>
  </si>
  <si>
    <t>Bônus/Descontos</t>
  </si>
  <si>
    <t>Adicional BVM1</t>
  </si>
  <si>
    <t>TUSD - Intermediário inj</t>
  </si>
  <si>
    <t xml:space="preserve">Bx Ren </t>
  </si>
  <si>
    <t>Consumo Bx Renda</t>
  </si>
  <si>
    <t>Consumo B1</t>
  </si>
  <si>
    <t>Consumo Bx Renda Dif</t>
  </si>
  <si>
    <t>Consumo BR Dif</t>
  </si>
  <si>
    <t>Consumo BR Normal</t>
  </si>
  <si>
    <t>Teste</t>
  </si>
  <si>
    <t>Energia Injetada BX Ren</t>
  </si>
  <si>
    <t>Consumo Bx Ren</t>
  </si>
  <si>
    <t>Energia Injetada Normal</t>
  </si>
  <si>
    <t>06</t>
  </si>
  <si>
    <t xml:space="preserve">CLASSE </t>
  </si>
  <si>
    <t>PRÉ-PAGAMENTO</t>
  </si>
  <si>
    <t>BAIXA RENDA</t>
  </si>
  <si>
    <t>NÃO SE APLICA</t>
  </si>
  <si>
    <t>ILUMINAÇÃO PÚBLICA – B4A</t>
  </si>
  <si>
    <t>ILUMINAÇÃO PÚBLICA – B4B</t>
  </si>
  <si>
    <t>B</t>
  </si>
  <si>
    <t>TIPO 01</t>
  </si>
  <si>
    <t>TIPO 02</t>
  </si>
  <si>
    <t>TARIFA NOVA - REH xxxx/2025</t>
  </si>
  <si>
    <t>TARIFA ANTIGA - REH 3370/2024</t>
  </si>
  <si>
    <t>TUSD FIO B (RTP 2025)</t>
  </si>
  <si>
    <t>TUSD FIO B (RTA 2026)</t>
  </si>
  <si>
    <t>RESIDENCIAL DESCONTO SOCIAL</t>
  </si>
  <si>
    <t>DESCONTO SOCIAL</t>
  </si>
  <si>
    <t xml:space="preserve">160787403	</t>
  </si>
  <si>
    <t>TUSD - Consumo Reservado</t>
  </si>
  <si>
    <t>Energia Fornecida reservado</t>
  </si>
  <si>
    <t>desconto:</t>
  </si>
  <si>
    <t>TE - Consumo Reservado</t>
  </si>
  <si>
    <t>TUSD - Consumo inj Reservado</t>
  </si>
  <si>
    <t>TE - Consumo inj Reservado</t>
  </si>
  <si>
    <t>Tarifa reservada bandeira com desconto</t>
  </si>
  <si>
    <t>Tarifa reservada com desconto</t>
  </si>
  <si>
    <t>Adicional BAM PT Reservado</t>
  </si>
  <si>
    <t>Adicional BVM 1 PT Reservado</t>
  </si>
  <si>
    <t>Adicional BVM 2 PT Reservado</t>
  </si>
  <si>
    <t>Adicional Esc. Hídrica Reserv</t>
  </si>
  <si>
    <t>Energia Injetada reservado</t>
  </si>
  <si>
    <t>Desconto reservado</t>
  </si>
  <si>
    <t>Desconto Injetado reservado</t>
  </si>
  <si>
    <t>Tarifa reservada inj com desconto</t>
  </si>
  <si>
    <t>instalações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</si>
</sst>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  <numFmt numFmtId="165" formatCode="0.00000"/>
    <numFmt numFmtId="166" formatCode="0.000000"/>
    <numFmt numFmtId="167" formatCode="_(* #,##0.00_);_(* \(#,##0.00\);_(* &quot;-&quot;??_);_(@_)"/>
    <numFmt numFmtId="168" formatCode="0.00000000"/>
    <numFmt numFmtId="169" formatCode="0.0000000"/>
    <numFmt numFmtId="170" formatCode="0.00_ ;[Red]\-0.00\ "/>
    <numFmt numFmtId="171" formatCode="#,##0.00_ ;\-#,##0.00\ "/>
    <numFmt numFmtId="172" formatCode="#,##0.0_ ;[Red]\-#,##0.0\ "/>
    <numFmt numFmtId="173" formatCode="_(* #,##0.0_);_(* \(#,##0.0\);_(* &quot;-&quot;??_);_(@_)"/>
    <numFmt numFmtId="174" formatCode="_-* #,##0.0000000_-;\-* #,##0.0000000_-;_-* &quot;-&quot;???????_-;_-@_-"/>
    <numFmt numFmtId="175" formatCode="0.000"/>
    <numFmt numFmtId="176" formatCode="_-* #,##0.00000_-;\-* #,##0.00000_-;_-* &quot;-&quot;??_-;_-@_-"/>
    <numFmt numFmtId="177" formatCode="_(&quot;R$ &quot;* #,##0.00_);_(&quot;R$ &quot;* \(#,##0.00\);_(&quot;R$ &quot;* &quot;-&quot;??_);_(@_)"/>
    <numFmt numFmtId="178" formatCode="_-* #,##0.00000000_-;\-* #,##0.00000000_-;_-* &quot;-&quot;????????_-;_-@_-"/>
    <numFmt numFmtId="179" formatCode="_(* #,##0.0000_);_(* \(#,##0.0000\);_(* &quot;-&quot;??_);_(@_)"/>
    <numFmt numFmtId="180" formatCode="_-* #,##0.0000_-;\-* #,##0.0000_-;_-* &quot;-&quot;??_-;_-@_-"/>
    <numFmt numFmtId="181" formatCode="_-* #,##0.00_-;\-* #,##0.00_-;_-* &quot;-&quot;???????_-;_-@_-"/>
    <numFmt numFmtId="182" formatCode="0.00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  <scheme val="minor"/>
    </font>
    <font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9"/>
      <color theme="1"/>
      <name val="Calibri"/>
      <family val="2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D1EB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167" fontId="1" fillId="0" borderId="0" applyFont="0" applyFill="0" applyBorder="0" applyAlignment="0" applyProtection="0"/>
    <xf numFmtId="0" fontId="36" fillId="0" borderId="0"/>
    <xf numFmtId="43" fontId="1" fillId="0" borderId="0" applyFont="0" applyFill="0" applyBorder="0" applyAlignment="0" applyProtection="0"/>
    <xf numFmtId="37" fontId="36" fillId="0" borderId="0"/>
    <xf numFmtId="4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5" fontId="9" fillId="6" borderId="4" xfId="0" applyNumberFormat="1" applyFont="1" applyFill="1" applyBorder="1" applyAlignment="1">
      <alignment horizontal="center" vertical="center"/>
    </xf>
    <xf numFmtId="165" fontId="9" fillId="7" borderId="4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14" fontId="11" fillId="9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right" vertical="center"/>
    </xf>
    <xf numFmtId="14" fontId="12" fillId="10" borderId="1" xfId="0" applyNumberFormat="1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8" fillId="10" borderId="1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166" fontId="6" fillId="0" borderId="1" xfId="3" applyNumberFormat="1" applyFont="1" applyBorder="1" applyAlignment="1">
      <alignment horizontal="center" vertical="center"/>
    </xf>
    <xf numFmtId="166" fontId="6" fillId="0" borderId="1" xfId="3" applyNumberFormat="1" applyFont="1" applyBorder="1" applyAlignment="1">
      <alignment vertical="center"/>
    </xf>
    <xf numFmtId="166" fontId="6" fillId="2" borderId="1" xfId="3" applyNumberFormat="1" applyFont="1" applyFill="1" applyBorder="1" applyAlignment="1">
      <alignment vertical="center"/>
    </xf>
    <xf numFmtId="10" fontId="0" fillId="4" borderId="0" xfId="2" applyNumberFormat="1" applyFont="1" applyFill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4" borderId="8" xfId="0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17" fontId="12" fillId="3" borderId="12" xfId="0" quotePrefix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12" borderId="10" xfId="0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4" fontId="2" fillId="12" borderId="12" xfId="0" applyNumberFormat="1" applyFont="1" applyFill="1" applyBorder="1" applyAlignment="1">
      <alignment horizontal="right" vertical="center"/>
    </xf>
    <xf numFmtId="0" fontId="0" fillId="4" borderId="12" xfId="0" applyFill="1" applyBorder="1" applyAlignment="1">
      <alignment horizontal="right" vertical="center"/>
    </xf>
    <xf numFmtId="168" fontId="0" fillId="0" borderId="0" xfId="0" applyNumberFormat="1" applyAlignment="1">
      <alignment vertical="center"/>
    </xf>
    <xf numFmtId="4" fontId="0" fillId="4" borderId="12" xfId="0" applyNumberFormat="1" applyFill="1" applyBorder="1" applyAlignment="1">
      <alignment vertical="center"/>
    </xf>
    <xf numFmtId="167" fontId="19" fillId="4" borderId="0" xfId="4" applyFont="1" applyFill="1" applyBorder="1" applyAlignment="1">
      <alignment vertical="center"/>
    </xf>
    <xf numFmtId="168" fontId="0" fillId="4" borderId="0" xfId="0" applyNumberFormat="1" applyFill="1" applyAlignment="1">
      <alignment vertical="center"/>
    </xf>
    <xf numFmtId="169" fontId="0" fillId="4" borderId="0" xfId="0" applyNumberFormat="1" applyFill="1" applyAlignment="1">
      <alignment vertical="center"/>
    </xf>
    <xf numFmtId="167" fontId="20" fillId="4" borderId="0" xfId="4" applyFont="1" applyFill="1" applyBorder="1" applyAlignment="1">
      <alignment vertical="center"/>
    </xf>
    <xf numFmtId="165" fontId="0" fillId="4" borderId="0" xfId="0" applyNumberFormat="1" applyFill="1" applyAlignment="1">
      <alignment vertical="center"/>
    </xf>
    <xf numFmtId="0" fontId="19" fillId="4" borderId="0" xfId="0" applyFont="1" applyFill="1" applyAlignment="1">
      <alignment vertical="center"/>
    </xf>
    <xf numFmtId="0" fontId="15" fillId="4" borderId="10" xfId="0" applyFont="1" applyFill="1" applyBorder="1" applyAlignment="1">
      <alignment vertical="center"/>
    </xf>
    <xf numFmtId="4" fontId="15" fillId="4" borderId="12" xfId="0" applyNumberFormat="1" applyFont="1" applyFill="1" applyBorder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4" fontId="2" fillId="4" borderId="12" xfId="0" applyNumberFormat="1" applyFont="1" applyFill="1" applyBorder="1" applyAlignment="1">
      <alignment vertical="center"/>
    </xf>
    <xf numFmtId="4" fontId="2" fillId="4" borderId="0" xfId="0" applyNumberFormat="1" applyFont="1" applyFill="1" applyAlignment="1">
      <alignment vertical="center"/>
    </xf>
    <xf numFmtId="4" fontId="0" fillId="4" borderId="0" xfId="0" applyNumberFormat="1" applyFill="1" applyAlignment="1">
      <alignment vertical="center"/>
    </xf>
    <xf numFmtId="170" fontId="0" fillId="4" borderId="0" xfId="0" applyNumberFormat="1" applyFill="1" applyAlignment="1">
      <alignment vertical="center"/>
    </xf>
    <xf numFmtId="10" fontId="19" fillId="9" borderId="0" xfId="0" applyNumberFormat="1" applyFont="1" applyFill="1" applyAlignment="1">
      <alignment vertical="center"/>
    </xf>
    <xf numFmtId="164" fontId="0" fillId="4" borderId="12" xfId="0" applyNumberFormat="1" applyFill="1" applyBorder="1" applyAlignment="1">
      <alignment vertical="center"/>
    </xf>
    <xf numFmtId="10" fontId="19" fillId="0" borderId="0" xfId="0" applyNumberFormat="1" applyFont="1" applyAlignment="1">
      <alignment vertical="center"/>
    </xf>
    <xf numFmtId="170" fontId="0" fillId="2" borderId="0" xfId="0" applyNumberFormat="1" applyFill="1" applyAlignment="1">
      <alignment vertical="center"/>
    </xf>
    <xf numFmtId="9" fontId="21" fillId="2" borderId="0" xfId="0" applyNumberFormat="1" applyFont="1" applyFill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170" fontId="0" fillId="4" borderId="13" xfId="0" applyNumberFormat="1" applyFill="1" applyBorder="1" applyAlignment="1">
      <alignment vertical="center"/>
    </xf>
    <xf numFmtId="9" fontId="0" fillId="4" borderId="13" xfId="0" applyNumberFormat="1" applyFill="1" applyBorder="1" applyAlignment="1">
      <alignment vertical="center"/>
    </xf>
    <xf numFmtId="170" fontId="0" fillId="4" borderId="14" xfId="0" applyNumberFormat="1" applyFill="1" applyBorder="1" applyAlignment="1">
      <alignment vertical="center"/>
    </xf>
    <xf numFmtId="166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9" fontId="0" fillId="2" borderId="0" xfId="0" applyNumberFormat="1" applyFill="1" applyAlignment="1">
      <alignment vertical="center"/>
    </xf>
    <xf numFmtId="166" fontId="6" fillId="0" borderId="0" xfId="3" applyNumberFormat="1" applyFont="1" applyAlignment="1">
      <alignment horizontal="center" vertical="center"/>
    </xf>
    <xf numFmtId="166" fontId="6" fillId="0" borderId="0" xfId="3" applyNumberFormat="1" applyFont="1" applyAlignment="1">
      <alignment vertical="center"/>
    </xf>
    <xf numFmtId="166" fontId="6" fillId="2" borderId="0" xfId="3" applyNumberFormat="1" applyFont="1" applyFill="1" applyAlignment="1">
      <alignment vertical="center"/>
    </xf>
    <xf numFmtId="10" fontId="19" fillId="9" borderId="0" xfId="2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167" fontId="19" fillId="13" borderId="0" xfId="4" applyFont="1" applyFill="1" applyBorder="1" applyAlignment="1">
      <alignment vertical="center"/>
    </xf>
    <xf numFmtId="171" fontId="0" fillId="0" borderId="0" xfId="0" applyNumberFormat="1" applyAlignment="1">
      <alignment vertical="center"/>
    </xf>
    <xf numFmtId="43" fontId="23" fillId="4" borderId="0" xfId="0" applyNumberFormat="1" applyFont="1" applyFill="1" applyAlignment="1">
      <alignment vertical="center"/>
    </xf>
    <xf numFmtId="172" fontId="19" fillId="0" borderId="0" xfId="4" applyNumberFormat="1" applyFont="1" applyFill="1" applyBorder="1" applyAlignment="1">
      <alignment vertical="center"/>
    </xf>
    <xf numFmtId="173" fontId="19" fillId="0" borderId="0" xfId="4" applyNumberFormat="1" applyFont="1" applyFill="1" applyBorder="1" applyAlignment="1">
      <alignment vertical="center"/>
    </xf>
    <xf numFmtId="166" fontId="6" fillId="2" borderId="0" xfId="3" applyNumberFormat="1" applyFont="1" applyFill="1" applyAlignment="1">
      <alignment horizontal="center" vertical="center"/>
    </xf>
    <xf numFmtId="0" fontId="0" fillId="0" borderId="10" xfId="0" applyBorder="1" applyAlignment="1">
      <alignment vertical="center"/>
    </xf>
    <xf numFmtId="4" fontId="0" fillId="2" borderId="9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3" fontId="0" fillId="0" borderId="0" xfId="1" applyFont="1"/>
    <xf numFmtId="0" fontId="25" fillId="4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0" fontId="26" fillId="0" borderId="16" xfId="2" applyNumberFormat="1" applyFont="1" applyFill="1" applyBorder="1" applyAlignment="1">
      <alignment horizontal="right" vertical="center"/>
    </xf>
    <xf numFmtId="167" fontId="0" fillId="0" borderId="0" xfId="4" applyFont="1" applyAlignment="1">
      <alignment vertical="center"/>
    </xf>
    <xf numFmtId="167" fontId="2" fillId="0" borderId="0" xfId="4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10" fontId="26" fillId="2" borderId="16" xfId="2" quotePrefix="1" applyNumberFormat="1" applyFont="1" applyFill="1" applyBorder="1" applyAlignment="1">
      <alignment horizontal="right" vertical="center"/>
    </xf>
    <xf numFmtId="167" fontId="2" fillId="2" borderId="0" xfId="4" applyFont="1" applyFill="1" applyAlignment="1">
      <alignment vertical="center"/>
    </xf>
    <xf numFmtId="10" fontId="26" fillId="0" borderId="16" xfId="2" quotePrefix="1" applyNumberFormat="1" applyFont="1" applyFill="1" applyBorder="1" applyAlignment="1">
      <alignment horizontal="right" vertical="center"/>
    </xf>
    <xf numFmtId="43" fontId="0" fillId="4" borderId="0" xfId="0" applyNumberFormat="1" applyFill="1" applyAlignment="1">
      <alignment vertical="center"/>
    </xf>
    <xf numFmtId="0" fontId="2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64" fontId="19" fillId="3" borderId="0" xfId="4" applyNumberFormat="1" applyFont="1" applyFill="1" applyBorder="1" applyAlignment="1">
      <alignment vertical="center"/>
    </xf>
    <xf numFmtId="168" fontId="0" fillId="3" borderId="0" xfId="0" applyNumberFormat="1" applyFill="1" applyAlignment="1">
      <alignment vertical="center"/>
    </xf>
    <xf numFmtId="169" fontId="0" fillId="3" borderId="0" xfId="0" applyNumberFormat="1" applyFill="1" applyAlignment="1">
      <alignment vertical="center"/>
    </xf>
    <xf numFmtId="4" fontId="0" fillId="3" borderId="12" xfId="0" applyNumberFormat="1" applyFill="1" applyBorder="1" applyAlignment="1">
      <alignment vertical="center"/>
    </xf>
    <xf numFmtId="167" fontId="20" fillId="3" borderId="0" xfId="4" applyFont="1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0" fontId="15" fillId="0" borderId="0" xfId="0" applyFont="1" applyAlignment="1">
      <alignment vertical="center"/>
    </xf>
    <xf numFmtId="1" fontId="0" fillId="0" borderId="1" xfId="0" applyNumberFormat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167" fontId="11" fillId="9" borderId="0" xfId="4" applyFont="1" applyFill="1" applyBorder="1" applyAlignment="1">
      <alignment vertical="center"/>
    </xf>
    <xf numFmtId="168" fontId="6" fillId="0" borderId="0" xfId="0" applyNumberFormat="1" applyFont="1" applyAlignment="1">
      <alignment vertical="center"/>
    </xf>
    <xf numFmtId="4" fontId="6" fillId="4" borderId="12" xfId="0" applyNumberFormat="1" applyFont="1" applyFill="1" applyBorder="1" applyAlignment="1">
      <alignment vertical="center"/>
    </xf>
    <xf numFmtId="2" fontId="6" fillId="2" borderId="0" xfId="0" applyNumberFormat="1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174" fontId="2" fillId="2" borderId="0" xfId="0" applyNumberFormat="1" applyFont="1" applyFill="1" applyAlignment="1">
      <alignment vertical="center"/>
    </xf>
    <xf numFmtId="0" fontId="11" fillId="4" borderId="0" xfId="0" applyFont="1" applyFill="1" applyAlignment="1">
      <alignment vertical="center"/>
    </xf>
    <xf numFmtId="167" fontId="14" fillId="4" borderId="0" xfId="4" applyFont="1" applyFill="1" applyBorder="1" applyAlignment="1">
      <alignment vertical="center"/>
    </xf>
    <xf numFmtId="165" fontId="6" fillId="4" borderId="0" xfId="0" applyNumberFormat="1" applyFont="1" applyFill="1" applyAlignment="1">
      <alignment vertical="center"/>
    </xf>
    <xf numFmtId="0" fontId="14" fillId="4" borderId="0" xfId="0" applyFont="1" applyFill="1" applyAlignment="1">
      <alignment vertical="center"/>
    </xf>
    <xf numFmtId="168" fontId="6" fillId="4" borderId="0" xfId="0" applyNumberFormat="1" applyFont="1" applyFill="1" applyAlignment="1">
      <alignment vertical="center"/>
    </xf>
    <xf numFmtId="43" fontId="0" fillId="15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167" fontId="11" fillId="4" borderId="0" xfId="4" applyFont="1" applyFill="1" applyBorder="1" applyAlignment="1">
      <alignment vertical="center"/>
    </xf>
    <xf numFmtId="166" fontId="6" fillId="4" borderId="0" xfId="0" applyNumberFormat="1" applyFont="1" applyFill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166" fontId="6" fillId="4" borderId="13" xfId="0" applyNumberFormat="1" applyFont="1" applyFill="1" applyBorder="1" applyAlignment="1">
      <alignment vertical="center"/>
    </xf>
    <xf numFmtId="4" fontId="6" fillId="4" borderId="14" xfId="0" applyNumberFormat="1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8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4" fontId="10" fillId="4" borderId="12" xfId="0" applyNumberFormat="1" applyFont="1" applyFill="1" applyBorder="1" applyAlignment="1">
      <alignment vertical="center"/>
    </xf>
    <xf numFmtId="4" fontId="6" fillId="4" borderId="0" xfId="0" applyNumberFormat="1" applyFont="1" applyFill="1" applyAlignment="1">
      <alignment vertical="center"/>
    </xf>
    <xf numFmtId="10" fontId="11" fillId="9" borderId="0" xfId="2" applyNumberFormat="1" applyFont="1" applyFill="1" applyBorder="1" applyAlignment="1">
      <alignment vertical="center"/>
    </xf>
    <xf numFmtId="10" fontId="11" fillId="4" borderId="0" xfId="0" applyNumberFormat="1" applyFont="1" applyFill="1" applyAlignment="1">
      <alignment vertical="center"/>
    </xf>
    <xf numFmtId="4" fontId="6" fillId="16" borderId="13" xfId="0" applyNumberFormat="1" applyFont="1" applyFill="1" applyBorder="1" applyAlignment="1">
      <alignment vertical="center"/>
    </xf>
    <xf numFmtId="9" fontId="11" fillId="16" borderId="13" xfId="0" applyNumberFormat="1" applyFont="1" applyFill="1" applyBorder="1" applyAlignment="1">
      <alignment vertical="center"/>
    </xf>
    <xf numFmtId="9" fontId="0" fillId="4" borderId="0" xfId="0" applyNumberFormat="1" applyFill="1" applyAlignment="1">
      <alignment vertical="center"/>
    </xf>
    <xf numFmtId="0" fontId="18" fillId="17" borderId="17" xfId="3" applyFont="1" applyFill="1" applyBorder="1" applyAlignment="1">
      <alignment horizontal="center" vertical="center"/>
    </xf>
    <xf numFmtId="0" fontId="18" fillId="17" borderId="20" xfId="3" applyFont="1" applyFill="1" applyBorder="1" applyAlignment="1">
      <alignment horizontal="center" vertical="center" wrapText="1"/>
    </xf>
    <xf numFmtId="0" fontId="18" fillId="17" borderId="21" xfId="3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" fontId="2" fillId="3" borderId="4" xfId="0" applyNumberFormat="1" applyFont="1" applyFill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177" fontId="0" fillId="4" borderId="0" xfId="0" applyNumberFormat="1" applyFill="1" applyAlignment="1">
      <alignment vertical="center"/>
    </xf>
    <xf numFmtId="177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9" fillId="4" borderId="22" xfId="0" applyFont="1" applyFill="1" applyBorder="1" applyAlignment="1">
      <alignment horizontal="right" vertical="center"/>
    </xf>
    <xf numFmtId="0" fontId="28" fillId="4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0" xfId="0" applyFill="1" applyAlignment="1">
      <alignment vertical="center"/>
    </xf>
    <xf numFmtId="164" fontId="19" fillId="8" borderId="0" xfId="4" applyNumberFormat="1" applyFont="1" applyFill="1" applyBorder="1" applyAlignment="1">
      <alignment vertical="center"/>
    </xf>
    <xf numFmtId="168" fontId="0" fillId="8" borderId="0" xfId="0" applyNumberFormat="1" applyFill="1" applyAlignment="1">
      <alignment vertical="center"/>
    </xf>
    <xf numFmtId="4" fontId="0" fillId="8" borderId="12" xfId="0" applyNumberFormat="1" applyFill="1" applyBorder="1" applyAlignment="1">
      <alignment vertical="center"/>
    </xf>
    <xf numFmtId="167" fontId="20" fillId="8" borderId="0" xfId="4" applyFont="1" applyFill="1" applyBorder="1" applyAlignment="1">
      <alignment vertical="center"/>
    </xf>
    <xf numFmtId="165" fontId="0" fillId="8" borderId="0" xfId="0" applyNumberFormat="1" applyFill="1" applyAlignment="1">
      <alignment vertical="center"/>
    </xf>
    <xf numFmtId="43" fontId="0" fillId="0" borderId="0" xfId="0" applyNumberFormat="1" applyAlignment="1">
      <alignment horizontal="left" vertical="center"/>
    </xf>
    <xf numFmtId="43" fontId="0" fillId="0" borderId="0" xfId="1" applyFont="1" applyAlignment="1">
      <alignment vertical="center"/>
    </xf>
    <xf numFmtId="0" fontId="6" fillId="0" borderId="0" xfId="0" applyFont="1" applyAlignment="1">
      <alignment horizontal="left" vertical="center"/>
    </xf>
    <xf numFmtId="1" fontId="6" fillId="0" borderId="17" xfId="3" applyNumberFormat="1" applyFont="1" applyBorder="1" applyAlignment="1">
      <alignment vertical="center"/>
    </xf>
    <xf numFmtId="165" fontId="6" fillId="0" borderId="17" xfId="3" applyNumberFormat="1" applyFont="1" applyBorder="1" applyAlignment="1">
      <alignment vertical="center"/>
    </xf>
    <xf numFmtId="2" fontId="10" fillId="10" borderId="17" xfId="3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2" fontId="10" fillId="0" borderId="17" xfId="3" applyNumberFormat="1" applyFont="1" applyBorder="1" applyAlignment="1">
      <alignment vertical="center"/>
    </xf>
    <xf numFmtId="165" fontId="6" fillId="13" borderId="17" xfId="3" applyNumberFormat="1" applyFont="1" applyFill="1" applyBorder="1" applyAlignment="1">
      <alignment vertical="center"/>
    </xf>
    <xf numFmtId="1" fontId="6" fillId="0" borderId="0" xfId="3" applyNumberFormat="1" applyFont="1" applyAlignment="1">
      <alignment vertical="center"/>
    </xf>
    <xf numFmtId="165" fontId="6" fillId="0" borderId="0" xfId="3" applyNumberFormat="1" applyFont="1" applyAlignment="1">
      <alignment vertical="center"/>
    </xf>
    <xf numFmtId="0" fontId="6" fillId="13" borderId="0" xfId="0" applyFont="1" applyFill="1" applyAlignment="1">
      <alignment vertical="center"/>
    </xf>
    <xf numFmtId="4" fontId="10" fillId="13" borderId="0" xfId="0" applyNumberFormat="1" applyFont="1" applyFill="1" applyAlignment="1">
      <alignment vertical="center"/>
    </xf>
    <xf numFmtId="0" fontId="30" fillId="0" borderId="0" xfId="0" applyFont="1" applyAlignment="1">
      <alignment horizontal="right" vertical="center"/>
    </xf>
    <xf numFmtId="2" fontId="6" fillId="0" borderId="0" xfId="0" applyNumberFormat="1" applyFont="1" applyAlignment="1">
      <alignment vertical="center"/>
    </xf>
    <xf numFmtId="165" fontId="27" fillId="0" borderId="17" xfId="0" applyNumberFormat="1" applyFont="1" applyBorder="1" applyAlignment="1">
      <alignment vertical="center"/>
    </xf>
    <xf numFmtId="175" fontId="27" fillId="0" borderId="0" xfId="0" applyNumberFormat="1" applyFont="1" applyAlignment="1">
      <alignment vertical="center"/>
    </xf>
    <xf numFmtId="0" fontId="18" fillId="17" borderId="21" xfId="3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vertical="center"/>
    </xf>
    <xf numFmtId="176" fontId="6" fillId="0" borderId="17" xfId="3" applyNumberFormat="1" applyFont="1" applyBorder="1" applyAlignment="1">
      <alignment vertical="center"/>
    </xf>
    <xf numFmtId="2" fontId="6" fillId="0" borderId="17" xfId="3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2" fontId="10" fillId="3" borderId="17" xfId="3" applyNumberFormat="1" applyFont="1" applyFill="1" applyBorder="1" applyAlignment="1">
      <alignment vertical="center"/>
    </xf>
    <xf numFmtId="2" fontId="2" fillId="0" borderId="0" xfId="0" applyNumberFormat="1" applyFont="1" applyAlignment="1">
      <alignment vertical="center"/>
    </xf>
    <xf numFmtId="43" fontId="6" fillId="0" borderId="1" xfId="1" applyFont="1" applyBorder="1" applyAlignment="1">
      <alignment vertical="center"/>
    </xf>
    <xf numFmtId="2" fontId="10" fillId="18" borderId="17" xfId="3" applyNumberFormat="1" applyFont="1" applyFill="1" applyBorder="1" applyAlignment="1">
      <alignment vertical="center"/>
    </xf>
    <xf numFmtId="0" fontId="31" fillId="2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170" fontId="0" fillId="4" borderId="6" xfId="0" applyNumberFormat="1" applyFill="1" applyBorder="1" applyAlignment="1">
      <alignment vertical="center"/>
    </xf>
    <xf numFmtId="9" fontId="0" fillId="4" borderId="6" xfId="0" applyNumberFormat="1" applyFill="1" applyBorder="1" applyAlignment="1">
      <alignment vertical="center"/>
    </xf>
    <xf numFmtId="170" fontId="0" fillId="4" borderId="4" xfId="0" applyNumberFormat="1" applyFill="1" applyBorder="1" applyAlignment="1">
      <alignment vertical="center"/>
    </xf>
    <xf numFmtId="164" fontId="19" fillId="13" borderId="0" xfId="4" applyNumberFormat="1" applyFont="1" applyFill="1" applyBorder="1" applyAlignment="1">
      <alignment vertical="center"/>
    </xf>
    <xf numFmtId="167" fontId="32" fillId="9" borderId="0" xfId="4" applyFont="1" applyFill="1" applyBorder="1" applyAlignment="1">
      <alignment vertical="center"/>
    </xf>
    <xf numFmtId="4" fontId="6" fillId="9" borderId="0" xfId="0" applyNumberFormat="1" applyFont="1" applyFill="1" applyAlignment="1">
      <alignment vertical="center"/>
    </xf>
    <xf numFmtId="168" fontId="6" fillId="9" borderId="0" xfId="0" applyNumberFormat="1" applyFont="1" applyFill="1" applyAlignment="1">
      <alignment vertical="center"/>
    </xf>
    <xf numFmtId="0" fontId="8" fillId="6" borderId="23" xfId="0" applyFont="1" applyFill="1" applyBorder="1" applyAlignment="1">
      <alignment horizontal="center" vertical="center"/>
    </xf>
    <xf numFmtId="0" fontId="18" fillId="13" borderId="24" xfId="0" applyFont="1" applyFill="1" applyBorder="1" applyAlignment="1">
      <alignment horizontal="left" vertical="center"/>
    </xf>
    <xf numFmtId="0" fontId="18" fillId="13" borderId="25" xfId="0" applyFont="1" applyFill="1" applyBorder="1" applyAlignment="1">
      <alignment horizontal="center" vertical="center"/>
    </xf>
    <xf numFmtId="0" fontId="18" fillId="10" borderId="26" xfId="3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left" vertical="center"/>
    </xf>
    <xf numFmtId="0" fontId="10" fillId="8" borderId="25" xfId="0" applyFont="1" applyFill="1" applyBorder="1" applyAlignment="1">
      <alignment horizontal="center" vertical="center"/>
    </xf>
    <xf numFmtId="10" fontId="10" fillId="8" borderId="26" xfId="2" applyNumberFormat="1" applyFont="1" applyFill="1" applyBorder="1" applyAlignment="1">
      <alignment vertical="center"/>
    </xf>
    <xf numFmtId="166" fontId="10" fillId="8" borderId="26" xfId="3" applyNumberFormat="1" applyFont="1" applyFill="1" applyBorder="1" applyAlignment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10" fontId="6" fillId="0" borderId="26" xfId="2" applyNumberFormat="1" applyFont="1" applyFill="1" applyBorder="1" applyAlignment="1">
      <alignment vertical="center"/>
    </xf>
    <xf numFmtId="166" fontId="6" fillId="0" borderId="26" xfId="3" applyNumberFormat="1" applyFont="1" applyBorder="1" applyAlignment="1">
      <alignment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10" fontId="10" fillId="0" borderId="26" xfId="2" applyNumberFormat="1" applyFont="1" applyFill="1" applyBorder="1" applyAlignment="1">
      <alignment vertical="center"/>
    </xf>
    <xf numFmtId="166" fontId="6" fillId="0" borderId="1" xfId="3" applyNumberFormat="1" applyFont="1" applyBorder="1" applyAlignment="1">
      <alignment horizontal="left" vertical="center"/>
    </xf>
    <xf numFmtId="167" fontId="0" fillId="0" borderId="0" xfId="0" applyNumberFormat="1" applyAlignment="1">
      <alignment vertical="center"/>
    </xf>
    <xf numFmtId="0" fontId="0" fillId="4" borderId="0" xfId="0" applyFill="1"/>
    <xf numFmtId="0" fontId="0" fillId="4" borderId="27" xfId="0" applyFill="1" applyBorder="1" applyAlignment="1">
      <alignment horizontal="left" vertical="center"/>
    </xf>
    <xf numFmtId="9" fontId="6" fillId="4" borderId="27" xfId="0" applyNumberFormat="1" applyFont="1" applyFill="1" applyBorder="1" applyAlignment="1">
      <alignment horizontal="center" vertical="center"/>
    </xf>
    <xf numFmtId="0" fontId="0" fillId="4" borderId="28" xfId="0" applyFill="1" applyBorder="1" applyAlignment="1">
      <alignment horizontal="left" vertical="center"/>
    </xf>
    <xf numFmtId="9" fontId="6" fillId="4" borderId="28" xfId="0" applyNumberFormat="1" applyFont="1" applyFill="1" applyBorder="1" applyAlignment="1">
      <alignment horizontal="center" vertical="center"/>
    </xf>
    <xf numFmtId="14" fontId="14" fillId="4" borderId="28" xfId="0" applyNumberFormat="1" applyFont="1" applyFill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0" fillId="0" borderId="29" xfId="0" applyBorder="1" applyAlignment="1">
      <alignment horizontal="left" vertical="center"/>
    </xf>
    <xf numFmtId="9" fontId="6" fillId="4" borderId="29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67" fontId="19" fillId="9" borderId="0" xfId="4" applyFont="1" applyFill="1" applyBorder="1" applyAlignment="1">
      <alignment vertical="center"/>
    </xf>
    <xf numFmtId="168" fontId="0" fillId="2" borderId="0" xfId="0" applyNumberFormat="1" applyFill="1" applyAlignment="1">
      <alignment vertical="center"/>
    </xf>
    <xf numFmtId="166" fontId="6" fillId="2" borderId="0" xfId="0" applyNumberFormat="1" applyFont="1" applyFill="1" applyAlignment="1">
      <alignment vertical="center"/>
    </xf>
    <xf numFmtId="178" fontId="0" fillId="4" borderId="0" xfId="0" applyNumberFormat="1" applyFill="1" applyAlignment="1">
      <alignment vertical="center"/>
    </xf>
    <xf numFmtId="174" fontId="0" fillId="0" borderId="0" xfId="0" applyNumberFormat="1" applyAlignment="1">
      <alignment vertical="center"/>
    </xf>
    <xf numFmtId="167" fontId="19" fillId="4" borderId="13" xfId="4" applyFont="1" applyFill="1" applyBorder="1" applyAlignment="1">
      <alignment vertical="center"/>
    </xf>
    <xf numFmtId="166" fontId="0" fillId="4" borderId="13" xfId="0" applyNumberFormat="1" applyFill="1" applyBorder="1" applyAlignment="1">
      <alignment vertical="center"/>
    </xf>
    <xf numFmtId="4" fontId="0" fillId="4" borderId="14" xfId="0" applyNumberFormat="1" applyFill="1" applyBorder="1" applyAlignment="1">
      <alignment vertical="center"/>
    </xf>
    <xf numFmtId="0" fontId="0" fillId="0" borderId="9" xfId="0" applyBorder="1" applyAlignment="1">
      <alignment vertical="center"/>
    </xf>
    <xf numFmtId="10" fontId="19" fillId="4" borderId="0" xfId="0" applyNumberFormat="1" applyFont="1" applyFill="1" applyAlignment="1">
      <alignment vertical="center"/>
    </xf>
    <xf numFmtId="4" fontId="0" fillId="2" borderId="0" xfId="0" applyNumberFormat="1" applyFill="1" applyAlignment="1">
      <alignment vertical="center"/>
    </xf>
    <xf numFmtId="9" fontId="19" fillId="2" borderId="0" xfId="0" applyNumberFormat="1" applyFont="1" applyFill="1" applyAlignment="1">
      <alignment vertical="center"/>
    </xf>
    <xf numFmtId="0" fontId="0" fillId="4" borderId="14" xfId="0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167" fontId="6" fillId="4" borderId="1" xfId="4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167" fontId="10" fillId="4" borderId="1" xfId="0" applyNumberFormat="1" applyFont="1" applyFill="1" applyBorder="1" applyAlignment="1">
      <alignment vertical="center"/>
    </xf>
    <xf numFmtId="10" fontId="6" fillId="0" borderId="0" xfId="0" applyNumberFormat="1" applyFont="1" applyAlignment="1">
      <alignment vertical="center"/>
    </xf>
    <xf numFmtId="0" fontId="6" fillId="19" borderId="0" xfId="0" applyFont="1" applyFill="1" applyAlignment="1">
      <alignment vertical="center"/>
    </xf>
    <xf numFmtId="166" fontId="6" fillId="2" borderId="26" xfId="3" applyNumberFormat="1" applyFont="1" applyFill="1" applyBorder="1" applyAlignment="1">
      <alignment vertical="center"/>
    </xf>
    <xf numFmtId="166" fontId="10" fillId="2" borderId="26" xfId="3" applyNumberFormat="1" applyFont="1" applyFill="1" applyBorder="1" applyAlignment="1">
      <alignment vertical="center"/>
    </xf>
    <xf numFmtId="10" fontId="19" fillId="0" borderId="0" xfId="2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23" xfId="0" applyFill="1" applyBorder="1" applyAlignment="1">
      <alignment horizontal="center" vertical="center"/>
    </xf>
    <xf numFmtId="179" fontId="19" fillId="9" borderId="23" xfId="4" applyNumberFormat="1" applyFont="1" applyFill="1" applyBorder="1" applyAlignment="1">
      <alignment vertical="center"/>
    </xf>
    <xf numFmtId="168" fontId="0" fillId="4" borderId="23" xfId="0" applyNumberFormat="1" applyFill="1" applyBorder="1" applyAlignment="1">
      <alignment vertical="center"/>
    </xf>
    <xf numFmtId="167" fontId="0" fillId="4" borderId="23" xfId="0" applyNumberFormat="1" applyFill="1" applyBorder="1" applyAlignment="1">
      <alignment vertical="center"/>
    </xf>
    <xf numFmtId="43" fontId="0" fillId="4" borderId="23" xfId="0" applyNumberFormat="1" applyFill="1" applyBorder="1" applyAlignment="1">
      <alignment vertical="center"/>
    </xf>
    <xf numFmtId="9" fontId="21" fillId="2" borderId="23" xfId="0" applyNumberFormat="1" applyFont="1" applyFill="1" applyBorder="1" applyAlignment="1">
      <alignment vertical="center"/>
    </xf>
    <xf numFmtId="10" fontId="19" fillId="9" borderId="23" xfId="0" applyNumberFormat="1" applyFont="1" applyFill="1" applyBorder="1" applyAlignment="1">
      <alignment vertical="center"/>
    </xf>
    <xf numFmtId="167" fontId="2" fillId="10" borderId="23" xfId="0" applyNumberFormat="1" applyFont="1" applyFill="1" applyBorder="1" applyAlignment="1">
      <alignment vertical="center"/>
    </xf>
    <xf numFmtId="179" fontId="0" fillId="4" borderId="23" xfId="0" applyNumberForma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10" fontId="0" fillId="4" borderId="0" xfId="0" applyNumberFormat="1" applyFill="1" applyAlignment="1">
      <alignment vertical="center"/>
    </xf>
    <xf numFmtId="2" fontId="0" fillId="4" borderId="0" xfId="0" applyNumberFormat="1" applyFill="1" applyAlignment="1">
      <alignment vertical="center"/>
    </xf>
    <xf numFmtId="167" fontId="19" fillId="9" borderId="23" xfId="4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79" fontId="0" fillId="4" borderId="3" xfId="0" applyNumberFormat="1" applyFill="1" applyBorder="1" applyAlignment="1">
      <alignment vertical="center"/>
    </xf>
    <xf numFmtId="167" fontId="2" fillId="20" borderId="3" xfId="0" applyNumberFormat="1" applyFont="1" applyFill="1" applyBorder="1" applyAlignment="1">
      <alignment vertical="center"/>
    </xf>
    <xf numFmtId="167" fontId="2" fillId="4" borderId="3" xfId="0" applyNumberFormat="1" applyFont="1" applyFill="1" applyBorder="1" applyAlignment="1">
      <alignment vertical="center"/>
    </xf>
    <xf numFmtId="167" fontId="2" fillId="10" borderId="3" xfId="0" applyNumberFormat="1" applyFont="1" applyFill="1" applyBorder="1" applyAlignment="1">
      <alignment vertical="center"/>
    </xf>
    <xf numFmtId="167" fontId="18" fillId="16" borderId="0" xfId="4" applyFont="1" applyFill="1" applyBorder="1" applyAlignment="1">
      <alignment vertical="center"/>
    </xf>
    <xf numFmtId="4" fontId="14" fillId="16" borderId="0" xfId="0" applyNumberFormat="1" applyFont="1" applyFill="1" applyAlignment="1">
      <alignment vertical="center"/>
    </xf>
    <xf numFmtId="168" fontId="14" fillId="16" borderId="0" xfId="0" applyNumberFormat="1" applyFont="1" applyFill="1" applyAlignment="1">
      <alignment vertical="center"/>
    </xf>
    <xf numFmtId="0" fontId="32" fillId="8" borderId="1" xfId="0" applyFont="1" applyFill="1" applyBorder="1" applyAlignment="1">
      <alignment horizontal="center" vertical="center" wrapText="1"/>
    </xf>
    <xf numFmtId="1" fontId="32" fillId="11" borderId="0" xfId="4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/>
    </xf>
    <xf numFmtId="14" fontId="14" fillId="4" borderId="0" xfId="0" applyNumberFormat="1" applyFont="1" applyFill="1" applyAlignment="1">
      <alignment horizontal="center"/>
    </xf>
    <xf numFmtId="3" fontId="14" fillId="4" borderId="0" xfId="0" applyNumberFormat="1" applyFont="1" applyFill="1" applyAlignment="1">
      <alignment horizontal="center"/>
    </xf>
    <xf numFmtId="14" fontId="11" fillId="4" borderId="0" xfId="0" applyNumberFormat="1" applyFont="1" applyFill="1" applyAlignment="1">
      <alignment horizontal="center"/>
    </xf>
    <xf numFmtId="0" fontId="0" fillId="10" borderId="23" xfId="0" applyFill="1" applyBorder="1" applyAlignment="1">
      <alignment vertical="center"/>
    </xf>
    <xf numFmtId="2" fontId="0" fillId="21" borderId="23" xfId="0" applyNumberFormat="1" applyFill="1" applyBorder="1" applyAlignment="1">
      <alignment vertical="center"/>
    </xf>
    <xf numFmtId="168" fontId="0" fillId="21" borderId="23" xfId="0" applyNumberFormat="1" applyFill="1" applyBorder="1" applyAlignment="1">
      <alignment vertical="center"/>
    </xf>
    <xf numFmtId="167" fontId="0" fillId="10" borderId="23" xfId="4" applyFont="1" applyFill="1" applyBorder="1" applyAlignment="1">
      <alignment vertical="center"/>
    </xf>
    <xf numFmtId="2" fontId="0" fillId="10" borderId="23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9" fontId="6" fillId="4" borderId="10" xfId="0" applyNumberFormat="1" applyFont="1" applyFill="1" applyBorder="1" applyAlignment="1">
      <alignment horizontal="center" vertical="center"/>
    </xf>
    <xf numFmtId="10" fontId="0" fillId="0" borderId="0" xfId="0" applyNumberFormat="1"/>
    <xf numFmtId="180" fontId="0" fillId="0" borderId="0" xfId="0" applyNumberFormat="1"/>
    <xf numFmtId="9" fontId="0" fillId="0" borderId="0" xfId="0" applyNumberFormat="1"/>
    <xf numFmtId="0" fontId="0" fillId="3" borderId="23" xfId="0" applyFill="1" applyBorder="1" applyAlignment="1">
      <alignment vertical="center"/>
    </xf>
    <xf numFmtId="0" fontId="0" fillId="3" borderId="23" xfId="0" applyFill="1" applyBorder="1" applyAlignment="1">
      <alignment horizontal="center" vertical="center"/>
    </xf>
    <xf numFmtId="167" fontId="0" fillId="3" borderId="23" xfId="0" applyNumberFormat="1" applyFill="1" applyBorder="1" applyAlignment="1">
      <alignment vertical="center"/>
    </xf>
    <xf numFmtId="168" fontId="0" fillId="3" borderId="23" xfId="0" applyNumberFormat="1" applyFill="1" applyBorder="1" applyAlignment="1">
      <alignment vertical="center"/>
    </xf>
    <xf numFmtId="43" fontId="0" fillId="3" borderId="23" xfId="0" applyNumberFormat="1" applyFill="1" applyBorder="1" applyAlignment="1">
      <alignment vertical="center"/>
    </xf>
    <xf numFmtId="2" fontId="0" fillId="0" borderId="0" xfId="0" applyNumberFormat="1"/>
    <xf numFmtId="43" fontId="0" fillId="0" borderId="0" xfId="0" applyNumberFormat="1"/>
    <xf numFmtId="166" fontId="6" fillId="0" borderId="1" xfId="3" applyNumberFormat="1" applyFont="1" applyBorder="1"/>
    <xf numFmtId="9" fontId="6" fillId="4" borderId="0" xfId="0" applyNumberFormat="1" applyFont="1" applyFill="1" applyAlignment="1">
      <alignment horizontal="center" vertical="center"/>
    </xf>
    <xf numFmtId="0" fontId="11" fillId="22" borderId="11" xfId="0" applyFont="1" applyFill="1" applyBorder="1" applyAlignment="1">
      <alignment vertical="center"/>
    </xf>
    <xf numFmtId="18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7" fontId="0" fillId="0" borderId="30" xfId="0" applyNumberFormat="1" applyBorder="1" applyAlignment="1">
      <alignment vertical="center"/>
    </xf>
    <xf numFmtId="167" fontId="2" fillId="2" borderId="0" xfId="0" applyNumberFormat="1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0" fillId="4" borderId="17" xfId="0" applyFill="1" applyBorder="1" applyAlignment="1">
      <alignment vertical="center"/>
    </xf>
    <xf numFmtId="0" fontId="33" fillId="0" borderId="17" xfId="0" applyFont="1" applyBorder="1" applyAlignment="1">
      <alignment vertical="center"/>
    </xf>
    <xf numFmtId="170" fontId="0" fillId="23" borderId="6" xfId="0" applyNumberFormat="1" applyFill="1" applyBorder="1" applyAlignment="1">
      <alignment vertical="center"/>
    </xf>
    <xf numFmtId="9" fontId="0" fillId="23" borderId="6" xfId="0" applyNumberFormat="1" applyFill="1" applyBorder="1" applyAlignment="1">
      <alignment vertical="center"/>
    </xf>
    <xf numFmtId="0" fontId="0" fillId="23" borderId="6" xfId="0" applyFill="1" applyBorder="1" applyAlignment="1">
      <alignment vertical="center"/>
    </xf>
    <xf numFmtId="170" fontId="0" fillId="23" borderId="4" xfId="0" applyNumberForma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4" fontId="2" fillId="2" borderId="12" xfId="0" applyNumberFormat="1" applyFont="1" applyFill="1" applyBorder="1" applyAlignment="1">
      <alignment vertical="center"/>
    </xf>
    <xf numFmtId="165" fontId="9" fillId="7" borderId="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167" fontId="0" fillId="4" borderId="31" xfId="0" applyNumberFormat="1" applyFill="1" applyBorder="1" applyAlignment="1">
      <alignment vertical="center"/>
    </xf>
    <xf numFmtId="10" fontId="19" fillId="9" borderId="31" xfId="0" applyNumberFormat="1" applyFont="1" applyFill="1" applyBorder="1" applyAlignment="1">
      <alignment vertical="center"/>
    </xf>
    <xf numFmtId="167" fontId="2" fillId="10" borderId="31" xfId="0" applyNumberFormat="1" applyFont="1" applyFill="1" applyBorder="1" applyAlignment="1">
      <alignment vertical="center"/>
    </xf>
    <xf numFmtId="0" fontId="0" fillId="4" borderId="30" xfId="0" applyFill="1" applyBorder="1" applyAlignment="1">
      <alignment vertical="center"/>
    </xf>
    <xf numFmtId="0" fontId="0" fillId="4" borderId="32" xfId="0" applyFill="1" applyBorder="1" applyAlignment="1">
      <alignment vertical="center"/>
    </xf>
    <xf numFmtId="0" fontId="0" fillId="4" borderId="31" xfId="0" applyFill="1" applyBorder="1" applyAlignment="1">
      <alignment vertical="center"/>
    </xf>
    <xf numFmtId="0" fontId="0" fillId="0" borderId="17" xfId="0" applyBorder="1" applyAlignment="1">
      <alignment vertical="center"/>
    </xf>
    <xf numFmtId="2" fontId="0" fillId="0" borderId="17" xfId="0" applyNumberFormat="1" applyBorder="1" applyAlignment="1">
      <alignment vertical="center"/>
    </xf>
    <xf numFmtId="2" fontId="28" fillId="4" borderId="0" xfId="0" applyNumberFormat="1" applyFont="1" applyFill="1" applyAlignment="1">
      <alignment vertical="center"/>
    </xf>
    <xf numFmtId="1" fontId="6" fillId="0" borderId="17" xfId="3" applyNumberFormat="1" applyFont="1" applyBorder="1"/>
    <xf numFmtId="165" fontId="6" fillId="0" borderId="17" xfId="3" applyNumberFormat="1" applyFont="1" applyBorder="1"/>
    <xf numFmtId="2" fontId="10" fillId="10" borderId="17" xfId="3" applyNumberFormat="1" applyFont="1" applyFill="1" applyBorder="1"/>
    <xf numFmtId="2" fontId="0" fillId="4" borderId="17" xfId="0" applyNumberFormat="1" applyFill="1" applyBorder="1" applyAlignment="1">
      <alignment vertical="center"/>
    </xf>
    <xf numFmtId="0" fontId="18" fillId="14" borderId="17" xfId="3" applyFont="1" applyFill="1" applyBorder="1" applyAlignment="1">
      <alignment horizontal="center" vertical="center"/>
    </xf>
    <xf numFmtId="0" fontId="18" fillId="14" borderId="20" xfId="3" applyFont="1" applyFill="1" applyBorder="1" applyAlignment="1">
      <alignment horizontal="center" vertical="center" wrapText="1"/>
    </xf>
    <xf numFmtId="0" fontId="18" fillId="14" borderId="21" xfId="3" applyFont="1" applyFill="1" applyBorder="1" applyAlignment="1">
      <alignment horizontal="center" vertical="center" wrapText="1"/>
    </xf>
    <xf numFmtId="0" fontId="18" fillId="24" borderId="17" xfId="3" applyFont="1" applyFill="1" applyBorder="1" applyAlignment="1">
      <alignment horizontal="center" vertical="center"/>
    </xf>
    <xf numFmtId="0" fontId="18" fillId="24" borderId="20" xfId="3" applyFont="1" applyFill="1" applyBorder="1" applyAlignment="1">
      <alignment horizontal="center" vertical="center" wrapText="1"/>
    </xf>
    <xf numFmtId="0" fontId="18" fillId="24" borderId="21" xfId="3" applyFont="1" applyFill="1" applyBorder="1" applyAlignment="1">
      <alignment horizontal="center" vertical="center" wrapText="1"/>
    </xf>
    <xf numFmtId="0" fontId="18" fillId="14" borderId="21" xfId="3" applyFont="1" applyFill="1" applyBorder="1" applyAlignment="1">
      <alignment horizontal="center" vertical="center"/>
    </xf>
    <xf numFmtId="0" fontId="18" fillId="24" borderId="21" xfId="3" applyFont="1" applyFill="1" applyBorder="1" applyAlignment="1">
      <alignment horizontal="center" vertical="center"/>
    </xf>
    <xf numFmtId="0" fontId="18" fillId="25" borderId="17" xfId="3" applyFont="1" applyFill="1" applyBorder="1" applyAlignment="1">
      <alignment horizontal="center" vertical="center"/>
    </xf>
    <xf numFmtId="0" fontId="18" fillId="25" borderId="20" xfId="3" applyFont="1" applyFill="1" applyBorder="1" applyAlignment="1">
      <alignment horizontal="center" vertical="center" wrapText="1"/>
    </xf>
    <xf numFmtId="0" fontId="18" fillId="25" borderId="21" xfId="3" applyFont="1" applyFill="1" applyBorder="1" applyAlignment="1">
      <alignment horizontal="center" vertical="center" wrapText="1"/>
    </xf>
    <xf numFmtId="0" fontId="18" fillId="25" borderId="21" xfId="3" applyFont="1" applyFill="1" applyBorder="1" applyAlignment="1">
      <alignment horizontal="center" vertical="center"/>
    </xf>
    <xf numFmtId="0" fontId="18" fillId="15" borderId="17" xfId="3" applyFont="1" applyFill="1" applyBorder="1" applyAlignment="1">
      <alignment horizontal="center" vertical="center"/>
    </xf>
    <xf numFmtId="0" fontId="18" fillId="15" borderId="20" xfId="3" applyFont="1" applyFill="1" applyBorder="1" applyAlignment="1">
      <alignment horizontal="center" vertical="center" wrapText="1"/>
    </xf>
    <xf numFmtId="0" fontId="18" fillId="15" borderId="21" xfId="3" applyFont="1" applyFill="1" applyBorder="1" applyAlignment="1">
      <alignment horizontal="center" vertical="center" wrapText="1"/>
    </xf>
    <xf numFmtId="0" fontId="18" fillId="15" borderId="21" xfId="3" applyFont="1" applyFill="1" applyBorder="1" applyAlignment="1">
      <alignment horizontal="center" vertical="center"/>
    </xf>
    <xf numFmtId="0" fontId="18" fillId="2" borderId="17" xfId="3" applyFont="1" applyFill="1" applyBorder="1" applyAlignment="1">
      <alignment horizontal="center" vertical="center"/>
    </xf>
    <xf numFmtId="0" fontId="18" fillId="2" borderId="20" xfId="3" applyFont="1" applyFill="1" applyBorder="1" applyAlignment="1">
      <alignment horizontal="center" vertical="center" wrapText="1"/>
    </xf>
    <xf numFmtId="0" fontId="18" fillId="2" borderId="21" xfId="3" applyFont="1" applyFill="1" applyBorder="1" applyAlignment="1">
      <alignment horizontal="center" vertical="center" wrapText="1"/>
    </xf>
    <xf numFmtId="0" fontId="18" fillId="2" borderId="21" xfId="3" applyFont="1" applyFill="1" applyBorder="1" applyAlignment="1">
      <alignment horizontal="center" vertical="center"/>
    </xf>
    <xf numFmtId="0" fontId="15" fillId="0" borderId="33" xfId="0" applyFont="1" applyBorder="1" applyAlignment="1">
      <alignment vertical="center"/>
    </xf>
    <xf numFmtId="0" fontId="0" fillId="0" borderId="33" xfId="0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0" fontId="0" fillId="4" borderId="33" xfId="0" applyFill="1" applyBorder="1" applyAlignment="1">
      <alignment vertical="center"/>
    </xf>
    <xf numFmtId="0" fontId="35" fillId="26" borderId="36" xfId="0" applyFont="1" applyFill="1" applyBorder="1" applyAlignment="1">
      <alignment horizontal="center" vertical="center" wrapText="1"/>
    </xf>
    <xf numFmtId="0" fontId="37" fillId="27" borderId="17" xfId="5" applyFont="1" applyFill="1" applyBorder="1" applyAlignment="1">
      <alignment horizontal="center"/>
    </xf>
    <xf numFmtId="0" fontId="35" fillId="26" borderId="39" xfId="0" applyFont="1" applyFill="1" applyBorder="1" applyAlignment="1">
      <alignment horizontal="center" vertical="center" wrapText="1"/>
    </xf>
    <xf numFmtId="0" fontId="37" fillId="16" borderId="17" xfId="5" applyFont="1" applyFill="1" applyBorder="1" applyAlignment="1">
      <alignment horizontal="center"/>
    </xf>
    <xf numFmtId="49" fontId="38" fillId="28" borderId="17" xfId="5" applyNumberFormat="1" applyFont="1" applyFill="1" applyBorder="1" applyAlignment="1" applyProtection="1">
      <alignment horizontal="center"/>
      <protection locked="0"/>
    </xf>
    <xf numFmtId="0" fontId="38" fillId="28" borderId="17" xfId="5" applyFont="1" applyFill="1" applyBorder="1" applyAlignment="1" applyProtection="1">
      <alignment horizontal="center"/>
      <protection locked="0"/>
    </xf>
    <xf numFmtId="0" fontId="35" fillId="22" borderId="39" xfId="0" applyFont="1" applyFill="1" applyBorder="1" applyAlignment="1">
      <alignment horizontal="center" vertical="center" wrapText="1"/>
    </xf>
    <xf numFmtId="0" fontId="35" fillId="2" borderId="39" xfId="0" applyFont="1" applyFill="1" applyBorder="1" applyAlignment="1">
      <alignment horizontal="center" vertical="center" wrapText="1"/>
    </xf>
    <xf numFmtId="0" fontId="35" fillId="6" borderId="39" xfId="0" applyFont="1" applyFill="1" applyBorder="1" applyAlignment="1">
      <alignment horizontal="center" vertical="center" wrapText="1"/>
    </xf>
    <xf numFmtId="49" fontId="38" fillId="16" borderId="17" xfId="5" applyNumberFormat="1" applyFont="1" applyFill="1" applyBorder="1" applyAlignment="1" applyProtection="1">
      <alignment horizontal="center"/>
      <protection locked="0"/>
    </xf>
    <xf numFmtId="0" fontId="38" fillId="16" borderId="17" xfId="5" applyFont="1" applyFill="1" applyBorder="1" applyAlignment="1" applyProtection="1">
      <alignment horizontal="center"/>
      <protection locked="0"/>
    </xf>
    <xf numFmtId="0" fontId="7" fillId="26" borderId="0" xfId="0" applyFont="1" applyFill="1"/>
    <xf numFmtId="0" fontId="39" fillId="0" borderId="39" xfId="0" applyFont="1" applyBorder="1" applyAlignment="1">
      <alignment horizontal="center" vertical="center" wrapText="1"/>
    </xf>
    <xf numFmtId="43" fontId="40" fillId="29" borderId="17" xfId="6" applyFont="1" applyFill="1" applyBorder="1" applyAlignment="1">
      <alignment horizontal="center" vertical="center" wrapText="1"/>
    </xf>
    <xf numFmtId="43" fontId="40" fillId="0" borderId="17" xfId="6" applyFont="1" applyFill="1" applyBorder="1" applyAlignment="1">
      <alignment horizontal="center" vertical="center" wrapText="1"/>
    </xf>
    <xf numFmtId="2" fontId="41" fillId="0" borderId="0" xfId="0" applyNumberFormat="1" applyFont="1" applyAlignment="1">
      <alignment horizontal="center" vertical="center" wrapText="1"/>
    </xf>
    <xf numFmtId="2" fontId="41" fillId="0" borderId="41" xfId="0" applyNumberFormat="1" applyFont="1" applyBorder="1" applyAlignment="1">
      <alignment horizontal="center" vertical="center" wrapText="1"/>
    </xf>
    <xf numFmtId="43" fontId="42" fillId="29" borderId="17" xfId="6" applyFont="1" applyFill="1" applyBorder="1" applyAlignment="1">
      <alignment horizontal="right" vertical="center" wrapText="1"/>
    </xf>
    <xf numFmtId="2" fontId="41" fillId="0" borderId="0" xfId="0" applyNumberFormat="1" applyFont="1" applyAlignment="1">
      <alignment horizontal="right" vertical="center" wrapText="1"/>
    </xf>
    <xf numFmtId="2" fontId="41" fillId="0" borderId="42" xfId="0" applyNumberFormat="1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/>
    </xf>
    <xf numFmtId="43" fontId="31" fillId="29" borderId="17" xfId="6" applyFont="1" applyFill="1" applyBorder="1"/>
    <xf numFmtId="43" fontId="35" fillId="29" borderId="17" xfId="6" applyFont="1" applyFill="1" applyBorder="1" applyAlignment="1">
      <alignment horizontal="right" vertical="center"/>
    </xf>
    <xf numFmtId="0" fontId="39" fillId="4" borderId="39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26" borderId="39" xfId="0" applyFont="1" applyFill="1" applyBorder="1" applyAlignment="1">
      <alignment horizontal="center" vertical="center" wrapText="1"/>
    </xf>
    <xf numFmtId="0" fontId="41" fillId="26" borderId="42" xfId="0" applyFont="1" applyFill="1" applyBorder="1" applyAlignment="1">
      <alignment horizontal="center" vertical="center" wrapText="1"/>
    </xf>
    <xf numFmtId="0" fontId="41" fillId="22" borderId="42" xfId="0" applyFont="1" applyFill="1" applyBorder="1" applyAlignment="1">
      <alignment horizontal="center" vertical="center" wrapText="1"/>
    </xf>
    <xf numFmtId="0" fontId="41" fillId="2" borderId="42" xfId="0" applyFont="1" applyFill="1" applyBorder="1" applyAlignment="1">
      <alignment horizontal="center" vertical="center" wrapText="1"/>
    </xf>
    <xf numFmtId="0" fontId="41" fillId="6" borderId="42" xfId="0" applyFont="1" applyFill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43" fontId="42" fillId="4" borderId="17" xfId="6" applyFont="1" applyFill="1" applyBorder="1" applyAlignment="1">
      <alignment horizontal="right" vertical="center" wrapText="1"/>
    </xf>
    <xf numFmtId="182" fontId="0" fillId="0" borderId="0" xfId="0" applyNumberFormat="1"/>
    <xf numFmtId="0" fontId="41" fillId="0" borderId="39" xfId="0" applyFont="1" applyBorder="1" applyAlignment="1">
      <alignment horizontal="center" vertical="center" wrapText="1"/>
    </xf>
    <xf numFmtId="43" fontId="40" fillId="4" borderId="17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21" fillId="13" borderId="23" xfId="0" applyNumberFormat="1" applyFont="1" applyFill="1" applyBorder="1" applyAlignment="1">
      <alignment vertical="center"/>
    </xf>
    <xf numFmtId="1" fontId="33" fillId="2" borderId="17" xfId="0" applyNumberFormat="1" applyFont="1" applyFill="1" applyBorder="1" applyAlignment="1">
      <alignment vertical="center"/>
    </xf>
    <xf numFmtId="43" fontId="0" fillId="0" borderId="0" xfId="6" applyFont="1" applyAlignment="1">
      <alignment vertical="center"/>
    </xf>
    <xf numFmtId="2" fontId="10" fillId="8" borderId="17" xfId="3" applyNumberFormat="1" applyFont="1" applyFill="1" applyBorder="1" applyAlignment="1">
      <alignment vertical="center"/>
    </xf>
    <xf numFmtId="9" fontId="6" fillId="0" borderId="0" xfId="0" applyNumberFormat="1" applyFont="1" applyAlignment="1">
      <alignment vertical="center"/>
    </xf>
    <xf numFmtId="1" fontId="32" fillId="9" borderId="1" xfId="4" applyNumberFormat="1" applyFont="1" applyFill="1" applyBorder="1" applyAlignment="1">
      <alignment horizontal="center" vertical="center"/>
    </xf>
    <xf numFmtId="43" fontId="40" fillId="28" borderId="17" xfId="6" applyFont="1" applyFill="1" applyBorder="1" applyAlignment="1">
      <alignment horizontal="center" vertical="center" wrapText="1"/>
    </xf>
    <xf numFmtId="0" fontId="45" fillId="1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45" fillId="0" borderId="17" xfId="0" applyFont="1" applyBorder="1" applyAlignment="1">
      <alignment horizontal="center" vertical="center"/>
    </xf>
    <xf numFmtId="0" fontId="45" fillId="15" borderId="17" xfId="0" applyFont="1" applyFill="1" applyBorder="1" applyAlignment="1">
      <alignment horizontal="center" vertical="center" readingOrder="1"/>
    </xf>
    <xf numFmtId="0" fontId="4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0" fontId="35" fillId="0" borderId="17" xfId="0" applyNumberFormat="1" applyFont="1" applyBorder="1" applyAlignment="1">
      <alignment horizontal="center" vertical="center"/>
    </xf>
    <xf numFmtId="40" fontId="35" fillId="0" borderId="0" xfId="0" applyNumberFormat="1" applyFont="1" applyAlignment="1">
      <alignment vertical="center"/>
    </xf>
    <xf numFmtId="2" fontId="7" fillId="0" borderId="0" xfId="0" applyNumberFormat="1" applyFont="1"/>
    <xf numFmtId="40" fontId="35" fillId="0" borderId="0" xfId="0" applyNumberFormat="1" applyFont="1" applyAlignment="1">
      <alignment horizontal="left" vertical="center"/>
    </xf>
    <xf numFmtId="40" fontId="35" fillId="2" borderId="17" xfId="0" applyNumberFormat="1" applyFont="1" applyFill="1" applyBorder="1" applyAlignment="1">
      <alignment horizontal="center" vertical="center"/>
    </xf>
    <xf numFmtId="40" fontId="35" fillId="0" borderId="0" xfId="0" applyNumberFormat="1" applyFont="1" applyAlignment="1">
      <alignment horizontal="center" vertical="center"/>
    </xf>
    <xf numFmtId="3" fontId="0" fillId="4" borderId="0" xfId="0" applyNumberFormat="1" applyFill="1" applyAlignment="1">
      <alignment vertical="center"/>
    </xf>
    <xf numFmtId="1" fontId="2" fillId="2" borderId="33" xfId="0" applyNumberFormat="1" applyFont="1" applyFill="1" applyBorder="1" applyAlignment="1">
      <alignment vertical="center"/>
    </xf>
    <xf numFmtId="0" fontId="41" fillId="0" borderId="42" xfId="0" applyFont="1" applyBorder="1" applyAlignment="1">
      <alignment horizontal="center" vertical="center" wrapText="1"/>
    </xf>
    <xf numFmtId="179" fontId="19" fillId="9" borderId="23" xfId="4" quotePrefix="1" applyNumberFormat="1" applyFont="1" applyFill="1" applyBorder="1" applyAlignment="1">
      <alignment vertical="center"/>
    </xf>
    <xf numFmtId="0" fontId="10" fillId="9" borderId="6" xfId="0" applyFont="1" applyFill="1" applyBorder="1" applyAlignment="1">
      <alignment vertical="center"/>
    </xf>
    <xf numFmtId="9" fontId="10" fillId="9" borderId="6" xfId="0" applyNumberFormat="1" applyFont="1" applyFill="1" applyBorder="1" applyAlignment="1">
      <alignment vertical="center"/>
    </xf>
    <xf numFmtId="167" fontId="0" fillId="4" borderId="0" xfId="0" applyNumberFormat="1" applyFill="1" applyAlignment="1">
      <alignment vertical="center"/>
    </xf>
    <xf numFmtId="167" fontId="2" fillId="10" borderId="12" xfId="0" applyNumberFormat="1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178" fontId="0" fillId="2" borderId="0" xfId="0" applyNumberFormat="1" applyFill="1" applyAlignment="1">
      <alignment vertical="center"/>
    </xf>
    <xf numFmtId="0" fontId="0" fillId="4" borderId="0" xfId="0" quotePrefix="1" applyFill="1" applyAlignment="1">
      <alignment vertical="center"/>
    </xf>
    <xf numFmtId="0" fontId="2" fillId="18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8" fillId="10" borderId="5" xfId="3" applyFont="1" applyFill="1" applyBorder="1" applyAlignment="1">
      <alignment horizontal="center" vertical="center" wrapText="1"/>
    </xf>
    <xf numFmtId="0" fontId="18" fillId="10" borderId="6" xfId="3" applyFont="1" applyFill="1" applyBorder="1" applyAlignment="1">
      <alignment horizontal="center" vertical="center" wrapText="1"/>
    </xf>
    <xf numFmtId="0" fontId="18" fillId="10" borderId="4" xfId="3" applyFont="1" applyFill="1" applyBorder="1" applyAlignment="1">
      <alignment horizontal="center" vertical="center" wrapText="1"/>
    </xf>
    <xf numFmtId="0" fontId="18" fillId="10" borderId="1" xfId="3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5" fillId="15" borderId="17" xfId="0" applyFont="1" applyFill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26" borderId="37" xfId="0" applyFont="1" applyFill="1" applyBorder="1" applyAlignment="1">
      <alignment horizontal="center" vertical="center" textRotation="90" wrapText="1"/>
    </xf>
    <xf numFmtId="0" fontId="41" fillId="26" borderId="38" xfId="0" applyFont="1" applyFill="1" applyBorder="1" applyAlignment="1">
      <alignment horizontal="center" vertical="center" textRotation="90" wrapText="1"/>
    </xf>
    <xf numFmtId="0" fontId="41" fillId="26" borderId="40" xfId="0" applyFont="1" applyFill="1" applyBorder="1" applyAlignment="1">
      <alignment horizontal="center" vertical="center" textRotation="90" wrapText="1"/>
    </xf>
    <xf numFmtId="0" fontId="34" fillId="26" borderId="34" xfId="0" applyFont="1" applyFill="1" applyBorder="1" applyAlignment="1">
      <alignment horizontal="center" vertical="center"/>
    </xf>
    <xf numFmtId="0" fontId="34" fillId="26" borderId="35" xfId="0" applyFont="1" applyFill="1" applyBorder="1" applyAlignment="1">
      <alignment horizontal="center" vertical="center"/>
    </xf>
    <xf numFmtId="0" fontId="34" fillId="26" borderId="36" xfId="0" applyFont="1" applyFill="1" applyBorder="1" applyAlignment="1">
      <alignment horizontal="center" vertical="center"/>
    </xf>
    <xf numFmtId="0" fontId="35" fillId="26" borderId="37" xfId="0" applyFont="1" applyFill="1" applyBorder="1" applyAlignment="1">
      <alignment horizontal="center" vertical="center" wrapText="1"/>
    </xf>
    <xf numFmtId="0" fontId="35" fillId="26" borderId="38" xfId="0" applyFont="1" applyFill="1" applyBorder="1" applyAlignment="1">
      <alignment horizontal="center" vertical="center" wrapText="1"/>
    </xf>
    <xf numFmtId="0" fontId="35" fillId="26" borderId="40" xfId="0" applyFont="1" applyFill="1" applyBorder="1" applyAlignment="1">
      <alignment horizontal="center" vertical="center" wrapText="1"/>
    </xf>
    <xf numFmtId="0" fontId="35" fillId="26" borderId="34" xfId="0" applyFont="1" applyFill="1" applyBorder="1" applyAlignment="1">
      <alignment horizontal="center" vertical="center" wrapText="1"/>
    </xf>
    <xf numFmtId="0" fontId="35" fillId="26" borderId="35" xfId="0" applyFont="1" applyFill="1" applyBorder="1" applyAlignment="1">
      <alignment horizontal="center" vertical="center" wrapText="1"/>
    </xf>
    <xf numFmtId="0" fontId="35" fillId="26" borderId="36" xfId="0" applyFont="1" applyFill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0" fontId="39" fillId="4" borderId="37" xfId="0" applyFont="1" applyFill="1" applyBorder="1" applyAlignment="1">
      <alignment horizontal="center" vertical="center" wrapText="1"/>
    </xf>
    <xf numFmtId="0" fontId="39" fillId="4" borderId="38" xfId="0" applyFont="1" applyFill="1" applyBorder="1" applyAlignment="1">
      <alignment horizontal="center" vertical="center" wrapText="1"/>
    </xf>
    <xf numFmtId="0" fontId="39" fillId="4" borderId="40" xfId="0" applyFont="1" applyFill="1" applyBorder="1" applyAlignment="1">
      <alignment horizontal="center" vertical="center" wrapText="1"/>
    </xf>
    <xf numFmtId="0" fontId="41" fillId="26" borderId="37" xfId="0" applyFont="1" applyFill="1" applyBorder="1" applyAlignment="1">
      <alignment horizontal="center" vertical="center" wrapText="1"/>
    </xf>
    <xf numFmtId="0" fontId="41" fillId="26" borderId="38" xfId="0" applyFont="1" applyFill="1" applyBorder="1" applyAlignment="1">
      <alignment horizontal="center" vertical="center" wrapText="1"/>
    </xf>
    <xf numFmtId="0" fontId="41" fillId="26" borderId="40" xfId="0" applyFont="1" applyFill="1" applyBorder="1" applyAlignment="1">
      <alignment horizontal="center" vertical="center" wrapText="1"/>
    </xf>
    <xf numFmtId="0" fontId="43" fillId="26" borderId="34" xfId="0" applyFont="1" applyFill="1" applyBorder="1" applyAlignment="1">
      <alignment horizontal="center" vertical="center" wrapText="1"/>
    </xf>
    <xf numFmtId="0" fontId="43" fillId="26" borderId="35" xfId="0" applyFont="1" applyFill="1" applyBorder="1" applyAlignment="1">
      <alignment horizontal="center" vertical="center" wrapText="1"/>
    </xf>
    <xf numFmtId="0" fontId="43" fillId="26" borderId="36" xfId="0" applyFont="1" applyFill="1" applyBorder="1" applyAlignment="1">
      <alignment horizontal="center" vertical="center" wrapText="1"/>
    </xf>
    <xf numFmtId="0" fontId="41" fillId="26" borderId="34" xfId="0" applyFont="1" applyFill="1" applyBorder="1" applyAlignment="1">
      <alignment horizontal="center" vertical="center" wrapText="1"/>
    </xf>
    <xf numFmtId="0" fontId="41" fillId="26" borderId="36" xfId="0" applyFont="1" applyFill="1" applyBorder="1" applyAlignment="1">
      <alignment horizontal="center" vertical="center" wrapText="1"/>
    </xf>
    <xf numFmtId="0" fontId="41" fillId="26" borderId="35" xfId="0" applyFont="1" applyFill="1" applyBorder="1" applyAlignment="1">
      <alignment horizontal="center" vertical="center" wrapText="1"/>
    </xf>
    <xf numFmtId="0" fontId="18" fillId="15" borderId="18" xfId="3" applyFont="1" applyFill="1" applyBorder="1" applyAlignment="1">
      <alignment horizontal="center" vertical="center" wrapText="1"/>
    </xf>
    <xf numFmtId="0" fontId="18" fillId="15" borderId="19" xfId="3" applyFont="1" applyFill="1" applyBorder="1" applyAlignment="1">
      <alignment horizontal="center" vertical="center" wrapText="1"/>
    </xf>
    <xf numFmtId="0" fontId="18" fillId="2" borderId="18" xfId="3" applyFont="1" applyFill="1" applyBorder="1" applyAlignment="1">
      <alignment horizontal="center" vertical="center" wrapText="1"/>
    </xf>
    <xf numFmtId="0" fontId="18" fillId="2" borderId="19" xfId="3" applyFont="1" applyFill="1" applyBorder="1" applyAlignment="1">
      <alignment horizontal="center" vertical="center" wrapText="1"/>
    </xf>
    <xf numFmtId="0" fontId="18" fillId="25" borderId="18" xfId="3" applyFont="1" applyFill="1" applyBorder="1" applyAlignment="1">
      <alignment horizontal="center" vertical="center" wrapText="1"/>
    </xf>
    <xf numFmtId="0" fontId="18" fillId="25" borderId="19" xfId="3" applyFont="1" applyFill="1" applyBorder="1" applyAlignment="1">
      <alignment horizontal="center" vertical="center" wrapText="1"/>
    </xf>
    <xf numFmtId="0" fontId="18" fillId="24" borderId="18" xfId="3" applyFont="1" applyFill="1" applyBorder="1" applyAlignment="1">
      <alignment horizontal="center" vertical="center" wrapText="1"/>
    </xf>
    <xf numFmtId="0" fontId="18" fillId="24" borderId="19" xfId="3" applyFont="1" applyFill="1" applyBorder="1" applyAlignment="1">
      <alignment horizontal="center" vertical="center" wrapText="1"/>
    </xf>
    <xf numFmtId="0" fontId="18" fillId="14" borderId="18" xfId="3" applyFont="1" applyFill="1" applyBorder="1" applyAlignment="1">
      <alignment horizontal="center" vertical="center" wrapText="1"/>
    </xf>
    <xf numFmtId="0" fontId="18" fillId="14" borderId="19" xfId="3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8" fillId="17" borderId="18" xfId="3" applyFont="1" applyFill="1" applyBorder="1" applyAlignment="1">
      <alignment horizontal="center" vertical="center" wrapText="1"/>
    </xf>
    <xf numFmtId="0" fontId="18" fillId="17" borderId="19" xfId="3" applyFont="1" applyFill="1" applyBorder="1" applyAlignment="1">
      <alignment horizontal="center" vertical="center" wrapText="1"/>
    </xf>
  </cellXfs>
  <cellStyles count="11">
    <cellStyle name="A3 297 x 420 mm" xfId="7" xr:uid="{E431A7E5-D0D2-4F6F-A6C7-A72A5A33D4A3}"/>
    <cellStyle name="Moeda 2" xfId="8" xr:uid="{B8AED649-7916-410E-A156-F57C47A0A6D3}"/>
    <cellStyle name="Normal" xfId="0" builtinId="0"/>
    <cellStyle name="Normal 2" xfId="3" xr:uid="{AFC2B2FA-40FC-4774-B1AE-8E0BE0B202DE}"/>
    <cellStyle name="Normal 3" xfId="5" xr:uid="{E4375617-35D5-424B-9487-5217C71DDA20}"/>
    <cellStyle name="Porcentagem" xfId="2" builtinId="5"/>
    <cellStyle name="Vírgula" xfId="1" builtinId="3"/>
    <cellStyle name="Vírgula 2" xfId="4" xr:uid="{62B60EDE-065B-46CB-A7F8-BBC2E15A5250}"/>
    <cellStyle name="Vírgula 2 2" xfId="9" xr:uid="{CC0F34BE-8244-4D31-BFB1-0DA813F55087}"/>
    <cellStyle name="Vírgula 3" xfId="6" xr:uid="{B60B268E-0D72-4D6A-B88E-375132FC4FCD}"/>
    <cellStyle name="Vírgula 3 2" xfId="10" xr:uid="{A3E44B20-C938-4D96-981B-8BB3A4A69485}"/>
  </cellStyles>
  <dxfs count="126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22</xdr:row>
      <xdr:rowOff>0</xdr:rowOff>
    </xdr:from>
    <xdr:to>
      <xdr:col>32</xdr:col>
      <xdr:colOff>447062</xdr:colOff>
      <xdr:row>64</xdr:row>
      <xdr:rowOff>73749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8810C92-C8AA-F157-E02B-8252DA868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9471" y="4604349"/>
          <a:ext cx="11801581" cy="777282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65</xdr:row>
      <xdr:rowOff>0</xdr:rowOff>
    </xdr:from>
    <xdr:to>
      <xdr:col>30</xdr:col>
      <xdr:colOff>602278</xdr:colOff>
      <xdr:row>76</xdr:row>
      <xdr:rowOff>10894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BCD9119-B5DD-F0D5-DB5D-DFEC619A2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29471" y="12486736"/>
          <a:ext cx="10705967" cy="2027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31</xdr:row>
      <xdr:rowOff>0</xdr:rowOff>
    </xdr:from>
    <xdr:to>
      <xdr:col>24</xdr:col>
      <xdr:colOff>503588</xdr:colOff>
      <xdr:row>66</xdr:row>
      <xdr:rowOff>67230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BF5BBB-B5F1-1311-9CE1-7791434B4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4175" y="6191250"/>
          <a:ext cx="7704488" cy="640135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69</xdr:row>
      <xdr:rowOff>0</xdr:rowOff>
    </xdr:from>
    <xdr:to>
      <xdr:col>27</xdr:col>
      <xdr:colOff>65599</xdr:colOff>
      <xdr:row>107</xdr:row>
      <xdr:rowOff>95854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6BDDD16-F40E-FD4B-4B85-8E464448A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54175" y="13068300"/>
          <a:ext cx="9571549" cy="697290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109</xdr:row>
      <xdr:rowOff>0</xdr:rowOff>
    </xdr:from>
    <xdr:to>
      <xdr:col>26</xdr:col>
      <xdr:colOff>412285</xdr:colOff>
      <xdr:row>116</xdr:row>
      <xdr:rowOff>51549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8513DE0-5F74-E343-D143-57DFDBE24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54175" y="20307300"/>
          <a:ext cx="9289585" cy="1318374"/>
        </a:xfrm>
        <a:prstGeom prst="rect">
          <a:avLst/>
        </a:prstGeom>
      </xdr:spPr>
    </xdr:pic>
    <xdr:clientData/>
  </xdr:twoCellAnchor>
  <xdr:twoCellAnchor editAs="oneCell">
    <xdr:from>
      <xdr:col>18</xdr:col>
      <xdr:colOff>733425</xdr:colOff>
      <xdr:row>16</xdr:row>
      <xdr:rowOff>133350</xdr:rowOff>
    </xdr:from>
    <xdr:to>
      <xdr:col>29</xdr:col>
      <xdr:colOff>469379</xdr:colOff>
      <xdr:row>25</xdr:row>
      <xdr:rowOff>64936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97E8B2F-6E36-D031-B97C-3E3D19586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44975" y="3257550"/>
          <a:ext cx="8641829" cy="19127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257175</xdr:colOff>
      <xdr:row>31</xdr:row>
      <xdr:rowOff>57150</xdr:rowOff>
    </xdr:from>
    <xdr:to>
      <xdr:col>24</xdr:col>
      <xdr:colOff>854102</xdr:colOff>
      <xdr:row>66</xdr:row>
      <xdr:rowOff>124380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240C50-5073-428C-B4C4-1A793CBC8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20950" y="6248400"/>
          <a:ext cx="7635902" cy="640135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70</xdr:row>
      <xdr:rowOff>0</xdr:rowOff>
    </xdr:from>
    <xdr:to>
      <xdr:col>26</xdr:col>
      <xdr:colOff>322728</xdr:colOff>
      <xdr:row>107</xdr:row>
      <xdr:rowOff>48209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D3C3DA2-6DC7-3BE6-08B8-453FFE7B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63775" y="13249275"/>
          <a:ext cx="9038103" cy="6744284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17</xdr:row>
      <xdr:rowOff>133350</xdr:rowOff>
    </xdr:from>
    <xdr:to>
      <xdr:col>30</xdr:col>
      <xdr:colOff>4558</xdr:colOff>
      <xdr:row>26</xdr:row>
      <xdr:rowOff>133522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9E400DD-AA24-93AE-F22A-B8733EC4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64100" y="3438525"/>
          <a:ext cx="8634208" cy="1981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533400</xdr:colOff>
      <xdr:row>37</xdr:row>
      <xdr:rowOff>123825</xdr:rowOff>
    </xdr:from>
    <xdr:to>
      <xdr:col>24</xdr:col>
      <xdr:colOff>307312</xdr:colOff>
      <xdr:row>72</xdr:row>
      <xdr:rowOff>145331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581A2E-DF46-7D15-874C-EA08DF994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97225" y="7400925"/>
          <a:ext cx="7003387" cy="6355631"/>
        </a:xfrm>
        <a:prstGeom prst="rect">
          <a:avLst/>
        </a:prstGeom>
      </xdr:spPr>
    </xdr:pic>
    <xdr:clientData/>
  </xdr:twoCellAnchor>
  <xdr:twoCellAnchor editAs="oneCell">
    <xdr:from>
      <xdr:col>16</xdr:col>
      <xdr:colOff>619125</xdr:colOff>
      <xdr:row>75</xdr:row>
      <xdr:rowOff>171450</xdr:rowOff>
    </xdr:from>
    <xdr:to>
      <xdr:col>27</xdr:col>
      <xdr:colOff>435150</xdr:colOff>
      <xdr:row>112</xdr:row>
      <xdr:rowOff>151073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D39260D-AA52-2327-B22B-1E9E011E4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82950" y="14325600"/>
          <a:ext cx="9350550" cy="6675698"/>
        </a:xfrm>
        <a:prstGeom prst="rect">
          <a:avLst/>
        </a:prstGeom>
      </xdr:spPr>
    </xdr:pic>
    <xdr:clientData/>
  </xdr:twoCellAnchor>
  <xdr:twoCellAnchor editAs="oneCell">
    <xdr:from>
      <xdr:col>18</xdr:col>
      <xdr:colOff>676275</xdr:colOff>
      <xdr:row>18</xdr:row>
      <xdr:rowOff>123825</xdr:rowOff>
    </xdr:from>
    <xdr:to>
      <xdr:col>29</xdr:col>
      <xdr:colOff>296034</xdr:colOff>
      <xdr:row>26</xdr:row>
      <xdr:rowOff>175420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EF027FC-55F0-76F1-06F9-870885EC5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87925" y="3609975"/>
          <a:ext cx="8763759" cy="18518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A\EDP_ES_RTA_2024_Modelo_Grupo%20A.xlsx" TargetMode="External"/><Relationship Id="rId2" Type="http://schemas.microsoft.com/office/2019/04/relationships/externalLinkLongPath" Target="https://edponcloud-my.sharepoint.com/CGFA/Faturamento/Gest&#227;o%20Faturamento/15%20-%20Relat&#243;rio%20Gerencial%20-%20CGC/Arquivos%20PRT/Processos%20Tarifarios/2024_RTA_EDP%20ES/Planilhas%20Valida&#231;&#227;o/NF3e%20Grupo%20A/EDP_ES_RTA_2024_Modelo_Grupo%20A.xlsx?EF1E29F3" TargetMode="External"/><Relationship Id="rId1" Type="http://schemas.openxmlformats.org/officeDocument/2006/relationships/externalLinkPath" Target="file:///\\EF1E29F3\EDP_ES_RTA_2024_Modelo_Grupo%20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05103\OneDrive%20-%20EDP\Desktop\Conta%20teste%20nova%20tarifa%20082025\EDP%20ES_Modelo_NFe_Grupo%20B%20OK.xlsm" TargetMode="External"/><Relationship Id="rId1" Type="http://schemas.openxmlformats.org/officeDocument/2006/relationships/externalLinkPath" Target="file:///C:\Users\205103\OneDrive%20-%20EDP\Desktop\Conta%20teste%20nova%20tarifa%20082025\EDP%20ES_Modelo_NFe_Grupo%20B%20OK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poncloud-my.sharepoint.com/personal/e711156_edp_com_br/Documents/Documentos/Ivan%20Cavalcante/Faturamento/Contas-Teste/Di&#225;rio/2024/11%20-%20Novembro/Lote%2032/EDP_ES_RTA_2024_Modelo_Grupo%20B_MMGD_GDI_L32%20-%20202411.xlsx" TargetMode="External"/><Relationship Id="rId1" Type="http://schemas.openxmlformats.org/officeDocument/2006/relationships/externalLinkPath" Target="file:///\\fscoc10\CGC\personal\e711156_edp_com_br\Documents\Documentos\Ivan%20Cavalcante\Faturamento\Contas-Teste\Di&#225;rio\2024\11%20-%20Novembro\Lote%2032\EDP_ES_RTA_2024_Modelo_Grupo%20B_MMGD_GDI_L32%20-%20202411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B\EDP_ES_RTA_2023_Modelo_Grupo%20B_TARIFA%20BRANCA.xlsx" TargetMode="External"/><Relationship Id="rId2" Type="http://schemas.microsoft.com/office/2019/04/relationships/externalLinkLongPath" Target="https://edponcloud-my.sharepoint.com/CGFA/Faturamento/Gest&#227;o%20Faturamento/15%20-%20Relat&#243;rio%20Gerencial%20-%20CGC/Arquivos%20PRT/Processos%20Tarifarios/2024_RTA_EDP%20ES/Planilhas%20Valida&#231;&#227;o/NF3e%20Grupo%20B/EDP_ES_RTA_2023_Modelo_Grupo%20B_TARIFA%20BRANCA.xlsx?8A0427C7" TargetMode="External"/><Relationship Id="rId1" Type="http://schemas.openxmlformats.org/officeDocument/2006/relationships/externalLinkPath" Target="file:///\\8A0427C7\EDP_ES_RTA_2023_Modelo_Grupo%20B_TARIFA%20BRANC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5%20-%20Relat&#243;rio%20Gerencial%20-%20CGC\Arquivos%20PRT\Processos%20Tarifarios\2023_RTA_EDP%20ES\Planilhas%20Valida&#231;&#227;o\EDP_ES_RTA_2023_Modelo_Grupo%20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5%20-%20Relat&#243;rio%20Gerencial%20-%20CGC\Arquivos%20PRT\Processos%20Tarifarios\2023_RTA_EDP%20ES\Planilhas%20Valida&#231;&#227;o\EDP_ES_RTA_2023_Modelo_Grupo%20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ANDEIRA"/>
      <sheetName val="Grupo A_FIO B"/>
      <sheetName val="TABELA DE TARIFAS ANTIGAS"/>
      <sheetName val="TABELA DE TARIFAS NOVAS"/>
      <sheetName val="A2 Azul"/>
      <sheetName val="A2 Azul (LIVRE) OK"/>
      <sheetName val="A3 Azul"/>
      <sheetName val="A3 Azul (LIVRE)"/>
      <sheetName val="A3a Azul"/>
      <sheetName val="A3a Azul (LIVRE) OK"/>
      <sheetName val="A3a Azul (AES)"/>
      <sheetName val="A3a Verde"/>
      <sheetName val="A3a Verde (LIVRE) OK"/>
      <sheetName val="A3a Verde Prop (AES)"/>
      <sheetName val="A4 Azul"/>
      <sheetName val="A4 Azul (LIVRE)"/>
      <sheetName val="A4 Azul (AES)"/>
      <sheetName val="A4 Azul (Rural)"/>
      <sheetName val="A4 Verde"/>
      <sheetName val="A4 Verde (Lim TUSD)"/>
      <sheetName val="A4 Verde (LIVRE)"/>
      <sheetName val="A4 Verde (AES)"/>
      <sheetName val="A4 Verde (Rural)"/>
      <sheetName val="A4 Verde (Rural IRRIG)"/>
      <sheetName val="V4 MMGD"/>
      <sheetName val="A4 MMGD"/>
      <sheetName val="O2 (Rur)"/>
      <sheetName val="O2 (Irr)"/>
      <sheetName val="O3"/>
      <sheetName val="A2 APE RC"/>
      <sheetName val="A2 APE"/>
      <sheetName val="A3A APE"/>
      <sheetName val="A4 APE"/>
      <sheetName val="V4 APE"/>
    </sheetNames>
    <sheetDataSet>
      <sheetData sheetId="0">
        <row r="5">
          <cell r="D5">
            <v>1.8849999999999999E-2</v>
          </cell>
        </row>
        <row r="6">
          <cell r="D6">
            <v>4.4630000000000003E-2</v>
          </cell>
        </row>
        <row r="7">
          <cell r="D7">
            <v>7.8770000000000007E-2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 B"/>
      <sheetName val="TABELA DE TARIFAS ANTIGAS"/>
      <sheetName val="TABELA DE TARIFAS NOVAS"/>
      <sheetName val="Fatura B1 (Res)  OK"/>
      <sheetName val="Fatura B2 (Rur) OK"/>
      <sheetName val="Fatura B2 (Irr) OK"/>
      <sheetName val="Fatura B3 OK"/>
      <sheetName val="Fatura B3 (AES)"/>
      <sheetName val="Fatura B3 (PPF)  OK"/>
      <sheetName val="Fatura B3 (CP) OK"/>
      <sheetName val="Fatura B4a OK"/>
      <sheetName val="Baixa Renda"/>
      <sheetName val="Baixa Renda 1 OK"/>
      <sheetName val="Baixa Renda MP 1300 OK"/>
      <sheetName val="Baixa Renda (INDIG) 1"/>
      <sheetName val="Baixa Renda (IND)"/>
    </sheetNames>
    <sheetDataSet>
      <sheetData sheetId="0">
        <row r="11">
          <cell r="H11">
            <v>188.23431351264014</v>
          </cell>
          <cell r="K11">
            <v>203.83072193179135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tura B1 (GD I)"/>
      <sheetName val="Fatura B1 (GD)"/>
      <sheetName val="Fatura B3 (GD)"/>
      <sheetName val="Fatura B2 (GD) OK"/>
      <sheetName val="Fatura B2 IRRIG (GD) OK"/>
      <sheetName val="Fatura B1 BRe (GD) OK"/>
      <sheetName val="B1 Res (GD) Branca OK"/>
      <sheetName val="B2 GD Branca"/>
      <sheetName val="B3 GD Branca "/>
      <sheetName val="V4 MMGD GDII"/>
      <sheetName val="A4 MMGD GDII"/>
      <sheetName val="Fatura B1 (GD II) (Baixa Re (2)"/>
    </sheetNames>
    <sheetDataSet>
      <sheetData sheetId="0" refreshError="1"/>
      <sheetData sheetId="1">
        <row r="2">
          <cell r="F2">
            <v>45511</v>
          </cell>
        </row>
        <row r="4">
          <cell r="F4" t="str">
            <v>TARIFA NOVA - REH xxxx/2024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IO B"/>
      <sheetName val="TABELA DE TARIFAS ANTIGAS"/>
      <sheetName val="TABELA DE TARIFAS NOVAS"/>
      <sheetName val="B1 (Res) Branca OK"/>
      <sheetName val="B3 Branca OK"/>
      <sheetName val="B2 (Rural) Branca OK"/>
      <sheetName val="O3 Branca OK"/>
      <sheetName val="B2 (Rural Irrig) Branca OK"/>
      <sheetName val="B3 Branca (AES) NÃO"/>
    </sheetNames>
    <sheetDataSet>
      <sheetData sheetId="0">
        <row r="7">
          <cell r="H7">
            <v>547.33000000000004</v>
          </cell>
        </row>
      </sheetData>
      <sheetData sheetId="1">
        <row r="68">
          <cell r="G68">
            <v>811.72</v>
          </cell>
        </row>
      </sheetData>
      <sheetData sheetId="2">
        <row r="70">
          <cell r="G70">
            <v>809.35</v>
          </cell>
        </row>
      </sheetData>
      <sheetData sheetId="3">
        <row r="3">
          <cell r="N3">
            <v>0</v>
          </cell>
        </row>
        <row r="4">
          <cell r="N4">
            <v>1.8849999999999999E-2</v>
          </cell>
        </row>
        <row r="5">
          <cell r="N5">
            <v>4.4630000000000003E-2</v>
          </cell>
        </row>
        <row r="6">
          <cell r="N6">
            <v>7.8770000000000007E-2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DEIRA"/>
      <sheetName val="Grupo A_FIO B"/>
      <sheetName val="TABELA DE TARIFAS ANTIGAS"/>
      <sheetName val="TABELA DE TARIFAS NOVAS"/>
      <sheetName val="A2 Azul"/>
      <sheetName val="A2 Azul (LIVRE)"/>
      <sheetName val="A3 Azul"/>
      <sheetName val="A3 Azul (LIVRE)"/>
      <sheetName val="A3a Azul"/>
      <sheetName val="A3a Azul (LIVRE)"/>
      <sheetName val="A3a Azul (AES)"/>
      <sheetName val="A3a Verde"/>
      <sheetName val="A3a Verde (LIVRE)"/>
      <sheetName val="A3a Verde Prop (AES)"/>
      <sheetName val="A4 Azul"/>
      <sheetName val="A4 Azul (LIVRE)"/>
      <sheetName val="A4 Azul (AES)"/>
      <sheetName val="A4 Azul (Rural)"/>
      <sheetName val="A4 Verde"/>
      <sheetName val="A4 Verde (Lim TUSD)"/>
      <sheetName val="A4 Verde (LIVRE)"/>
      <sheetName val="A4 Verde (AES)"/>
      <sheetName val="A4 Verde (Rural)"/>
      <sheetName val="A4 Verde (Rural IRRIG)"/>
      <sheetName val="V4 MMGD"/>
      <sheetName val="A4 MMGD"/>
      <sheetName val="O2 (Rur)"/>
      <sheetName val="O2 (Irr)"/>
      <sheetName val="O3"/>
      <sheetName val="A2 APE RC"/>
      <sheetName val="A2 APE"/>
      <sheetName val="A3A APE"/>
      <sheetName val="A4 APE"/>
      <sheetName val="V4 APE"/>
    </sheetNames>
    <sheetDataSet>
      <sheetData sheetId="0">
        <row r="4">
          <cell r="D4">
            <v>0</v>
          </cell>
        </row>
        <row r="5">
          <cell r="D5">
            <v>2.989E-2</v>
          </cell>
        </row>
        <row r="6">
          <cell r="D6">
            <v>6.5000000000000002E-2</v>
          </cell>
        </row>
        <row r="7">
          <cell r="D7">
            <v>9.7949999999999995E-2</v>
          </cell>
        </row>
        <row r="8">
          <cell r="D8">
            <v>0.14199999999999999</v>
          </cell>
        </row>
      </sheetData>
      <sheetData sheetId="1">
        <row r="49">
          <cell r="F49">
            <v>26.16</v>
          </cell>
          <cell r="I49">
            <v>24.04</v>
          </cell>
        </row>
        <row r="50">
          <cell r="G50">
            <v>935.88</v>
          </cell>
          <cell r="J50">
            <v>860.24</v>
          </cell>
        </row>
      </sheetData>
      <sheetData sheetId="2">
        <row r="52">
          <cell r="E52">
            <v>30.44</v>
          </cell>
        </row>
        <row r="53">
          <cell r="F53">
            <v>1240.02</v>
          </cell>
          <cell r="G53">
            <v>422.6</v>
          </cell>
        </row>
        <row r="54">
          <cell r="F54">
            <v>134.33000000000001</v>
          </cell>
          <cell r="G54">
            <v>263.8</v>
          </cell>
        </row>
        <row r="71">
          <cell r="G71">
            <v>396.81</v>
          </cell>
          <cell r="H71">
            <v>277.02999999999997</v>
          </cell>
        </row>
      </sheetData>
      <sheetData sheetId="3">
        <row r="52">
          <cell r="E52">
            <v>31.53</v>
          </cell>
        </row>
        <row r="53">
          <cell r="F53">
            <v>1267.83</v>
          </cell>
          <cell r="G53">
            <v>458.03</v>
          </cell>
        </row>
        <row r="54">
          <cell r="F54">
            <v>121.17</v>
          </cell>
          <cell r="G54">
            <v>290.41000000000003</v>
          </cell>
        </row>
        <row r="71">
          <cell r="G71">
            <v>392.53</v>
          </cell>
          <cell r="H71">
            <v>305.60000000000002</v>
          </cell>
        </row>
      </sheetData>
      <sheetData sheetId="4">
        <row r="2">
          <cell r="F2">
            <v>45145</v>
          </cell>
        </row>
        <row r="4">
          <cell r="C4" t="str">
            <v>TARIFA ANTIGA - REH 3091/2022</v>
          </cell>
          <cell r="D4"/>
          <cell r="E4"/>
          <cell r="F4" t="str">
            <v>TARIFA NOVA - REH 3241/2023</v>
          </cell>
          <cell r="G4"/>
          <cell r="H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C6">
            <v>45.59</v>
          </cell>
          <cell r="D6">
            <v>0.13433</v>
          </cell>
          <cell r="E6">
            <v>0.42260000000000003</v>
          </cell>
          <cell r="F6">
            <v>47.23</v>
          </cell>
          <cell r="G6">
            <v>0.12117</v>
          </cell>
          <cell r="H6">
            <v>0.45802999999999999</v>
          </cell>
        </row>
        <row r="7">
          <cell r="C7">
            <v>30.44</v>
          </cell>
          <cell r="D7">
            <v>0.13433</v>
          </cell>
          <cell r="E7">
            <v>0.26380000000000003</v>
          </cell>
          <cell r="F7">
            <v>31.53</v>
          </cell>
          <cell r="G7">
            <v>0.12117</v>
          </cell>
          <cell r="H7">
            <v>0.29041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O B"/>
      <sheetName val="TABELA DE TARIFAS ANTIGAS"/>
      <sheetName val="TABELA DE TARIFAS NOVAS"/>
      <sheetName val="Fatura B1 (Res)"/>
      <sheetName val="Fatura B2 (Rur)"/>
      <sheetName val="Fatura B2 (Irr)"/>
      <sheetName val="Fatura B3"/>
      <sheetName val="Fatura B3 Lim Tusd"/>
      <sheetName val="Fatura B3 (AES)"/>
      <sheetName val="Fatura B3 CP"/>
      <sheetName val="Fatura B4a"/>
      <sheetName val="Baixa Renda"/>
      <sheetName val="Baixa Renda (QUI)"/>
      <sheetName val="Baixa Renda (IND)"/>
    </sheetNames>
    <sheetDataSet>
      <sheetData sheetId="0">
        <row r="11">
          <cell r="H11">
            <v>192.05</v>
          </cell>
          <cell r="K11">
            <v>176.52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5196-DA1E-42B1-A381-B3A75BC247CA}">
  <dimension ref="B2:T45"/>
  <sheetViews>
    <sheetView workbookViewId="0">
      <selection activeCell="G46" sqref="G46"/>
    </sheetView>
  </sheetViews>
  <sheetFormatPr defaultColWidth="9.109375" defaultRowHeight="10.199999999999999" x14ac:dyDescent="0.2"/>
  <cols>
    <col min="1" max="1" width="9.109375" style="426"/>
    <col min="2" max="2" width="11.109375" style="425" bestFit="1" customWidth="1"/>
    <col min="3" max="3" width="13.6640625" style="425" bestFit="1" customWidth="1"/>
    <col min="4" max="4" width="16.6640625" style="425" bestFit="1" customWidth="1"/>
    <col min="5" max="5" width="31.6640625" style="425" bestFit="1" customWidth="1"/>
    <col min="6" max="6" width="7" style="425" bestFit="1" customWidth="1"/>
    <col min="7" max="10" width="9.109375" style="425"/>
    <col min="11" max="11" width="13.109375" style="425" customWidth="1"/>
    <col min="12" max="13" width="9.109375" style="426"/>
    <col min="14" max="14" width="25.109375" style="426" bestFit="1" customWidth="1"/>
    <col min="15" max="16" width="9.109375" style="426"/>
    <col min="17" max="17" width="9.44140625" style="426" bestFit="1" customWidth="1"/>
    <col min="18" max="18" width="9.109375" style="426"/>
    <col min="19" max="19" width="9.44140625" style="426" bestFit="1" customWidth="1"/>
    <col min="20" max="16384" width="9.109375" style="426"/>
  </cols>
  <sheetData>
    <row r="2" spans="2:20" x14ac:dyDescent="0.2">
      <c r="B2" s="424" t="s">
        <v>30</v>
      </c>
    </row>
    <row r="3" spans="2:20" x14ac:dyDescent="0.2">
      <c r="K3" s="427"/>
      <c r="L3" s="428"/>
      <c r="M3" s="428"/>
      <c r="N3" s="428"/>
      <c r="O3" s="428"/>
      <c r="P3" s="428"/>
      <c r="Q3" s="428"/>
      <c r="R3" s="428"/>
      <c r="S3" s="428"/>
      <c r="T3" s="428"/>
    </row>
    <row r="4" spans="2:20" x14ac:dyDescent="0.2">
      <c r="B4" s="464" t="s">
        <v>310</v>
      </c>
      <c r="C4" s="464" t="s">
        <v>311</v>
      </c>
      <c r="D4" s="464" t="s">
        <v>391</v>
      </c>
      <c r="E4" s="464" t="s">
        <v>364</v>
      </c>
      <c r="F4" s="464" t="s">
        <v>313</v>
      </c>
      <c r="G4" s="464" t="s">
        <v>314</v>
      </c>
      <c r="H4" s="464"/>
      <c r="I4" s="464"/>
      <c r="J4" s="464"/>
      <c r="K4" s="464"/>
      <c r="L4" s="428"/>
      <c r="M4" s="428"/>
      <c r="N4" s="428"/>
      <c r="O4" s="428"/>
      <c r="P4" s="428"/>
      <c r="Q4" s="428"/>
      <c r="R4" s="428"/>
      <c r="S4" s="428"/>
      <c r="T4" s="428"/>
    </row>
    <row r="5" spans="2:20" x14ac:dyDescent="0.2">
      <c r="B5" s="464"/>
      <c r="C5" s="464"/>
      <c r="D5" s="464"/>
      <c r="E5" s="464"/>
      <c r="F5" s="464"/>
      <c r="G5" s="430" t="s">
        <v>402</v>
      </c>
      <c r="H5" s="430"/>
      <c r="I5" s="426"/>
      <c r="J5" s="465" t="s">
        <v>403</v>
      </c>
      <c r="K5" s="465"/>
      <c r="L5" s="428"/>
      <c r="M5" s="428"/>
      <c r="N5" s="428"/>
      <c r="O5" s="428"/>
      <c r="P5" s="428"/>
      <c r="Q5" s="462"/>
      <c r="R5" s="463"/>
      <c r="S5" s="428"/>
      <c r="T5" s="432"/>
    </row>
    <row r="6" spans="2:20" x14ac:dyDescent="0.2">
      <c r="B6" s="464"/>
      <c r="C6" s="464"/>
      <c r="D6" s="464"/>
      <c r="E6" s="464"/>
      <c r="F6" s="464"/>
      <c r="G6" s="429" t="s">
        <v>324</v>
      </c>
      <c r="H6" s="429" t="s">
        <v>325</v>
      </c>
      <c r="I6" s="426"/>
      <c r="J6" s="429" t="s">
        <v>324</v>
      </c>
      <c r="K6" s="429" t="s">
        <v>325</v>
      </c>
      <c r="L6" s="428"/>
      <c r="M6" s="428"/>
      <c r="N6" s="428"/>
      <c r="O6" s="428"/>
      <c r="P6" s="428"/>
      <c r="Q6" s="431"/>
      <c r="R6" s="431"/>
      <c r="S6" s="431"/>
      <c r="T6" s="431"/>
    </row>
    <row r="7" spans="2:20" x14ac:dyDescent="0.2">
      <c r="B7" s="401" t="s">
        <v>36</v>
      </c>
      <c r="C7" s="401" t="s">
        <v>366</v>
      </c>
      <c r="D7" s="401" t="s">
        <v>367</v>
      </c>
      <c r="E7" s="401" t="s">
        <v>367</v>
      </c>
      <c r="F7" s="401" t="s">
        <v>334</v>
      </c>
      <c r="G7" s="433">
        <v>0</v>
      </c>
      <c r="H7" s="433">
        <v>591.10909360219489</v>
      </c>
      <c r="I7" s="426"/>
      <c r="J7" s="433">
        <v>0</v>
      </c>
      <c r="K7" s="433">
        <v>606.53961736718702</v>
      </c>
      <c r="L7" s="434"/>
      <c r="M7" s="434"/>
      <c r="N7" s="434"/>
      <c r="O7" s="434"/>
      <c r="P7" s="434"/>
      <c r="Q7" s="435"/>
      <c r="S7" s="435"/>
    </row>
    <row r="8" spans="2:20" x14ac:dyDescent="0.2">
      <c r="B8" s="401" t="s">
        <v>36</v>
      </c>
      <c r="C8" s="401" t="s">
        <v>366</v>
      </c>
      <c r="D8" s="401" t="s">
        <v>367</v>
      </c>
      <c r="E8" s="401" t="s">
        <v>367</v>
      </c>
      <c r="F8" s="401" t="s">
        <v>368</v>
      </c>
      <c r="G8" s="433">
        <v>0</v>
      </c>
      <c r="H8" s="433">
        <v>354.66549637373629</v>
      </c>
      <c r="I8" s="426"/>
      <c r="J8" s="433">
        <v>0</v>
      </c>
      <c r="K8" s="433">
        <v>363.923811682451</v>
      </c>
      <c r="L8" s="434"/>
      <c r="M8" s="434"/>
      <c r="N8" s="434"/>
      <c r="O8" s="434"/>
      <c r="P8" s="434"/>
      <c r="Q8" s="435"/>
      <c r="S8" s="435"/>
    </row>
    <row r="9" spans="2:20" x14ac:dyDescent="0.2">
      <c r="B9" s="401" t="s">
        <v>36</v>
      </c>
      <c r="C9" s="401" t="s">
        <v>366</v>
      </c>
      <c r="D9" s="401" t="s">
        <v>367</v>
      </c>
      <c r="E9" s="401" t="s">
        <v>367</v>
      </c>
      <c r="F9" s="401" t="s">
        <v>336</v>
      </c>
      <c r="G9" s="433">
        <v>0</v>
      </c>
      <c r="H9" s="433">
        <v>118.2217986142293</v>
      </c>
      <c r="I9" s="426"/>
      <c r="J9" s="433">
        <v>0</v>
      </c>
      <c r="K9" s="433">
        <v>121.30790284236799</v>
      </c>
      <c r="L9" s="434"/>
      <c r="M9" s="434"/>
      <c r="N9" s="434"/>
      <c r="O9" s="434"/>
      <c r="P9" s="434"/>
      <c r="R9" s="435"/>
      <c r="T9" s="435"/>
    </row>
    <row r="10" spans="2:20" x14ac:dyDescent="0.2">
      <c r="B10" s="401" t="s">
        <v>36</v>
      </c>
      <c r="C10" s="401" t="s">
        <v>392</v>
      </c>
      <c r="D10" s="401" t="s">
        <v>367</v>
      </c>
      <c r="E10" s="401" t="s">
        <v>367</v>
      </c>
      <c r="F10" s="401" t="s">
        <v>333</v>
      </c>
      <c r="G10" s="433">
        <v>0</v>
      </c>
      <c r="H10" s="433">
        <v>203.83072193179135</v>
      </c>
      <c r="I10" s="426"/>
      <c r="J10" s="433">
        <v>0</v>
      </c>
      <c r="K10" s="433">
        <v>209.151592195582</v>
      </c>
      <c r="L10" s="434"/>
      <c r="M10" s="434"/>
      <c r="N10" s="434"/>
      <c r="O10" s="434"/>
      <c r="P10" s="434"/>
      <c r="R10" s="435"/>
      <c r="T10" s="435"/>
    </row>
    <row r="11" spans="2:20" x14ac:dyDescent="0.2">
      <c r="B11" s="401" t="s">
        <v>36</v>
      </c>
      <c r="C11" s="401" t="s">
        <v>359</v>
      </c>
      <c r="D11" s="401" t="s">
        <v>367</v>
      </c>
      <c r="E11" s="401" t="s">
        <v>367</v>
      </c>
      <c r="F11" s="401" t="s">
        <v>333</v>
      </c>
      <c r="G11" s="433">
        <v>0</v>
      </c>
      <c r="H11" s="433">
        <v>203.83072193179135</v>
      </c>
      <c r="I11" s="426"/>
      <c r="J11" s="433">
        <v>0</v>
      </c>
      <c r="K11" s="433">
        <v>209.151592195582</v>
      </c>
      <c r="L11" s="434"/>
      <c r="M11" s="434"/>
      <c r="N11" s="434"/>
      <c r="O11" s="434"/>
      <c r="P11" s="434"/>
      <c r="R11" s="435"/>
      <c r="T11" s="435"/>
    </row>
    <row r="12" spans="2:20" x14ac:dyDescent="0.2">
      <c r="B12" s="401" t="s">
        <v>36</v>
      </c>
      <c r="C12" s="401" t="s">
        <v>392</v>
      </c>
      <c r="D12" s="401" t="s">
        <v>367</v>
      </c>
      <c r="E12" s="401" t="s">
        <v>393</v>
      </c>
      <c r="F12" s="401" t="s">
        <v>333</v>
      </c>
      <c r="G12" s="433">
        <v>0</v>
      </c>
      <c r="H12" s="433">
        <v>203.83072193179135</v>
      </c>
      <c r="I12" s="426"/>
      <c r="J12" s="433">
        <v>0</v>
      </c>
      <c r="K12" s="433">
        <v>209.151592195582</v>
      </c>
      <c r="L12" s="434"/>
      <c r="M12" s="434"/>
      <c r="N12" s="436"/>
      <c r="O12" s="434"/>
      <c r="P12" s="434"/>
      <c r="R12" s="435"/>
      <c r="T12" s="435"/>
    </row>
    <row r="13" spans="2:20" x14ac:dyDescent="0.2">
      <c r="B13" s="401" t="s">
        <v>36</v>
      </c>
      <c r="C13" s="401" t="s">
        <v>359</v>
      </c>
      <c r="D13" s="401" t="s">
        <v>367</v>
      </c>
      <c r="E13" s="401" t="s">
        <v>393</v>
      </c>
      <c r="F13" s="401" t="s">
        <v>333</v>
      </c>
      <c r="G13" s="433">
        <v>0</v>
      </c>
      <c r="H13" s="433">
        <v>203.83072193179135</v>
      </c>
      <c r="I13" s="426"/>
      <c r="J13" s="433">
        <v>0</v>
      </c>
      <c r="K13" s="433">
        <v>209.151592195582</v>
      </c>
      <c r="L13" s="434"/>
      <c r="M13" s="434"/>
      <c r="N13" s="436"/>
      <c r="O13" s="434"/>
      <c r="P13" s="434"/>
      <c r="R13" s="435"/>
      <c r="T13" s="435"/>
    </row>
    <row r="14" spans="2:20" x14ac:dyDescent="0.2">
      <c r="B14" s="401" t="s">
        <v>36</v>
      </c>
      <c r="C14" s="401" t="s">
        <v>392</v>
      </c>
      <c r="D14" s="401" t="s">
        <v>367</v>
      </c>
      <c r="E14" s="401" t="s">
        <v>404</v>
      </c>
      <c r="F14" s="401" t="s">
        <v>333</v>
      </c>
      <c r="G14" s="433">
        <v>0</v>
      </c>
      <c r="H14" s="433">
        <v>203.83072193179135</v>
      </c>
      <c r="I14" s="426"/>
      <c r="J14" s="433">
        <v>0</v>
      </c>
      <c r="K14" s="433">
        <v>209.151592195582</v>
      </c>
      <c r="L14" s="434"/>
      <c r="M14" s="434"/>
      <c r="N14" s="436"/>
      <c r="O14" s="434"/>
      <c r="P14" s="434"/>
      <c r="R14" s="435"/>
      <c r="T14" s="435"/>
    </row>
    <row r="15" spans="2:20" x14ac:dyDescent="0.2">
      <c r="B15" s="401" t="s">
        <v>36</v>
      </c>
      <c r="C15" s="401" t="s">
        <v>359</v>
      </c>
      <c r="D15" s="401" t="s">
        <v>367</v>
      </c>
      <c r="E15" s="401" t="s">
        <v>404</v>
      </c>
      <c r="F15" s="401" t="s">
        <v>333</v>
      </c>
      <c r="G15" s="433">
        <v>0</v>
      </c>
      <c r="H15" s="433">
        <v>203.83072193179135</v>
      </c>
      <c r="I15" s="426"/>
      <c r="J15" s="433">
        <v>0</v>
      </c>
      <c r="K15" s="433">
        <v>209.151592195582</v>
      </c>
      <c r="L15" s="434"/>
      <c r="M15" s="434"/>
      <c r="N15" s="436"/>
      <c r="O15" s="434"/>
      <c r="P15" s="434"/>
      <c r="R15" s="435"/>
      <c r="T15" s="435"/>
    </row>
    <row r="16" spans="2:20" x14ac:dyDescent="0.2">
      <c r="B16" s="401" t="s">
        <v>66</v>
      </c>
      <c r="C16" s="401" t="s">
        <v>366</v>
      </c>
      <c r="D16" s="401" t="s">
        <v>370</v>
      </c>
      <c r="E16" s="401" t="s">
        <v>394</v>
      </c>
      <c r="F16" s="401" t="s">
        <v>334</v>
      </c>
      <c r="G16" s="433">
        <v>0</v>
      </c>
      <c r="H16" s="433">
        <v>693.02445456809062</v>
      </c>
      <c r="I16" s="426"/>
      <c r="J16" s="433">
        <v>0</v>
      </c>
      <c r="K16" s="433">
        <v>711.11541346497802</v>
      </c>
      <c r="L16" s="434"/>
      <c r="M16" s="434"/>
      <c r="N16" s="436"/>
      <c r="O16" s="434"/>
      <c r="P16" s="434"/>
      <c r="R16" s="435"/>
      <c r="T16" s="435"/>
    </row>
    <row r="17" spans="2:20" x14ac:dyDescent="0.2">
      <c r="B17" s="401" t="s">
        <v>66</v>
      </c>
      <c r="C17" s="401" t="s">
        <v>366</v>
      </c>
      <c r="D17" s="401" t="s">
        <v>370</v>
      </c>
      <c r="E17" s="401" t="s">
        <v>394</v>
      </c>
      <c r="F17" s="401" t="s">
        <v>368</v>
      </c>
      <c r="G17" s="433">
        <v>0</v>
      </c>
      <c r="H17" s="433">
        <v>415.81471295327373</v>
      </c>
      <c r="I17" s="426"/>
      <c r="J17" s="433">
        <v>0</v>
      </c>
      <c r="K17" s="433">
        <v>426.66928934112502</v>
      </c>
      <c r="L17" s="434"/>
      <c r="M17" s="434"/>
      <c r="N17" s="436"/>
      <c r="O17" s="434"/>
      <c r="P17" s="434"/>
      <c r="R17" s="435"/>
      <c r="T17" s="435"/>
    </row>
    <row r="18" spans="2:20" x14ac:dyDescent="0.2">
      <c r="B18" s="401" t="s">
        <v>66</v>
      </c>
      <c r="C18" s="401" t="s">
        <v>366</v>
      </c>
      <c r="D18" s="401" t="s">
        <v>370</v>
      </c>
      <c r="E18" s="401" t="s">
        <v>394</v>
      </c>
      <c r="F18" s="401" t="s">
        <v>336</v>
      </c>
      <c r="G18" s="433">
        <v>0</v>
      </c>
      <c r="H18" s="433">
        <v>138.60487080740845</v>
      </c>
      <c r="I18" s="426"/>
      <c r="J18" s="433">
        <v>0</v>
      </c>
      <c r="K18" s="433">
        <v>142.22306206192599</v>
      </c>
      <c r="L18" s="434"/>
      <c r="M18" s="434"/>
      <c r="N18" s="436"/>
      <c r="O18" s="434"/>
      <c r="P18" s="434"/>
      <c r="R18" s="435"/>
      <c r="T18" s="435"/>
    </row>
    <row r="19" spans="2:20" x14ac:dyDescent="0.2">
      <c r="B19" s="401" t="s">
        <v>66</v>
      </c>
      <c r="C19" s="401" t="s">
        <v>392</v>
      </c>
      <c r="D19" s="401" t="s">
        <v>370</v>
      </c>
      <c r="E19" s="401" t="s">
        <v>394</v>
      </c>
      <c r="F19" s="401" t="s">
        <v>333</v>
      </c>
      <c r="G19" s="433">
        <v>0</v>
      </c>
      <c r="H19" s="433">
        <v>203.83072193179135</v>
      </c>
      <c r="I19" s="426"/>
      <c r="J19" s="433">
        <v>0</v>
      </c>
      <c r="K19" s="433">
        <v>209.151592195582</v>
      </c>
      <c r="L19" s="434"/>
      <c r="M19" s="434"/>
      <c r="N19" s="436"/>
      <c r="O19" s="434"/>
      <c r="P19" s="434"/>
      <c r="R19" s="435"/>
      <c r="T19" s="435"/>
    </row>
    <row r="20" spans="2:20" x14ac:dyDescent="0.2">
      <c r="B20" s="401" t="s">
        <v>66</v>
      </c>
      <c r="C20" s="401" t="s">
        <v>359</v>
      </c>
      <c r="D20" s="401" t="s">
        <v>370</v>
      </c>
      <c r="E20" s="401" t="s">
        <v>394</v>
      </c>
      <c r="F20" s="401" t="s">
        <v>333</v>
      </c>
      <c r="G20" s="433">
        <v>0</v>
      </c>
      <c r="H20" s="433">
        <v>203.83072193179135</v>
      </c>
      <c r="I20" s="426"/>
      <c r="J20" s="433">
        <v>0</v>
      </c>
      <c r="K20" s="433">
        <v>209.151592195582</v>
      </c>
      <c r="L20" s="434"/>
      <c r="M20" s="434"/>
      <c r="N20" s="436"/>
      <c r="O20" s="434"/>
      <c r="P20" s="434"/>
      <c r="R20" s="435"/>
      <c r="T20" s="435"/>
    </row>
    <row r="21" spans="2:20" x14ac:dyDescent="0.2">
      <c r="B21" s="401" t="s">
        <v>66</v>
      </c>
      <c r="C21" s="401" t="s">
        <v>366</v>
      </c>
      <c r="D21" s="401" t="s">
        <v>370</v>
      </c>
      <c r="E21" s="401" t="s">
        <v>371</v>
      </c>
      <c r="F21" s="401" t="s">
        <v>334</v>
      </c>
      <c r="G21" s="433">
        <v>0</v>
      </c>
      <c r="H21" s="433">
        <v>693.02445456809062</v>
      </c>
      <c r="I21" s="426"/>
      <c r="J21" s="433">
        <v>0</v>
      </c>
      <c r="K21" s="433">
        <v>711.11541346497802</v>
      </c>
      <c r="L21" s="434"/>
      <c r="M21" s="434"/>
      <c r="N21" s="436"/>
      <c r="O21" s="434"/>
      <c r="P21" s="434"/>
      <c r="R21" s="435"/>
      <c r="T21" s="435"/>
    </row>
    <row r="22" spans="2:20" x14ac:dyDescent="0.2">
      <c r="B22" s="401" t="s">
        <v>66</v>
      </c>
      <c r="C22" s="401" t="s">
        <v>366</v>
      </c>
      <c r="D22" s="401" t="s">
        <v>370</v>
      </c>
      <c r="E22" s="401" t="s">
        <v>371</v>
      </c>
      <c r="F22" s="401" t="s">
        <v>368</v>
      </c>
      <c r="G22" s="433">
        <v>0</v>
      </c>
      <c r="H22" s="433">
        <v>415.81471295327373</v>
      </c>
      <c r="I22" s="426"/>
      <c r="J22" s="433">
        <v>0</v>
      </c>
      <c r="K22" s="433">
        <v>426.66928934112502</v>
      </c>
      <c r="L22" s="434"/>
      <c r="M22" s="434"/>
      <c r="N22" s="436"/>
      <c r="O22" s="434"/>
      <c r="P22" s="434"/>
      <c r="R22" s="435"/>
      <c r="T22" s="435"/>
    </row>
    <row r="23" spans="2:20" x14ac:dyDescent="0.2">
      <c r="B23" s="401" t="s">
        <v>66</v>
      </c>
      <c r="C23" s="401" t="s">
        <v>366</v>
      </c>
      <c r="D23" s="401" t="s">
        <v>370</v>
      </c>
      <c r="E23" s="401" t="s">
        <v>371</v>
      </c>
      <c r="F23" s="401" t="s">
        <v>336</v>
      </c>
      <c r="G23" s="433">
        <v>0</v>
      </c>
      <c r="H23" s="433">
        <v>138.60487080740845</v>
      </c>
      <c r="I23" s="426"/>
      <c r="J23" s="433">
        <v>0</v>
      </c>
      <c r="K23" s="433">
        <v>142.22306206192599</v>
      </c>
      <c r="L23" s="434"/>
      <c r="M23" s="434"/>
      <c r="N23" s="436"/>
      <c r="O23" s="434"/>
      <c r="P23" s="434"/>
      <c r="R23" s="435"/>
      <c r="T23" s="435"/>
    </row>
    <row r="24" spans="2:20" x14ac:dyDescent="0.2">
      <c r="B24" s="401" t="s">
        <v>66</v>
      </c>
      <c r="C24" s="401" t="s">
        <v>392</v>
      </c>
      <c r="D24" s="401" t="s">
        <v>370</v>
      </c>
      <c r="E24" s="401" t="s">
        <v>371</v>
      </c>
      <c r="F24" s="401" t="s">
        <v>333</v>
      </c>
      <c r="G24" s="433">
        <v>0</v>
      </c>
      <c r="H24" s="433">
        <v>203.83072193179135</v>
      </c>
      <c r="I24" s="426"/>
      <c r="J24" s="433">
        <v>0</v>
      </c>
      <c r="K24" s="433">
        <v>209.151592195582</v>
      </c>
      <c r="L24" s="434"/>
      <c r="M24" s="434"/>
      <c r="N24" s="434"/>
      <c r="O24" s="434"/>
      <c r="P24" s="434"/>
      <c r="R24" s="435"/>
      <c r="T24" s="435"/>
    </row>
    <row r="25" spans="2:20" x14ac:dyDescent="0.2">
      <c r="B25" s="401" t="s">
        <v>66</v>
      </c>
      <c r="C25" s="401" t="s">
        <v>359</v>
      </c>
      <c r="D25" s="401" t="s">
        <v>370</v>
      </c>
      <c r="E25" s="401" t="s">
        <v>371</v>
      </c>
      <c r="F25" s="401" t="s">
        <v>333</v>
      </c>
      <c r="G25" s="433">
        <v>0</v>
      </c>
      <c r="H25" s="433">
        <v>203.83072193179135</v>
      </c>
      <c r="I25" s="426"/>
      <c r="J25" s="433">
        <v>0</v>
      </c>
      <c r="K25" s="433">
        <v>209.151592195582</v>
      </c>
      <c r="L25" s="434"/>
      <c r="M25" s="434"/>
      <c r="N25" s="434"/>
      <c r="O25" s="434"/>
      <c r="P25" s="434"/>
      <c r="R25" s="435"/>
      <c r="T25" s="435"/>
    </row>
    <row r="26" spans="2:20" x14ac:dyDescent="0.2">
      <c r="B26" s="401" t="s">
        <v>66</v>
      </c>
      <c r="C26" s="401" t="s">
        <v>366</v>
      </c>
      <c r="D26" s="401" t="s">
        <v>370</v>
      </c>
      <c r="E26" s="401" t="s">
        <v>372</v>
      </c>
      <c r="F26" s="401" t="s">
        <v>334</v>
      </c>
      <c r="G26" s="433">
        <v>0</v>
      </c>
      <c r="H26" s="433">
        <v>693.02445456809062</v>
      </c>
      <c r="I26" s="426"/>
      <c r="J26" s="433">
        <v>0</v>
      </c>
      <c r="K26" s="433">
        <v>711.11541346497802</v>
      </c>
      <c r="L26" s="434"/>
      <c r="M26" s="434"/>
      <c r="N26" s="434"/>
      <c r="O26" s="434"/>
      <c r="P26" s="434"/>
      <c r="R26" s="435"/>
      <c r="T26" s="435"/>
    </row>
    <row r="27" spans="2:20" x14ac:dyDescent="0.2">
      <c r="B27" s="401" t="s">
        <v>66</v>
      </c>
      <c r="C27" s="401" t="s">
        <v>366</v>
      </c>
      <c r="D27" s="401" t="s">
        <v>370</v>
      </c>
      <c r="E27" s="401" t="s">
        <v>372</v>
      </c>
      <c r="F27" s="401" t="s">
        <v>368</v>
      </c>
      <c r="G27" s="433">
        <v>0</v>
      </c>
      <c r="H27" s="433">
        <v>415.81471295327373</v>
      </c>
      <c r="I27" s="426"/>
      <c r="J27" s="433">
        <v>0</v>
      </c>
      <c r="K27" s="433">
        <v>426.66928934112502</v>
      </c>
      <c r="L27" s="436"/>
      <c r="M27" s="434"/>
      <c r="N27" s="436"/>
      <c r="O27" s="434"/>
      <c r="P27" s="434"/>
      <c r="R27" s="435"/>
      <c r="T27" s="435"/>
    </row>
    <row r="28" spans="2:20" x14ac:dyDescent="0.2">
      <c r="B28" s="401" t="s">
        <v>66</v>
      </c>
      <c r="C28" s="401" t="s">
        <v>366</v>
      </c>
      <c r="D28" s="401" t="s">
        <v>370</v>
      </c>
      <c r="E28" s="401" t="s">
        <v>372</v>
      </c>
      <c r="F28" s="401" t="s">
        <v>336</v>
      </c>
      <c r="G28" s="433">
        <v>0</v>
      </c>
      <c r="H28" s="433">
        <v>138.60487080740845</v>
      </c>
      <c r="I28" s="426"/>
      <c r="J28" s="433">
        <v>0</v>
      </c>
      <c r="K28" s="433">
        <v>142.22306206192599</v>
      </c>
      <c r="L28" s="434"/>
      <c r="M28" s="434"/>
      <c r="N28" s="434"/>
      <c r="O28" s="434"/>
      <c r="P28" s="434"/>
      <c r="R28" s="435"/>
      <c r="T28" s="435"/>
    </row>
    <row r="29" spans="2:20" x14ac:dyDescent="0.2">
      <c r="B29" s="401" t="s">
        <v>66</v>
      </c>
      <c r="C29" s="401" t="s">
        <v>392</v>
      </c>
      <c r="D29" s="401" t="s">
        <v>370</v>
      </c>
      <c r="E29" s="401" t="s">
        <v>372</v>
      </c>
      <c r="F29" s="401" t="s">
        <v>333</v>
      </c>
      <c r="G29" s="433">
        <v>0</v>
      </c>
      <c r="H29" s="433">
        <v>203.83072193179135</v>
      </c>
      <c r="I29" s="426"/>
      <c r="J29" s="433">
        <v>0</v>
      </c>
      <c r="K29" s="433">
        <v>209.151592195582</v>
      </c>
      <c r="L29" s="434"/>
      <c r="M29" s="434"/>
      <c r="N29" s="434"/>
      <c r="O29" s="434"/>
      <c r="P29" s="434"/>
      <c r="R29" s="435"/>
      <c r="T29" s="435"/>
    </row>
    <row r="30" spans="2:20" x14ac:dyDescent="0.2">
      <c r="B30" s="401" t="s">
        <v>66</v>
      </c>
      <c r="C30" s="401" t="s">
        <v>359</v>
      </c>
      <c r="D30" s="401" t="s">
        <v>370</v>
      </c>
      <c r="E30" s="401" t="s">
        <v>372</v>
      </c>
      <c r="F30" s="401" t="s">
        <v>333</v>
      </c>
      <c r="G30" s="433">
        <v>0</v>
      </c>
      <c r="H30" s="433">
        <v>203.83072193179135</v>
      </c>
      <c r="I30" s="426"/>
      <c r="J30" s="433">
        <v>0</v>
      </c>
      <c r="K30" s="433">
        <v>209.151592195582</v>
      </c>
      <c r="L30" s="434"/>
      <c r="M30" s="434"/>
      <c r="N30" s="434"/>
      <c r="O30" s="434"/>
      <c r="P30" s="434"/>
      <c r="R30" s="435"/>
      <c r="T30" s="435"/>
    </row>
    <row r="31" spans="2:20" x14ac:dyDescent="0.2">
      <c r="B31" s="401" t="s">
        <v>65</v>
      </c>
      <c r="C31" s="401" t="s">
        <v>366</v>
      </c>
      <c r="D31" s="401" t="s">
        <v>333</v>
      </c>
      <c r="E31" s="401" t="s">
        <v>333</v>
      </c>
      <c r="F31" s="401" t="s">
        <v>334</v>
      </c>
      <c r="G31" s="433">
        <v>0</v>
      </c>
      <c r="H31" s="433">
        <v>693.02445456809062</v>
      </c>
      <c r="I31" s="426"/>
      <c r="J31" s="433">
        <v>0</v>
      </c>
      <c r="K31" s="433">
        <v>711.11541346497802</v>
      </c>
      <c r="L31" s="436"/>
      <c r="M31" s="434"/>
      <c r="N31" s="436"/>
      <c r="O31" s="434"/>
      <c r="P31" s="434"/>
      <c r="R31" s="435"/>
      <c r="T31" s="435"/>
    </row>
    <row r="32" spans="2:20" x14ac:dyDescent="0.2">
      <c r="B32" s="401" t="s">
        <v>65</v>
      </c>
      <c r="C32" s="401" t="s">
        <v>366</v>
      </c>
      <c r="D32" s="401" t="s">
        <v>333</v>
      </c>
      <c r="E32" s="401" t="s">
        <v>333</v>
      </c>
      <c r="F32" s="401" t="s">
        <v>368</v>
      </c>
      <c r="G32" s="433">
        <v>0</v>
      </c>
      <c r="H32" s="433">
        <v>415.81471295327373</v>
      </c>
      <c r="I32" s="426"/>
      <c r="J32" s="433">
        <v>0</v>
      </c>
      <c r="K32" s="433">
        <v>426.66928934112502</v>
      </c>
      <c r="L32" s="434"/>
      <c r="M32" s="434"/>
      <c r="N32" s="434"/>
      <c r="O32" s="434"/>
      <c r="P32" s="434"/>
      <c r="R32" s="435"/>
      <c r="T32" s="435"/>
    </row>
    <row r="33" spans="2:20" x14ac:dyDescent="0.2">
      <c r="B33" s="401" t="s">
        <v>65</v>
      </c>
      <c r="C33" s="401" t="s">
        <v>366</v>
      </c>
      <c r="D33" s="401" t="s">
        <v>333</v>
      </c>
      <c r="E33" s="401" t="s">
        <v>333</v>
      </c>
      <c r="F33" s="401" t="s">
        <v>336</v>
      </c>
      <c r="G33" s="433">
        <v>0</v>
      </c>
      <c r="H33" s="433">
        <v>138.60487080740845</v>
      </c>
      <c r="I33" s="426"/>
      <c r="J33" s="433">
        <v>0</v>
      </c>
      <c r="K33" s="433">
        <v>142.22306206192599</v>
      </c>
      <c r="L33" s="434"/>
      <c r="M33" s="434"/>
      <c r="N33" s="434"/>
      <c r="O33" s="434"/>
      <c r="P33" s="434"/>
      <c r="R33" s="435"/>
      <c r="T33" s="435"/>
    </row>
    <row r="34" spans="2:20" x14ac:dyDescent="0.2">
      <c r="B34" s="401" t="s">
        <v>65</v>
      </c>
      <c r="C34" s="401" t="s">
        <v>392</v>
      </c>
      <c r="D34" s="401" t="s">
        <v>333</v>
      </c>
      <c r="E34" s="401" t="s">
        <v>333</v>
      </c>
      <c r="F34" s="401" t="s">
        <v>333</v>
      </c>
      <c r="G34" s="433">
        <v>0</v>
      </c>
      <c r="H34" s="433">
        <v>203.83072193179135</v>
      </c>
      <c r="I34" s="426"/>
      <c r="J34" s="433">
        <v>0</v>
      </c>
      <c r="K34" s="433">
        <v>209.151592195582</v>
      </c>
      <c r="L34" s="434"/>
      <c r="M34" s="434"/>
      <c r="N34" s="434"/>
      <c r="O34" s="434"/>
      <c r="P34" s="434"/>
      <c r="R34" s="435"/>
      <c r="T34" s="435"/>
    </row>
    <row r="35" spans="2:20" x14ac:dyDescent="0.2">
      <c r="B35" s="401" t="s">
        <v>65</v>
      </c>
      <c r="C35" s="401" t="s">
        <v>359</v>
      </c>
      <c r="D35" s="401" t="s">
        <v>333</v>
      </c>
      <c r="E35" s="401" t="s">
        <v>333</v>
      </c>
      <c r="F35" s="401" t="s">
        <v>333</v>
      </c>
      <c r="G35" s="433">
        <v>0</v>
      </c>
      <c r="H35" s="433">
        <v>203.83072193179135</v>
      </c>
      <c r="I35" s="426"/>
      <c r="J35" s="433">
        <v>0</v>
      </c>
      <c r="K35" s="433">
        <v>209.151592195582</v>
      </c>
      <c r="L35" s="436"/>
      <c r="M35" s="434"/>
      <c r="N35" s="436"/>
      <c r="O35" s="434"/>
      <c r="P35" s="434"/>
      <c r="R35" s="435"/>
      <c r="T35" s="435"/>
    </row>
    <row r="36" spans="2:20" x14ac:dyDescent="0.2">
      <c r="B36" s="401" t="s">
        <v>373</v>
      </c>
      <c r="C36" s="401" t="s">
        <v>359</v>
      </c>
      <c r="D36" s="401" t="s">
        <v>374</v>
      </c>
      <c r="E36" s="401" t="s">
        <v>395</v>
      </c>
      <c r="F36" s="401" t="s">
        <v>333</v>
      </c>
      <c r="G36" s="433">
        <v>0</v>
      </c>
      <c r="H36" s="433">
        <v>112.10689706248526</v>
      </c>
      <c r="I36" s="426"/>
      <c r="J36" s="433">
        <v>0</v>
      </c>
      <c r="K36" s="433">
        <v>115.03337570757</v>
      </c>
      <c r="L36" s="436"/>
      <c r="M36" s="434"/>
      <c r="N36" s="436"/>
      <c r="O36" s="434"/>
      <c r="P36" s="434"/>
      <c r="R36" s="435"/>
      <c r="T36" s="435"/>
    </row>
    <row r="37" spans="2:20" x14ac:dyDescent="0.2">
      <c r="B37" s="401" t="s">
        <v>373</v>
      </c>
      <c r="C37" s="401" t="s">
        <v>359</v>
      </c>
      <c r="D37" s="401" t="s">
        <v>374</v>
      </c>
      <c r="E37" s="401" t="s">
        <v>396</v>
      </c>
      <c r="F37" s="401" t="s">
        <v>333</v>
      </c>
      <c r="G37" s="433">
        <v>0</v>
      </c>
      <c r="H37" s="433">
        <v>122.2984331590748</v>
      </c>
      <c r="I37" s="426"/>
      <c r="J37" s="433">
        <v>0</v>
      </c>
      <c r="K37" s="433">
        <v>125.49095531734901</v>
      </c>
      <c r="L37" s="436"/>
      <c r="M37" s="434"/>
      <c r="N37" s="436"/>
      <c r="O37" s="434"/>
      <c r="P37" s="434"/>
      <c r="R37" s="435"/>
      <c r="T37" s="435"/>
    </row>
    <row r="38" spans="2:20" x14ac:dyDescent="0.2">
      <c r="B38" s="401" t="s">
        <v>397</v>
      </c>
      <c r="C38" s="401" t="s">
        <v>341</v>
      </c>
      <c r="D38" s="401" t="s">
        <v>398</v>
      </c>
      <c r="E38" s="401" t="s">
        <v>333</v>
      </c>
      <c r="F38" s="401" t="s">
        <v>333</v>
      </c>
      <c r="G38" s="433">
        <v>0</v>
      </c>
      <c r="H38" s="437">
        <v>2.9313848411420298</v>
      </c>
      <c r="I38" s="426"/>
      <c r="J38" s="433">
        <v>0</v>
      </c>
      <c r="K38" s="437">
        <v>3.0079067622986302</v>
      </c>
      <c r="L38" s="436"/>
      <c r="M38" s="434"/>
      <c r="N38" s="436"/>
      <c r="O38" s="434"/>
      <c r="P38" s="434"/>
      <c r="R38" s="435"/>
      <c r="T38" s="435"/>
    </row>
    <row r="39" spans="2:20" x14ac:dyDescent="0.2">
      <c r="B39" s="401" t="s">
        <v>397</v>
      </c>
      <c r="C39" s="401" t="s">
        <v>341</v>
      </c>
      <c r="D39" s="401" t="s">
        <v>399</v>
      </c>
      <c r="E39" s="401" t="s">
        <v>333</v>
      </c>
      <c r="F39" s="401" t="s">
        <v>333</v>
      </c>
      <c r="G39" s="433">
        <v>0</v>
      </c>
      <c r="H39" s="437">
        <v>11.6909566839085</v>
      </c>
      <c r="I39" s="426"/>
      <c r="J39" s="433">
        <v>0</v>
      </c>
      <c r="K39" s="437">
        <v>11.996141609836799</v>
      </c>
      <c r="L39" s="434"/>
      <c r="M39" s="434"/>
      <c r="N39" s="434"/>
      <c r="O39" s="434"/>
      <c r="P39" s="434"/>
      <c r="R39" s="435"/>
      <c r="T39" s="435"/>
    </row>
    <row r="40" spans="2:20" x14ac:dyDescent="0.2">
      <c r="K40" s="438"/>
      <c r="L40" s="434"/>
      <c r="M40" s="434"/>
      <c r="N40" s="434"/>
      <c r="O40" s="434"/>
      <c r="P40" s="434"/>
      <c r="R40" s="435"/>
      <c r="T40" s="435"/>
    </row>
    <row r="41" spans="2:20" x14ac:dyDescent="0.2">
      <c r="K41" s="438"/>
      <c r="L41" s="434"/>
      <c r="M41" s="434"/>
      <c r="N41" s="434"/>
      <c r="O41" s="434"/>
      <c r="P41" s="434"/>
      <c r="R41" s="435"/>
      <c r="T41" s="435"/>
    </row>
    <row r="42" spans="2:20" x14ac:dyDescent="0.2">
      <c r="K42" s="438"/>
      <c r="L42" s="436"/>
      <c r="M42" s="436"/>
      <c r="N42" s="436"/>
      <c r="O42" s="434"/>
      <c r="P42" s="434"/>
      <c r="R42" s="435"/>
      <c r="T42" s="435"/>
    </row>
    <row r="43" spans="2:20" x14ac:dyDescent="0.2">
      <c r="K43" s="438"/>
      <c r="L43" s="436"/>
      <c r="M43" s="436"/>
      <c r="N43" s="436"/>
      <c r="O43" s="434"/>
      <c r="P43" s="434"/>
      <c r="R43" s="435"/>
      <c r="T43" s="435"/>
    </row>
    <row r="44" spans="2:20" x14ac:dyDescent="0.2">
      <c r="K44" s="438"/>
      <c r="L44" s="436"/>
      <c r="M44" s="434"/>
      <c r="N44" s="436"/>
      <c r="O44" s="434"/>
      <c r="P44" s="434"/>
      <c r="R44" s="435"/>
      <c r="T44" s="435"/>
    </row>
    <row r="45" spans="2:20" x14ac:dyDescent="0.2">
      <c r="K45" s="438"/>
      <c r="L45" s="436"/>
      <c r="M45" s="434"/>
      <c r="N45" s="434"/>
      <c r="O45" s="434"/>
      <c r="P45" s="434"/>
      <c r="R45" s="435"/>
      <c r="T45" s="435"/>
    </row>
  </sheetData>
  <mergeCells count="8">
    <mergeCell ref="Q5:R5"/>
    <mergeCell ref="B4:B6"/>
    <mergeCell ref="C4:C6"/>
    <mergeCell ref="D4:D6"/>
    <mergeCell ref="E4:E6"/>
    <mergeCell ref="F4:F6"/>
    <mergeCell ref="G4:K4"/>
    <mergeCell ref="J5:K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465C-E0EA-4AF2-B4C8-0FF6F8AD2A02}">
  <dimension ref="A1:Q91"/>
  <sheetViews>
    <sheetView topLeftCell="A60" workbookViewId="0">
      <selection activeCell="G46" sqref="G46"/>
    </sheetView>
  </sheetViews>
  <sheetFormatPr defaultColWidth="15" defaultRowHeight="14.4" x14ac:dyDescent="0.3"/>
  <cols>
    <col min="1" max="1" width="35.44140625" style="416" bestFit="1" customWidth="1"/>
    <col min="2" max="2" width="16" style="416" bestFit="1" customWidth="1"/>
    <col min="3" max="3" width="17.44140625" style="416" bestFit="1" customWidth="1"/>
    <col min="4" max="4" width="17.6640625" style="416" bestFit="1" customWidth="1"/>
    <col min="5" max="5" width="12.6640625" style="416" bestFit="1" customWidth="1"/>
    <col min="6" max="6" width="8.44140625" style="416" bestFit="1" customWidth="1"/>
    <col min="7" max="7" width="12" style="416" bestFit="1" customWidth="1"/>
    <col min="8" max="8" width="12.109375" style="416" bestFit="1" customWidth="1"/>
    <col min="9" max="9" width="12.44140625" style="416" bestFit="1" customWidth="1"/>
    <col min="10" max="10" width="12.33203125" style="416" bestFit="1" customWidth="1"/>
    <col min="11" max="11" width="8.44140625" style="416" bestFit="1" customWidth="1"/>
    <col min="12" max="12" width="7.6640625" style="416" bestFit="1" customWidth="1"/>
    <col min="13" max="13" width="7.33203125" bestFit="1" customWidth="1"/>
    <col min="14" max="14" width="9" bestFit="1" customWidth="1"/>
    <col min="15" max="15" width="4" bestFit="1" customWidth="1"/>
    <col min="16" max="16" width="4.88671875" bestFit="1" customWidth="1"/>
    <col min="17" max="17" width="5.44140625" bestFit="1" customWidth="1"/>
  </cols>
  <sheetData>
    <row r="1" spans="1:17" ht="15" thickBot="1" x14ac:dyDescent="0.35">
      <c r="A1" s="472" t="s">
        <v>309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4"/>
    </row>
    <row r="2" spans="1:17" ht="15.75" customHeight="1" thickBot="1" x14ac:dyDescent="0.35">
      <c r="A2" s="475" t="s">
        <v>310</v>
      </c>
      <c r="B2" s="475" t="s">
        <v>311</v>
      </c>
      <c r="C2" s="475" t="s">
        <v>312</v>
      </c>
      <c r="D2" s="381" t="s">
        <v>313</v>
      </c>
      <c r="E2" s="478" t="s">
        <v>314</v>
      </c>
      <c r="F2" s="479"/>
      <c r="G2" s="479"/>
      <c r="H2" s="479"/>
      <c r="I2" s="480"/>
      <c r="J2" s="478" t="s">
        <v>315</v>
      </c>
      <c r="K2" s="479"/>
      <c r="L2" s="480"/>
      <c r="N2" s="382" t="s">
        <v>316</v>
      </c>
      <c r="O2" s="382" t="s">
        <v>317</v>
      </c>
      <c r="P2" s="382" t="s">
        <v>318</v>
      </c>
      <c r="Q2" s="382" t="s">
        <v>319</v>
      </c>
    </row>
    <row r="3" spans="1:17" ht="15" thickBot="1" x14ac:dyDescent="0.35">
      <c r="A3" s="476"/>
      <c r="B3" s="476"/>
      <c r="C3" s="476"/>
      <c r="D3" s="383"/>
      <c r="E3" s="478" t="s">
        <v>10</v>
      </c>
      <c r="F3" s="480"/>
      <c r="G3" s="478" t="s">
        <v>320</v>
      </c>
      <c r="H3" s="479"/>
      <c r="I3" s="480"/>
      <c r="J3" s="478" t="s">
        <v>10</v>
      </c>
      <c r="K3" s="480"/>
      <c r="L3" s="383" t="s">
        <v>9</v>
      </c>
      <c r="N3" s="384" t="s">
        <v>321</v>
      </c>
      <c r="O3" s="385" t="s">
        <v>322</v>
      </c>
      <c r="P3" s="385" t="s">
        <v>323</v>
      </c>
      <c r="Q3" s="386">
        <v>2025</v>
      </c>
    </row>
    <row r="4" spans="1:17" ht="15" thickBot="1" x14ac:dyDescent="0.35">
      <c r="A4" s="477"/>
      <c r="B4" s="477"/>
      <c r="C4" s="477"/>
      <c r="D4" s="383"/>
      <c r="E4" s="383" t="s">
        <v>324</v>
      </c>
      <c r="F4" s="383" t="s">
        <v>325</v>
      </c>
      <c r="G4" s="387" t="s">
        <v>326</v>
      </c>
      <c r="H4" s="388" t="s">
        <v>327</v>
      </c>
      <c r="I4" s="389" t="s">
        <v>328</v>
      </c>
      <c r="J4" s="383" t="s">
        <v>324</v>
      </c>
      <c r="K4" s="383" t="s">
        <v>325</v>
      </c>
      <c r="L4" s="383" t="s">
        <v>325</v>
      </c>
      <c r="N4" s="384" t="s">
        <v>329</v>
      </c>
      <c r="O4" s="390" t="s">
        <v>390</v>
      </c>
      <c r="P4" s="390" t="s">
        <v>323</v>
      </c>
      <c r="Q4" s="391">
        <v>2026</v>
      </c>
    </row>
    <row r="5" spans="1:17" ht="15" thickBot="1" x14ac:dyDescent="0.35">
      <c r="A5" s="392"/>
      <c r="B5" s="481" t="s">
        <v>332</v>
      </c>
      <c r="C5" s="481" t="s">
        <v>333</v>
      </c>
      <c r="D5" s="393" t="s">
        <v>334</v>
      </c>
      <c r="E5" s="423"/>
      <c r="F5" s="423"/>
      <c r="G5" s="423"/>
      <c r="H5" s="423"/>
      <c r="I5" s="423"/>
      <c r="J5" s="423"/>
      <c r="K5" s="423"/>
      <c r="L5" s="423"/>
      <c r="M5" s="396"/>
      <c r="N5" s="322"/>
      <c r="O5" s="322"/>
    </row>
    <row r="6" spans="1:17" ht="15" thickBot="1" x14ac:dyDescent="0.35">
      <c r="A6" s="392" t="s">
        <v>335</v>
      </c>
      <c r="B6" s="482"/>
      <c r="C6" s="482"/>
      <c r="D6" s="393" t="s">
        <v>336</v>
      </c>
      <c r="E6" s="423"/>
      <c r="F6" s="423"/>
      <c r="G6" s="423"/>
      <c r="H6" s="423"/>
      <c r="I6" s="423"/>
      <c r="J6" s="423"/>
      <c r="K6" s="423"/>
      <c r="L6" s="423"/>
      <c r="M6" s="396"/>
      <c r="N6" s="322"/>
      <c r="O6" s="322"/>
    </row>
    <row r="7" spans="1:17" ht="15" thickBot="1" x14ac:dyDescent="0.35">
      <c r="A7" s="392"/>
      <c r="B7" s="481" t="s">
        <v>337</v>
      </c>
      <c r="C7" s="481" t="s">
        <v>333</v>
      </c>
      <c r="D7" s="393" t="s">
        <v>334</v>
      </c>
      <c r="E7" s="423"/>
      <c r="F7" s="423"/>
      <c r="G7" s="423"/>
      <c r="H7" s="423"/>
      <c r="I7" s="423"/>
      <c r="J7" s="423"/>
      <c r="K7" s="423"/>
      <c r="L7" s="423"/>
      <c r="M7" s="397"/>
      <c r="N7" s="322"/>
      <c r="O7" s="322"/>
    </row>
    <row r="8" spans="1:17" ht="15" thickBot="1" x14ac:dyDescent="0.35">
      <c r="A8" s="392"/>
      <c r="B8" s="482"/>
      <c r="C8" s="482"/>
      <c r="D8" s="393" t="s">
        <v>336</v>
      </c>
      <c r="E8" s="423"/>
      <c r="F8" s="423"/>
      <c r="G8" s="423"/>
      <c r="H8" s="423"/>
      <c r="I8" s="423"/>
      <c r="J8" s="423"/>
      <c r="K8" s="423"/>
      <c r="L8" s="423"/>
      <c r="M8" s="322"/>
      <c r="N8" s="322"/>
      <c r="O8" s="322"/>
    </row>
    <row r="9" spans="1:17" ht="15.75" customHeight="1" thickBot="1" x14ac:dyDescent="0.35">
      <c r="A9" s="469" t="s">
        <v>338</v>
      </c>
      <c r="B9" s="481" t="s">
        <v>332</v>
      </c>
      <c r="C9" s="481" t="s">
        <v>333</v>
      </c>
      <c r="D9" s="393" t="s">
        <v>334</v>
      </c>
      <c r="E9" s="394"/>
      <c r="F9" s="394"/>
      <c r="G9" s="394"/>
      <c r="H9" s="395"/>
      <c r="I9" s="395"/>
      <c r="J9" s="394"/>
      <c r="K9" s="394"/>
      <c r="L9" s="394"/>
      <c r="M9" s="396"/>
      <c r="N9" s="322"/>
      <c r="O9" s="322"/>
    </row>
    <row r="10" spans="1:17" ht="15" thickBot="1" x14ac:dyDescent="0.35">
      <c r="A10" s="470"/>
      <c r="B10" s="482"/>
      <c r="C10" s="482"/>
      <c r="D10" s="393" t="s">
        <v>336</v>
      </c>
      <c r="E10" s="394"/>
      <c r="F10" s="394"/>
      <c r="G10" s="394"/>
      <c r="H10" s="395"/>
      <c r="I10" s="395"/>
      <c r="J10" s="394"/>
      <c r="K10" s="394"/>
      <c r="L10" s="394"/>
      <c r="M10" s="396"/>
      <c r="N10" s="399"/>
      <c r="O10" s="399"/>
    </row>
    <row r="11" spans="1:17" ht="15" thickBot="1" x14ac:dyDescent="0.35">
      <c r="A11" s="470"/>
      <c r="B11" s="481" t="s">
        <v>337</v>
      </c>
      <c r="C11" s="481" t="s">
        <v>333</v>
      </c>
      <c r="D11" s="393" t="s">
        <v>334</v>
      </c>
      <c r="E11" s="394"/>
      <c r="F11" s="394"/>
      <c r="G11" s="394"/>
      <c r="H11" s="395"/>
      <c r="I11" s="395"/>
      <c r="J11" s="394"/>
      <c r="K11" s="394"/>
      <c r="L11" s="394"/>
      <c r="M11" s="396"/>
      <c r="N11" s="322"/>
      <c r="O11" s="322"/>
    </row>
    <row r="12" spans="1:17" ht="15" thickBot="1" x14ac:dyDescent="0.35">
      <c r="A12" s="470"/>
      <c r="B12" s="482"/>
      <c r="C12" s="482"/>
      <c r="D12" s="393" t="s">
        <v>336</v>
      </c>
      <c r="E12" s="394"/>
      <c r="F12" s="394"/>
      <c r="G12" s="394"/>
      <c r="H12" s="395"/>
      <c r="I12" s="395"/>
      <c r="J12" s="394"/>
      <c r="K12" s="394"/>
      <c r="L12" s="394"/>
      <c r="M12" s="322"/>
    </row>
    <row r="13" spans="1:17" ht="15" thickBot="1" x14ac:dyDescent="0.35">
      <c r="A13" s="470"/>
      <c r="B13" s="481" t="s">
        <v>339</v>
      </c>
      <c r="C13" s="481" t="s">
        <v>340</v>
      </c>
      <c r="D13" s="393" t="s">
        <v>334</v>
      </c>
      <c r="E13" s="398"/>
      <c r="F13" s="398"/>
      <c r="G13" s="398"/>
      <c r="H13" s="395"/>
      <c r="I13" s="395"/>
      <c r="J13" s="398"/>
      <c r="K13" s="398"/>
      <c r="L13" s="398"/>
    </row>
    <row r="14" spans="1:17" ht="15" thickBot="1" x14ac:dyDescent="0.35">
      <c r="A14" s="470"/>
      <c r="B14" s="483"/>
      <c r="C14" s="483"/>
      <c r="D14" s="393" t="s">
        <v>336</v>
      </c>
      <c r="E14" s="398"/>
      <c r="F14" s="398"/>
      <c r="G14" s="398"/>
      <c r="H14" s="395"/>
      <c r="I14" s="395"/>
      <c r="J14" s="398"/>
      <c r="K14" s="398"/>
      <c r="L14" s="398"/>
    </row>
    <row r="15" spans="1:17" ht="15" thickBot="1" x14ac:dyDescent="0.35">
      <c r="A15" s="470"/>
      <c r="B15" s="482"/>
      <c r="C15" s="482"/>
      <c r="D15" s="393" t="s">
        <v>333</v>
      </c>
      <c r="E15" s="398"/>
      <c r="F15" s="398"/>
      <c r="G15" s="398"/>
      <c r="H15" s="395"/>
      <c r="I15" s="395"/>
      <c r="J15" s="398"/>
      <c r="K15" s="398"/>
      <c r="L15" s="398"/>
      <c r="M15" s="400"/>
    </row>
    <row r="16" spans="1:17" ht="15" thickBot="1" x14ac:dyDescent="0.35">
      <c r="A16" s="470"/>
      <c r="B16" s="481" t="s">
        <v>341</v>
      </c>
      <c r="C16" s="401" t="s">
        <v>342</v>
      </c>
      <c r="D16" s="393" t="s">
        <v>333</v>
      </c>
      <c r="E16" s="402"/>
      <c r="F16" s="394"/>
      <c r="G16" s="394"/>
      <c r="H16" s="395"/>
      <c r="I16" s="395"/>
      <c r="J16" s="402"/>
      <c r="K16" s="394"/>
      <c r="L16" s="403"/>
      <c r="M16" s="400"/>
      <c r="N16" s="322"/>
    </row>
    <row r="17" spans="1:15" ht="15" thickBot="1" x14ac:dyDescent="0.35">
      <c r="A17" s="470"/>
      <c r="B17" s="483"/>
      <c r="C17" s="401" t="s">
        <v>343</v>
      </c>
      <c r="D17" s="393" t="s">
        <v>333</v>
      </c>
      <c r="E17" s="402"/>
      <c r="F17" s="394"/>
      <c r="G17" s="394"/>
      <c r="H17" s="395"/>
      <c r="I17" s="395"/>
      <c r="J17" s="398"/>
      <c r="K17" s="394"/>
      <c r="L17" s="394"/>
      <c r="M17" s="322"/>
      <c r="N17" s="322"/>
      <c r="O17" s="322"/>
    </row>
    <row r="18" spans="1:15" ht="15" thickBot="1" x14ac:dyDescent="0.35">
      <c r="A18" s="470"/>
      <c r="B18" s="483"/>
      <c r="C18" s="401" t="s">
        <v>344</v>
      </c>
      <c r="D18" s="393" t="s">
        <v>333</v>
      </c>
      <c r="E18" s="402"/>
      <c r="F18" s="394"/>
      <c r="G18" s="394"/>
      <c r="H18" s="395"/>
      <c r="I18" s="395"/>
      <c r="J18" s="402"/>
      <c r="K18" s="394"/>
      <c r="L18" s="394"/>
      <c r="N18" s="322"/>
      <c r="O18" s="322"/>
    </row>
    <row r="19" spans="1:15" ht="15" thickBot="1" x14ac:dyDescent="0.35">
      <c r="A19" s="470"/>
      <c r="B19" s="483"/>
      <c r="C19" s="401" t="s">
        <v>345</v>
      </c>
      <c r="D19" s="393" t="s">
        <v>333</v>
      </c>
      <c r="E19" s="398"/>
      <c r="F19" s="394"/>
      <c r="G19" s="394"/>
      <c r="H19" s="395"/>
      <c r="I19" s="395"/>
      <c r="J19" s="402"/>
      <c r="K19" s="394"/>
      <c r="L19" s="394"/>
      <c r="N19" s="322"/>
      <c r="O19" s="322"/>
    </row>
    <row r="20" spans="1:15" ht="15" thickBot="1" x14ac:dyDescent="0.35">
      <c r="A20" s="470"/>
      <c r="B20" s="483"/>
      <c r="C20" s="401" t="s">
        <v>346</v>
      </c>
      <c r="D20" s="393" t="s">
        <v>333</v>
      </c>
      <c r="E20" s="398"/>
      <c r="F20" s="394"/>
      <c r="G20" s="394"/>
      <c r="H20" s="395"/>
      <c r="I20" s="395"/>
      <c r="J20" s="402"/>
      <c r="K20" s="394"/>
      <c r="L20" s="394"/>
      <c r="N20" s="322"/>
      <c r="O20" s="322"/>
    </row>
    <row r="21" spans="1:15" ht="15" thickBot="1" x14ac:dyDescent="0.35">
      <c r="A21" s="470"/>
      <c r="B21" s="483"/>
      <c r="C21" s="401" t="s">
        <v>347</v>
      </c>
      <c r="D21" s="393" t="s">
        <v>333</v>
      </c>
      <c r="E21" s="398"/>
      <c r="F21" s="394"/>
      <c r="G21" s="394"/>
      <c r="H21" s="395"/>
      <c r="I21" s="395"/>
      <c r="J21" s="402"/>
      <c r="K21" s="394"/>
      <c r="L21" s="394"/>
      <c r="N21" s="322"/>
      <c r="O21" s="322"/>
    </row>
    <row r="22" spans="1:15" ht="15" thickBot="1" x14ac:dyDescent="0.35">
      <c r="A22" s="470"/>
      <c r="B22" s="483"/>
      <c r="C22" s="401" t="s">
        <v>348</v>
      </c>
      <c r="D22" s="393" t="s">
        <v>333</v>
      </c>
      <c r="E22" s="398"/>
      <c r="F22" s="394"/>
      <c r="G22" s="394"/>
      <c r="H22" s="395"/>
      <c r="I22" s="395"/>
      <c r="J22" s="402"/>
      <c r="K22" s="394"/>
      <c r="L22" s="394"/>
      <c r="N22" s="322"/>
      <c r="O22" s="322"/>
    </row>
    <row r="23" spans="1:15" ht="15" thickBot="1" x14ac:dyDescent="0.35">
      <c r="A23" s="470"/>
      <c r="B23" s="483"/>
      <c r="C23" s="401" t="s">
        <v>349</v>
      </c>
      <c r="D23" s="393" t="s">
        <v>333</v>
      </c>
      <c r="E23" s="398"/>
      <c r="F23" s="394"/>
      <c r="G23" s="394"/>
      <c r="H23" s="395"/>
      <c r="I23" s="395"/>
      <c r="J23" s="402"/>
      <c r="K23" s="394"/>
      <c r="L23" s="394"/>
      <c r="N23" s="322"/>
      <c r="O23" s="322"/>
    </row>
    <row r="24" spans="1:15" ht="15" thickBot="1" x14ac:dyDescent="0.35">
      <c r="A24" s="470"/>
      <c r="B24" s="483"/>
      <c r="C24" s="401" t="s">
        <v>350</v>
      </c>
      <c r="D24" s="393" t="s">
        <v>333</v>
      </c>
      <c r="E24" s="402"/>
      <c r="F24" s="394"/>
      <c r="G24" s="394"/>
      <c r="H24" s="395"/>
      <c r="I24" s="395"/>
      <c r="J24" s="402"/>
      <c r="K24" s="394"/>
      <c r="L24" s="394"/>
      <c r="N24" s="322"/>
      <c r="O24" s="322"/>
    </row>
    <row r="25" spans="1:15" ht="15" thickBot="1" x14ac:dyDescent="0.35">
      <c r="A25" s="470"/>
      <c r="B25" s="483"/>
      <c r="C25" s="401" t="s">
        <v>351</v>
      </c>
      <c r="D25" s="393" t="s">
        <v>333</v>
      </c>
      <c r="E25" s="402"/>
      <c r="F25" s="394"/>
      <c r="G25" s="394"/>
      <c r="H25" s="395"/>
      <c r="I25" s="395"/>
      <c r="J25" s="402"/>
      <c r="K25" s="394"/>
      <c r="L25" s="394"/>
      <c r="N25" s="322"/>
      <c r="O25" s="322"/>
    </row>
    <row r="26" spans="1:15" ht="15" thickBot="1" x14ac:dyDescent="0.35">
      <c r="A26" s="470"/>
      <c r="B26" s="483"/>
      <c r="C26" s="401" t="s">
        <v>353</v>
      </c>
      <c r="D26" s="393" t="s">
        <v>333</v>
      </c>
      <c r="E26" s="398"/>
      <c r="F26" s="394"/>
      <c r="G26" s="394"/>
      <c r="H26" s="395"/>
      <c r="I26" s="395"/>
      <c r="J26" s="402"/>
      <c r="K26" s="394"/>
      <c r="L26" s="394"/>
      <c r="N26" s="322"/>
      <c r="O26" s="322"/>
    </row>
    <row r="27" spans="1:15" ht="15" thickBot="1" x14ac:dyDescent="0.35">
      <c r="A27" s="471"/>
      <c r="B27" s="482"/>
      <c r="C27" s="401" t="s">
        <v>355</v>
      </c>
      <c r="D27" s="393" t="s">
        <v>333</v>
      </c>
      <c r="E27" s="402"/>
      <c r="F27" s="394"/>
      <c r="G27" s="394"/>
      <c r="H27" s="395"/>
      <c r="I27" s="395"/>
      <c r="J27" s="402"/>
      <c r="K27" s="394"/>
      <c r="L27" s="394"/>
      <c r="N27" s="322"/>
      <c r="O27" s="322"/>
    </row>
    <row r="28" spans="1:15" ht="15.75" customHeight="1" thickBot="1" x14ac:dyDescent="0.35">
      <c r="A28" s="469" t="s">
        <v>356</v>
      </c>
      <c r="B28" s="481" t="s">
        <v>332</v>
      </c>
      <c r="C28" s="481" t="s">
        <v>333</v>
      </c>
      <c r="D28" s="393" t="s">
        <v>334</v>
      </c>
      <c r="E28" s="398"/>
      <c r="F28" s="398"/>
      <c r="G28" s="398"/>
      <c r="H28" s="395"/>
      <c r="I28" s="395"/>
      <c r="J28" s="398"/>
      <c r="K28" s="398"/>
      <c r="L28" s="398"/>
      <c r="N28" s="322"/>
      <c r="O28" s="322"/>
    </row>
    <row r="29" spans="1:15" ht="15" thickBot="1" x14ac:dyDescent="0.35">
      <c r="A29" s="470"/>
      <c r="B29" s="482"/>
      <c r="C29" s="482"/>
      <c r="D29" s="393" t="s">
        <v>336</v>
      </c>
      <c r="E29" s="398"/>
      <c r="F29" s="398"/>
      <c r="G29" s="398"/>
      <c r="H29" s="395"/>
      <c r="I29" s="395"/>
      <c r="J29" s="398"/>
      <c r="K29" s="398"/>
      <c r="L29" s="398"/>
      <c r="N29" s="322"/>
      <c r="O29" s="322"/>
    </row>
    <row r="30" spans="1:15" ht="15" thickBot="1" x14ac:dyDescent="0.35">
      <c r="A30" s="470"/>
      <c r="B30" s="481" t="s">
        <v>337</v>
      </c>
      <c r="C30" s="481" t="s">
        <v>333</v>
      </c>
      <c r="D30" s="393" t="s">
        <v>334</v>
      </c>
      <c r="E30" s="398"/>
      <c r="F30" s="398"/>
      <c r="G30" s="394"/>
      <c r="H30" s="395"/>
      <c r="I30" s="395"/>
      <c r="J30" s="398"/>
      <c r="K30" s="398"/>
      <c r="L30" s="394"/>
      <c r="N30" s="322"/>
      <c r="O30" s="322"/>
    </row>
    <row r="31" spans="1:15" ht="15" thickBot="1" x14ac:dyDescent="0.35">
      <c r="A31" s="470"/>
      <c r="B31" s="482"/>
      <c r="C31" s="482"/>
      <c r="D31" s="393" t="s">
        <v>336</v>
      </c>
      <c r="E31" s="398"/>
      <c r="F31" s="398"/>
      <c r="G31" s="394"/>
      <c r="H31" s="395"/>
      <c r="I31" s="395"/>
      <c r="J31" s="398"/>
      <c r="K31" s="398"/>
      <c r="L31" s="394"/>
      <c r="N31" s="322"/>
      <c r="O31" s="322"/>
    </row>
    <row r="32" spans="1:15" ht="15" thickBot="1" x14ac:dyDescent="0.35">
      <c r="A32" s="470"/>
      <c r="B32" s="481" t="s">
        <v>339</v>
      </c>
      <c r="C32" s="481"/>
      <c r="D32" s="393" t="s">
        <v>334</v>
      </c>
      <c r="E32" s="398"/>
      <c r="F32" s="398"/>
      <c r="G32" s="398"/>
      <c r="H32" s="395"/>
      <c r="I32" s="395"/>
      <c r="J32" s="398"/>
      <c r="K32" s="398"/>
      <c r="L32" s="398"/>
      <c r="N32" s="322"/>
      <c r="O32" s="322"/>
    </row>
    <row r="33" spans="1:15" ht="15" thickBot="1" x14ac:dyDescent="0.35">
      <c r="A33" s="470"/>
      <c r="B33" s="483"/>
      <c r="C33" s="483"/>
      <c r="D33" s="393" t="s">
        <v>336</v>
      </c>
      <c r="E33" s="398"/>
      <c r="F33" s="398"/>
      <c r="G33" s="398"/>
      <c r="H33" s="395"/>
      <c r="I33" s="395"/>
      <c r="J33" s="398"/>
      <c r="K33" s="398"/>
      <c r="L33" s="398"/>
      <c r="N33" s="322"/>
      <c r="O33" s="322"/>
    </row>
    <row r="34" spans="1:15" ht="15" thickBot="1" x14ac:dyDescent="0.35">
      <c r="A34" s="470"/>
      <c r="B34" s="482"/>
      <c r="C34" s="482"/>
      <c r="D34" s="393" t="s">
        <v>333</v>
      </c>
      <c r="E34" s="398"/>
      <c r="F34" s="398"/>
      <c r="G34" s="398"/>
      <c r="H34" s="395"/>
      <c r="I34" s="395"/>
      <c r="J34" s="398"/>
      <c r="K34" s="398"/>
      <c r="L34" s="398"/>
      <c r="N34" s="322"/>
      <c r="O34" s="322"/>
    </row>
    <row r="35" spans="1:15" ht="15" thickBot="1" x14ac:dyDescent="0.35">
      <c r="A35" s="471"/>
      <c r="B35" s="393" t="s">
        <v>341</v>
      </c>
      <c r="C35" s="393" t="s">
        <v>333</v>
      </c>
      <c r="D35" s="393" t="s">
        <v>333</v>
      </c>
      <c r="E35" s="398"/>
      <c r="F35" s="398"/>
      <c r="G35" s="398"/>
      <c r="H35" s="395"/>
      <c r="I35" s="395"/>
      <c r="J35" s="398"/>
      <c r="K35" s="398"/>
      <c r="L35" s="398"/>
      <c r="N35" s="322"/>
      <c r="O35" s="322"/>
    </row>
    <row r="36" spans="1:15" ht="15.75" customHeight="1" thickBot="1" x14ac:dyDescent="0.35">
      <c r="A36" s="469" t="s">
        <v>357</v>
      </c>
      <c r="B36" s="481" t="s">
        <v>332</v>
      </c>
      <c r="C36" s="481" t="s">
        <v>333</v>
      </c>
      <c r="D36" s="393" t="s">
        <v>334</v>
      </c>
      <c r="E36" s="398"/>
      <c r="F36" s="398"/>
      <c r="G36" s="398"/>
      <c r="H36" s="395"/>
      <c r="I36" s="395"/>
      <c r="J36" s="398"/>
      <c r="K36" s="398"/>
      <c r="L36" s="398"/>
      <c r="M36" s="396"/>
      <c r="N36" s="322"/>
      <c r="O36" s="322"/>
    </row>
    <row r="37" spans="1:15" ht="15" thickBot="1" x14ac:dyDescent="0.35">
      <c r="A37" s="470"/>
      <c r="B37" s="482"/>
      <c r="C37" s="482"/>
      <c r="D37" s="393" t="s">
        <v>336</v>
      </c>
      <c r="E37" s="398"/>
      <c r="F37" s="398"/>
      <c r="G37" s="398"/>
      <c r="H37" s="395"/>
      <c r="I37" s="395"/>
      <c r="J37" s="398"/>
      <c r="K37" s="398"/>
      <c r="L37" s="398"/>
      <c r="M37" s="396"/>
      <c r="N37" s="322"/>
      <c r="O37" s="322"/>
    </row>
    <row r="38" spans="1:15" ht="15" thickBot="1" x14ac:dyDescent="0.35">
      <c r="A38" s="470"/>
      <c r="B38" s="481" t="s">
        <v>337</v>
      </c>
      <c r="C38" s="481" t="s">
        <v>333</v>
      </c>
      <c r="D38" s="393" t="s">
        <v>334</v>
      </c>
      <c r="E38" s="398"/>
      <c r="F38" s="398"/>
      <c r="G38" s="398"/>
      <c r="H38" s="395"/>
      <c r="I38" s="395"/>
      <c r="J38" s="398"/>
      <c r="K38" s="398"/>
      <c r="L38" s="398"/>
      <c r="M38" s="397"/>
      <c r="N38" s="322"/>
      <c r="O38" s="322"/>
    </row>
    <row r="39" spans="1:15" ht="15" thickBot="1" x14ac:dyDescent="0.35">
      <c r="A39" s="470"/>
      <c r="B39" s="482"/>
      <c r="C39" s="482"/>
      <c r="D39" s="393" t="s">
        <v>336</v>
      </c>
      <c r="E39" s="398"/>
      <c r="F39" s="398"/>
      <c r="G39" s="398"/>
      <c r="H39" s="395"/>
      <c r="I39" s="395"/>
      <c r="J39" s="398"/>
      <c r="K39" s="398"/>
      <c r="L39" s="398"/>
      <c r="M39" s="322"/>
      <c r="N39" s="322"/>
      <c r="O39" s="322"/>
    </row>
    <row r="40" spans="1:15" ht="15" thickBot="1" x14ac:dyDescent="0.35">
      <c r="A40" s="470"/>
      <c r="B40" s="481" t="s">
        <v>13</v>
      </c>
      <c r="C40" s="481" t="s">
        <v>333</v>
      </c>
      <c r="D40" s="393" t="s">
        <v>333</v>
      </c>
      <c r="E40" s="398"/>
      <c r="F40" s="398"/>
      <c r="G40" s="398"/>
      <c r="H40" s="395"/>
      <c r="I40" s="395"/>
      <c r="J40" s="398"/>
      <c r="K40" s="398"/>
      <c r="L40" s="398"/>
      <c r="M40" s="396"/>
      <c r="N40" s="322"/>
      <c r="O40" s="322"/>
    </row>
    <row r="41" spans="1:15" ht="15" thickBot="1" x14ac:dyDescent="0.35">
      <c r="A41" s="470"/>
      <c r="B41" s="483"/>
      <c r="C41" s="483"/>
      <c r="D41" s="393" t="s">
        <v>334</v>
      </c>
      <c r="E41" s="398"/>
      <c r="F41" s="398"/>
      <c r="G41" s="398"/>
      <c r="H41" s="395"/>
      <c r="I41" s="395"/>
      <c r="J41" s="398"/>
      <c r="K41" s="398"/>
      <c r="L41" s="398"/>
      <c r="M41" s="396"/>
      <c r="N41" s="322"/>
      <c r="O41" s="322"/>
    </row>
    <row r="42" spans="1:15" ht="15" thickBot="1" x14ac:dyDescent="0.35">
      <c r="A42" s="470"/>
      <c r="B42" s="482"/>
      <c r="C42" s="482"/>
      <c r="D42" s="393" t="s">
        <v>336</v>
      </c>
      <c r="E42" s="398"/>
      <c r="F42" s="398"/>
      <c r="G42" s="398"/>
      <c r="H42" s="395"/>
      <c r="I42" s="395"/>
      <c r="J42" s="398"/>
      <c r="K42" s="398"/>
      <c r="L42" s="398"/>
      <c r="M42" s="396"/>
      <c r="N42" s="322"/>
      <c r="O42" s="322"/>
    </row>
    <row r="43" spans="1:15" ht="15" thickBot="1" x14ac:dyDescent="0.35">
      <c r="A43" s="470"/>
      <c r="B43" s="481" t="s">
        <v>358</v>
      </c>
      <c r="C43" s="481" t="s">
        <v>333</v>
      </c>
      <c r="D43" s="393" t="s">
        <v>333</v>
      </c>
      <c r="E43" s="398"/>
      <c r="F43" s="398"/>
      <c r="G43" s="398"/>
      <c r="H43" s="395"/>
      <c r="I43" s="395"/>
      <c r="J43" s="398"/>
      <c r="K43" s="398"/>
      <c r="L43" s="398"/>
      <c r="M43" s="322"/>
      <c r="N43" s="322"/>
      <c r="O43" s="322"/>
    </row>
    <row r="44" spans="1:15" ht="15" thickBot="1" x14ac:dyDescent="0.35">
      <c r="A44" s="470"/>
      <c r="B44" s="483"/>
      <c r="C44" s="483"/>
      <c r="D44" s="393" t="s">
        <v>334</v>
      </c>
      <c r="E44" s="398"/>
      <c r="F44" s="398"/>
      <c r="G44" s="398"/>
      <c r="H44" s="395"/>
      <c r="I44" s="395"/>
      <c r="J44" s="398"/>
      <c r="K44" s="398"/>
      <c r="L44" s="398"/>
      <c r="N44" s="322"/>
      <c r="O44" s="322"/>
    </row>
    <row r="45" spans="1:15" ht="15" thickBot="1" x14ac:dyDescent="0.35">
      <c r="A45" s="470"/>
      <c r="B45" s="482"/>
      <c r="C45" s="482"/>
      <c r="D45" s="393" t="s">
        <v>336</v>
      </c>
      <c r="E45" s="398"/>
      <c r="F45" s="398"/>
      <c r="G45" s="398"/>
      <c r="H45" s="395"/>
      <c r="I45" s="395"/>
      <c r="J45" s="398"/>
      <c r="K45" s="398"/>
      <c r="L45" s="398"/>
      <c r="N45" s="322"/>
      <c r="O45" s="322"/>
    </row>
    <row r="46" spans="1:15" ht="15" thickBot="1" x14ac:dyDescent="0.35">
      <c r="A46" s="470"/>
      <c r="B46" s="404" t="s">
        <v>359</v>
      </c>
      <c r="C46" s="404" t="s">
        <v>333</v>
      </c>
      <c r="D46" s="404" t="s">
        <v>333</v>
      </c>
      <c r="E46" s="398"/>
      <c r="F46" s="394"/>
      <c r="G46" s="394"/>
      <c r="H46" s="395"/>
      <c r="I46" s="395"/>
      <c r="J46" s="398"/>
      <c r="K46" s="398"/>
      <c r="L46" s="398"/>
      <c r="N46" s="322"/>
      <c r="O46" s="322"/>
    </row>
    <row r="47" spans="1:15" ht="15" thickBot="1" x14ac:dyDescent="0.35">
      <c r="A47" s="471"/>
      <c r="B47" s="393" t="s">
        <v>341</v>
      </c>
      <c r="C47" s="393" t="s">
        <v>333</v>
      </c>
      <c r="D47" s="393" t="s">
        <v>333</v>
      </c>
      <c r="E47" s="398"/>
      <c r="F47" s="398"/>
      <c r="G47" s="398"/>
      <c r="H47" s="395"/>
      <c r="I47" s="395"/>
      <c r="J47" s="398"/>
      <c r="K47" s="398"/>
      <c r="L47" s="398"/>
      <c r="N47" s="322"/>
      <c r="O47" s="322"/>
    </row>
    <row r="48" spans="1:15" ht="15.75" customHeight="1" thickBot="1" x14ac:dyDescent="0.35">
      <c r="A48" s="469" t="s">
        <v>360</v>
      </c>
      <c r="B48" s="481" t="s">
        <v>332</v>
      </c>
      <c r="C48" s="481" t="s">
        <v>333</v>
      </c>
      <c r="D48" s="393" t="s">
        <v>334</v>
      </c>
      <c r="E48" s="398"/>
      <c r="F48" s="398"/>
      <c r="G48" s="398"/>
      <c r="H48" s="395"/>
      <c r="I48" s="395"/>
      <c r="J48" s="398"/>
      <c r="K48" s="398"/>
      <c r="L48" s="398"/>
      <c r="N48" s="322"/>
      <c r="O48" s="322"/>
    </row>
    <row r="49" spans="1:15" ht="15" thickBot="1" x14ac:dyDescent="0.35">
      <c r="A49" s="470"/>
      <c r="B49" s="482"/>
      <c r="C49" s="482"/>
      <c r="D49" s="393" t="s">
        <v>336</v>
      </c>
      <c r="E49" s="398"/>
      <c r="F49" s="398"/>
      <c r="G49" s="398"/>
      <c r="H49" s="395"/>
      <c r="I49" s="395"/>
      <c r="J49" s="398"/>
      <c r="K49" s="398"/>
      <c r="L49" s="398"/>
      <c r="M49" s="396"/>
      <c r="N49" s="322"/>
      <c r="O49" s="322"/>
    </row>
    <row r="50" spans="1:15" ht="15" thickBot="1" x14ac:dyDescent="0.35">
      <c r="A50" s="470"/>
      <c r="B50" s="481" t="s">
        <v>337</v>
      </c>
      <c r="C50" s="481" t="s">
        <v>333</v>
      </c>
      <c r="D50" s="393" t="s">
        <v>334</v>
      </c>
      <c r="E50" s="398"/>
      <c r="F50" s="398"/>
      <c r="G50" s="398"/>
      <c r="H50" s="395"/>
      <c r="I50" s="395"/>
      <c r="J50" s="398"/>
      <c r="K50" s="398"/>
      <c r="L50" s="398"/>
      <c r="M50" s="396"/>
      <c r="N50" s="322"/>
      <c r="O50" s="322"/>
    </row>
    <row r="51" spans="1:15" ht="15" thickBot="1" x14ac:dyDescent="0.35">
      <c r="A51" s="470"/>
      <c r="B51" s="482"/>
      <c r="C51" s="482"/>
      <c r="D51" s="393" t="s">
        <v>336</v>
      </c>
      <c r="E51" s="398"/>
      <c r="F51" s="398"/>
      <c r="G51" s="398"/>
      <c r="H51" s="395"/>
      <c r="I51" s="395"/>
      <c r="J51" s="398"/>
      <c r="K51" s="398"/>
      <c r="L51" s="398"/>
      <c r="M51" s="397"/>
      <c r="N51" s="322"/>
      <c r="O51" s="322"/>
    </row>
    <row r="52" spans="1:15" ht="15" thickBot="1" x14ac:dyDescent="0.35">
      <c r="A52" s="470"/>
      <c r="B52" s="481" t="s">
        <v>13</v>
      </c>
      <c r="C52" s="481" t="s">
        <v>333</v>
      </c>
      <c r="D52" s="393" t="s">
        <v>333</v>
      </c>
      <c r="E52" s="398"/>
      <c r="F52" s="398"/>
      <c r="G52" s="398"/>
      <c r="H52" s="395"/>
      <c r="I52" s="395"/>
      <c r="J52" s="398"/>
      <c r="K52" s="398"/>
      <c r="L52" s="398"/>
      <c r="M52" s="322"/>
      <c r="N52" s="322"/>
      <c r="O52" s="322"/>
    </row>
    <row r="53" spans="1:15" ht="15" thickBot="1" x14ac:dyDescent="0.35">
      <c r="A53" s="470"/>
      <c r="B53" s="483"/>
      <c r="C53" s="483"/>
      <c r="D53" s="393" t="s">
        <v>334</v>
      </c>
      <c r="E53" s="398"/>
      <c r="F53" s="398"/>
      <c r="G53" s="398"/>
      <c r="H53" s="395"/>
      <c r="I53" s="395"/>
      <c r="J53" s="398"/>
      <c r="K53" s="398"/>
      <c r="L53" s="398"/>
      <c r="M53" s="396"/>
      <c r="N53" s="322"/>
      <c r="O53" s="322"/>
    </row>
    <row r="54" spans="1:15" ht="15" thickBot="1" x14ac:dyDescent="0.35">
      <c r="A54" s="470"/>
      <c r="B54" s="482"/>
      <c r="C54" s="482"/>
      <c r="D54" s="393" t="s">
        <v>336</v>
      </c>
      <c r="E54" s="398"/>
      <c r="F54" s="398"/>
      <c r="G54" s="398"/>
      <c r="H54" s="395"/>
      <c r="I54" s="395"/>
      <c r="J54" s="398"/>
      <c r="K54" s="398"/>
      <c r="L54" s="398"/>
      <c r="M54" s="396"/>
      <c r="N54" s="322"/>
      <c r="O54" s="322"/>
    </row>
    <row r="55" spans="1:15" ht="15" thickBot="1" x14ac:dyDescent="0.35">
      <c r="A55" s="470"/>
      <c r="B55" s="481" t="s">
        <v>358</v>
      </c>
      <c r="C55" s="481" t="s">
        <v>333</v>
      </c>
      <c r="D55" s="393" t="s">
        <v>333</v>
      </c>
      <c r="E55" s="398"/>
      <c r="F55" s="398"/>
      <c r="G55" s="398"/>
      <c r="H55" s="395"/>
      <c r="I55" s="395"/>
      <c r="J55" s="398"/>
      <c r="K55" s="398"/>
      <c r="L55" s="398"/>
      <c r="M55" s="396"/>
      <c r="N55" s="322"/>
      <c r="O55" s="322"/>
    </row>
    <row r="56" spans="1:15" ht="15" thickBot="1" x14ac:dyDescent="0.35">
      <c r="A56" s="470"/>
      <c r="B56" s="483"/>
      <c r="C56" s="483"/>
      <c r="D56" s="393" t="s">
        <v>334</v>
      </c>
      <c r="E56" s="398"/>
      <c r="F56" s="398"/>
      <c r="G56" s="398"/>
      <c r="H56" s="395"/>
      <c r="I56" s="395"/>
      <c r="J56" s="398"/>
      <c r="K56" s="398"/>
      <c r="L56" s="398"/>
      <c r="M56" s="322"/>
      <c r="N56" s="322"/>
      <c r="O56" s="322"/>
    </row>
    <row r="57" spans="1:15" ht="15" thickBot="1" x14ac:dyDescent="0.35">
      <c r="A57" s="470"/>
      <c r="B57" s="482"/>
      <c r="C57" s="482"/>
      <c r="D57" s="393" t="s">
        <v>336</v>
      </c>
      <c r="E57" s="398"/>
      <c r="F57" s="398"/>
      <c r="G57" s="398"/>
      <c r="H57" s="395"/>
      <c r="I57" s="395"/>
      <c r="J57" s="398"/>
      <c r="K57" s="398"/>
      <c r="L57" s="398"/>
      <c r="N57" s="322"/>
      <c r="O57" s="322"/>
    </row>
    <row r="58" spans="1:15" ht="15" thickBot="1" x14ac:dyDescent="0.35">
      <c r="A58" s="470"/>
      <c r="B58" s="393" t="s">
        <v>359</v>
      </c>
      <c r="C58" s="393" t="s">
        <v>333</v>
      </c>
      <c r="D58" s="393" t="s">
        <v>333</v>
      </c>
      <c r="E58" s="398"/>
      <c r="F58" s="398"/>
      <c r="G58" s="398"/>
      <c r="H58" s="395"/>
      <c r="I58" s="395"/>
      <c r="J58" s="398"/>
      <c r="K58" s="398"/>
      <c r="L58" s="398"/>
      <c r="N58" s="322"/>
      <c r="O58" s="322"/>
    </row>
    <row r="59" spans="1:15" ht="15" thickBot="1" x14ac:dyDescent="0.35">
      <c r="A59" s="470"/>
      <c r="B59" s="481" t="s">
        <v>339</v>
      </c>
      <c r="C59" s="484" t="s">
        <v>361</v>
      </c>
      <c r="D59" s="393" t="s">
        <v>334</v>
      </c>
      <c r="E59" s="398"/>
      <c r="F59" s="398"/>
      <c r="G59" s="398"/>
      <c r="H59" s="395"/>
      <c r="I59" s="395"/>
      <c r="J59" s="398"/>
      <c r="K59" s="398"/>
      <c r="L59" s="398"/>
      <c r="N59" s="322"/>
      <c r="O59" s="322"/>
    </row>
    <row r="60" spans="1:15" ht="15" thickBot="1" x14ac:dyDescent="0.35">
      <c r="A60" s="470"/>
      <c r="B60" s="483"/>
      <c r="C60" s="485"/>
      <c r="D60" s="393" t="s">
        <v>336</v>
      </c>
      <c r="E60" s="398"/>
      <c r="F60" s="398"/>
      <c r="G60" s="398"/>
      <c r="H60" s="395"/>
      <c r="I60" s="395"/>
      <c r="J60" s="398"/>
      <c r="K60" s="398"/>
      <c r="L60" s="398"/>
      <c r="N60" s="322"/>
      <c r="O60" s="322"/>
    </row>
    <row r="61" spans="1:15" ht="15" thickBot="1" x14ac:dyDescent="0.35">
      <c r="A61" s="470"/>
      <c r="B61" s="482"/>
      <c r="C61" s="486"/>
      <c r="D61" s="393" t="s">
        <v>333</v>
      </c>
      <c r="E61" s="398"/>
      <c r="F61" s="398"/>
      <c r="G61" s="398"/>
      <c r="H61" s="395"/>
      <c r="I61" s="395"/>
      <c r="J61" s="398"/>
      <c r="K61" s="398"/>
      <c r="L61" s="398"/>
      <c r="N61" s="322"/>
      <c r="O61" s="322"/>
    </row>
    <row r="62" spans="1:15" ht="15" thickBot="1" x14ac:dyDescent="0.35">
      <c r="A62" s="471"/>
      <c r="B62" s="393" t="s">
        <v>341</v>
      </c>
      <c r="C62" s="393" t="s">
        <v>333</v>
      </c>
      <c r="D62" s="393" t="s">
        <v>333</v>
      </c>
      <c r="E62" s="398"/>
      <c r="F62" s="398"/>
      <c r="G62" s="398"/>
      <c r="H62" s="395"/>
      <c r="I62" s="395"/>
      <c r="J62" s="398"/>
      <c r="K62" s="398"/>
      <c r="L62" s="398"/>
      <c r="N62" s="322"/>
      <c r="O62" s="322"/>
    </row>
    <row r="63" spans="1:15" ht="15" thickBot="1" x14ac:dyDescent="0.35">
      <c r="A63" s="405"/>
      <c r="B63" s="405"/>
      <c r="C63" s="405"/>
      <c r="D63" s="405"/>
      <c r="E63" s="405"/>
      <c r="F63" s="405"/>
      <c r="G63" s="405"/>
      <c r="H63" s="405"/>
      <c r="I63" s="405"/>
      <c r="J63" s="405"/>
      <c r="K63" s="405"/>
      <c r="L63" s="405"/>
    </row>
    <row r="64" spans="1:15" ht="15" thickBot="1" x14ac:dyDescent="0.35">
      <c r="A64" s="472" t="s">
        <v>362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4"/>
    </row>
    <row r="65" spans="1:17" ht="15.75" customHeight="1" thickBot="1" x14ac:dyDescent="0.35">
      <c r="A65" s="487" t="s">
        <v>310</v>
      </c>
      <c r="B65" s="487" t="s">
        <v>311</v>
      </c>
      <c r="C65" s="487" t="s">
        <v>363</v>
      </c>
      <c r="D65" s="487" t="s">
        <v>364</v>
      </c>
      <c r="E65" s="487" t="s">
        <v>313</v>
      </c>
      <c r="F65" s="490" t="s">
        <v>314</v>
      </c>
      <c r="G65" s="491"/>
      <c r="H65" s="491"/>
      <c r="I65" s="491"/>
      <c r="J65" s="492"/>
      <c r="K65" s="490" t="s">
        <v>365</v>
      </c>
      <c r="L65" s="491"/>
      <c r="M65" s="492"/>
    </row>
    <row r="66" spans="1:17" ht="15" thickBot="1" x14ac:dyDescent="0.35">
      <c r="A66" s="488"/>
      <c r="B66" s="488"/>
      <c r="C66" s="488"/>
      <c r="D66" s="488"/>
      <c r="E66" s="488"/>
      <c r="F66" s="493" t="s">
        <v>10</v>
      </c>
      <c r="G66" s="494"/>
      <c r="H66" s="493" t="s">
        <v>9</v>
      </c>
      <c r="I66" s="495"/>
      <c r="J66" s="494"/>
      <c r="K66" s="493" t="s">
        <v>10</v>
      </c>
      <c r="L66" s="494"/>
      <c r="M66" s="406" t="s">
        <v>9</v>
      </c>
    </row>
    <row r="67" spans="1:17" ht="15.75" customHeight="1" thickBot="1" x14ac:dyDescent="0.35">
      <c r="A67" s="489"/>
      <c r="B67" s="489"/>
      <c r="C67" s="489"/>
      <c r="D67" s="489"/>
      <c r="E67" s="489"/>
      <c r="F67" s="407" t="s">
        <v>324</v>
      </c>
      <c r="G67" s="407" t="s">
        <v>325</v>
      </c>
      <c r="H67" s="408" t="s">
        <v>326</v>
      </c>
      <c r="I67" s="409" t="s">
        <v>327</v>
      </c>
      <c r="J67" s="410" t="s">
        <v>328</v>
      </c>
      <c r="K67" s="407" t="s">
        <v>324</v>
      </c>
      <c r="L67" s="407" t="s">
        <v>325</v>
      </c>
      <c r="M67" s="407" t="s">
        <v>325</v>
      </c>
      <c r="O67" s="396"/>
    </row>
    <row r="68" spans="1:17" ht="15" thickBot="1" x14ac:dyDescent="0.35">
      <c r="A68" s="469" t="s">
        <v>36</v>
      </c>
      <c r="B68" s="466" t="s">
        <v>366</v>
      </c>
      <c r="C68" s="466" t="s">
        <v>367</v>
      </c>
      <c r="D68" s="466" t="s">
        <v>367</v>
      </c>
      <c r="E68" s="411" t="s">
        <v>334</v>
      </c>
      <c r="F68" s="412">
        <v>0</v>
      </c>
      <c r="G68" s="398">
        <v>937.61</v>
      </c>
      <c r="H68" s="398">
        <v>484.48</v>
      </c>
      <c r="I68" s="395"/>
      <c r="J68" s="395"/>
      <c r="K68" s="398">
        <v>0</v>
      </c>
      <c r="L68" s="398">
        <v>918.51</v>
      </c>
      <c r="M68" s="398">
        <v>492.47</v>
      </c>
      <c r="O68" s="396"/>
      <c r="P68" s="322"/>
      <c r="Q68" s="413"/>
    </row>
    <row r="69" spans="1:17" ht="15" thickBot="1" x14ac:dyDescent="0.35">
      <c r="A69" s="470"/>
      <c r="B69" s="467"/>
      <c r="C69" s="467"/>
      <c r="D69" s="467"/>
      <c r="E69" s="411" t="s">
        <v>368</v>
      </c>
      <c r="F69" s="412">
        <v>0</v>
      </c>
      <c r="G69" s="398">
        <v>651.29</v>
      </c>
      <c r="H69" s="398">
        <v>305.79000000000002</v>
      </c>
      <c r="I69" s="395"/>
      <c r="J69" s="395"/>
      <c r="K69" s="398">
        <v>0</v>
      </c>
      <c r="L69" s="398">
        <v>634.94000000000005</v>
      </c>
      <c r="M69" s="398">
        <v>316.45999999999998</v>
      </c>
      <c r="O69" s="397"/>
      <c r="P69" s="322"/>
    </row>
    <row r="70" spans="1:17" ht="15" thickBot="1" x14ac:dyDescent="0.35">
      <c r="A70" s="470"/>
      <c r="B70" s="468"/>
      <c r="C70" s="468"/>
      <c r="D70" s="468"/>
      <c r="E70" s="411" t="s">
        <v>336</v>
      </c>
      <c r="F70" s="412">
        <v>0</v>
      </c>
      <c r="G70" s="398">
        <v>364.96</v>
      </c>
      <c r="H70" s="398">
        <v>305.79000000000002</v>
      </c>
      <c r="I70" s="395"/>
      <c r="J70" s="395"/>
      <c r="K70" s="398">
        <v>0</v>
      </c>
      <c r="L70" s="398">
        <v>351.38</v>
      </c>
      <c r="M70" s="398">
        <v>316.45999999999998</v>
      </c>
      <c r="O70" s="322"/>
      <c r="P70" s="322"/>
    </row>
    <row r="71" spans="1:17" ht="15" thickBot="1" x14ac:dyDescent="0.35">
      <c r="A71" s="470"/>
      <c r="B71" s="466" t="s">
        <v>359</v>
      </c>
      <c r="C71" s="466" t="s">
        <v>367</v>
      </c>
      <c r="D71" s="414" t="s">
        <v>367</v>
      </c>
      <c r="E71" s="411" t="s">
        <v>333</v>
      </c>
      <c r="F71" s="415">
        <v>0</v>
      </c>
      <c r="G71" s="398">
        <v>468.63</v>
      </c>
      <c r="H71" s="398">
        <v>320.68</v>
      </c>
      <c r="I71" s="395"/>
      <c r="J71" s="395"/>
      <c r="K71" s="394">
        <v>0</v>
      </c>
      <c r="L71" s="398">
        <v>454.05</v>
      </c>
      <c r="M71" s="398">
        <v>331.12</v>
      </c>
      <c r="O71" s="396"/>
      <c r="P71" s="322"/>
    </row>
    <row r="72" spans="1:17" ht="15" thickBot="1" x14ac:dyDescent="0.35">
      <c r="A72" s="470"/>
      <c r="B72" s="467"/>
      <c r="C72" s="467"/>
      <c r="D72" s="414" t="s">
        <v>369</v>
      </c>
      <c r="E72" s="411" t="s">
        <v>333</v>
      </c>
      <c r="F72" s="415">
        <v>0</v>
      </c>
      <c r="G72" s="398">
        <v>325.43</v>
      </c>
      <c r="H72" s="398">
        <v>282.45</v>
      </c>
      <c r="I72" s="395"/>
      <c r="J72" s="395"/>
      <c r="K72" s="394">
        <v>0</v>
      </c>
      <c r="L72" s="398"/>
      <c r="M72" s="398"/>
      <c r="O72" s="396"/>
      <c r="P72" s="322"/>
    </row>
    <row r="73" spans="1:17" ht="15" thickBot="1" x14ac:dyDescent="0.35">
      <c r="A73" s="471"/>
      <c r="B73" s="468"/>
      <c r="C73" s="468"/>
      <c r="D73" s="441" t="s">
        <v>405</v>
      </c>
      <c r="E73" s="411" t="s">
        <v>333</v>
      </c>
      <c r="F73" s="415"/>
      <c r="G73" s="398">
        <v>340.19</v>
      </c>
      <c r="H73" s="398">
        <v>296.66000000000003</v>
      </c>
      <c r="I73" s="395"/>
      <c r="J73" s="395"/>
      <c r="K73" s="394"/>
      <c r="L73" s="398"/>
      <c r="M73" s="398"/>
      <c r="O73" s="396"/>
      <c r="P73" s="322"/>
    </row>
    <row r="74" spans="1:17" ht="15" thickBot="1" x14ac:dyDescent="0.35">
      <c r="A74" s="469" t="s">
        <v>66</v>
      </c>
      <c r="B74" s="466" t="s">
        <v>366</v>
      </c>
      <c r="C74" s="466" t="s">
        <v>370</v>
      </c>
      <c r="D74" s="466" t="s">
        <v>333</v>
      </c>
      <c r="E74" s="411" t="s">
        <v>334</v>
      </c>
      <c r="F74" s="412">
        <v>0</v>
      </c>
      <c r="G74" s="398">
        <v>1061.03</v>
      </c>
      <c r="H74" s="398">
        <v>484.48</v>
      </c>
      <c r="I74" s="395"/>
      <c r="J74" s="395"/>
      <c r="K74" s="398">
        <v>0</v>
      </c>
      <c r="L74" s="398">
        <v>1040.73</v>
      </c>
      <c r="M74" s="398">
        <v>492.47</v>
      </c>
      <c r="O74" s="396"/>
      <c r="P74" s="322"/>
    </row>
    <row r="75" spans="1:17" ht="15" thickBot="1" x14ac:dyDescent="0.35">
      <c r="A75" s="470"/>
      <c r="B75" s="467"/>
      <c r="C75" s="467"/>
      <c r="D75" s="467"/>
      <c r="E75" s="411" t="s">
        <v>368</v>
      </c>
      <c r="F75" s="412">
        <v>0</v>
      </c>
      <c r="G75" s="398">
        <v>725.34</v>
      </c>
      <c r="H75" s="398">
        <v>305.79000000000002</v>
      </c>
      <c r="I75" s="395"/>
      <c r="J75" s="395"/>
      <c r="K75" s="398">
        <v>0</v>
      </c>
      <c r="L75" s="398">
        <v>708.28</v>
      </c>
      <c r="M75" s="398">
        <v>316.45999999999998</v>
      </c>
      <c r="O75" s="322"/>
      <c r="P75" s="322"/>
    </row>
    <row r="76" spans="1:17" ht="15" thickBot="1" x14ac:dyDescent="0.35">
      <c r="A76" s="470"/>
      <c r="B76" s="468"/>
      <c r="C76" s="468"/>
      <c r="D76" s="468"/>
      <c r="E76" s="411" t="s">
        <v>336</v>
      </c>
      <c r="F76" s="412">
        <v>0</v>
      </c>
      <c r="G76" s="398">
        <v>389.65</v>
      </c>
      <c r="H76" s="398">
        <v>305.79000000000002</v>
      </c>
      <c r="I76" s="395"/>
      <c r="J76" s="395"/>
      <c r="K76" s="398">
        <v>0</v>
      </c>
      <c r="L76" s="398">
        <v>375.82</v>
      </c>
      <c r="M76" s="398">
        <v>316.45999999999998</v>
      </c>
      <c r="O76" s="322"/>
      <c r="P76" s="322"/>
    </row>
    <row r="77" spans="1:17" ht="15.75" customHeight="1" thickBot="1" x14ac:dyDescent="0.35">
      <c r="A77" s="470"/>
      <c r="B77" s="414" t="s">
        <v>359</v>
      </c>
      <c r="C77" s="414" t="s">
        <v>370</v>
      </c>
      <c r="D77" s="414" t="s">
        <v>333</v>
      </c>
      <c r="E77" s="411" t="s">
        <v>333</v>
      </c>
      <c r="F77" s="412">
        <v>0</v>
      </c>
      <c r="G77" s="398">
        <v>468.63</v>
      </c>
      <c r="H77" s="398">
        <v>320.68</v>
      </c>
      <c r="I77" s="395"/>
      <c r="J77" s="395"/>
      <c r="K77" s="398">
        <v>0</v>
      </c>
      <c r="L77" s="398">
        <v>454.05</v>
      </c>
      <c r="M77" s="398">
        <v>331.12</v>
      </c>
      <c r="O77" s="322"/>
      <c r="P77" s="322"/>
    </row>
    <row r="78" spans="1:17" ht="15" thickBot="1" x14ac:dyDescent="0.35">
      <c r="A78" s="470"/>
      <c r="B78" s="466" t="s">
        <v>366</v>
      </c>
      <c r="C78" s="466" t="s">
        <v>370</v>
      </c>
      <c r="D78" s="466" t="s">
        <v>371</v>
      </c>
      <c r="E78" s="411" t="s">
        <v>334</v>
      </c>
      <c r="F78" s="412">
        <v>0</v>
      </c>
      <c r="G78" s="398">
        <v>1061.03</v>
      </c>
      <c r="H78" s="398">
        <v>484.48</v>
      </c>
      <c r="I78" s="395"/>
      <c r="J78" s="395"/>
      <c r="K78" s="398">
        <v>0</v>
      </c>
      <c r="L78" s="398">
        <v>1040.73</v>
      </c>
      <c r="M78" s="398">
        <v>492.47</v>
      </c>
      <c r="O78" s="322"/>
      <c r="P78" s="322"/>
    </row>
    <row r="79" spans="1:17" ht="15" thickBot="1" x14ac:dyDescent="0.35">
      <c r="A79" s="470"/>
      <c r="B79" s="467"/>
      <c r="C79" s="467"/>
      <c r="D79" s="467"/>
      <c r="E79" s="411" t="s">
        <v>368</v>
      </c>
      <c r="F79" s="412">
        <v>0</v>
      </c>
      <c r="G79" s="398">
        <v>725.34</v>
      </c>
      <c r="H79" s="398">
        <v>305.79000000000002</v>
      </c>
      <c r="I79" s="395"/>
      <c r="J79" s="395"/>
      <c r="K79" s="398">
        <v>0</v>
      </c>
      <c r="L79" s="398">
        <v>708.28</v>
      </c>
      <c r="M79" s="398">
        <v>316.45999999999998</v>
      </c>
      <c r="O79" s="322"/>
      <c r="P79" s="322"/>
    </row>
    <row r="80" spans="1:17" ht="15" thickBot="1" x14ac:dyDescent="0.35">
      <c r="A80" s="470"/>
      <c r="B80" s="468"/>
      <c r="C80" s="468"/>
      <c r="D80" s="468"/>
      <c r="E80" s="411" t="s">
        <v>336</v>
      </c>
      <c r="F80" s="412">
        <v>0</v>
      </c>
      <c r="G80" s="398">
        <v>389.65</v>
      </c>
      <c r="H80" s="398">
        <v>305.79000000000002</v>
      </c>
      <c r="I80" s="395"/>
      <c r="J80" s="395"/>
      <c r="K80" s="398">
        <v>0</v>
      </c>
      <c r="L80" s="398">
        <v>375.82</v>
      </c>
      <c r="M80" s="398">
        <v>316.45999999999998</v>
      </c>
      <c r="O80" s="322"/>
      <c r="P80" s="322"/>
    </row>
    <row r="81" spans="1:16" ht="15.75" customHeight="1" thickBot="1" x14ac:dyDescent="0.35">
      <c r="A81" s="470"/>
      <c r="B81" s="414" t="s">
        <v>359</v>
      </c>
      <c r="C81" s="414" t="s">
        <v>370</v>
      </c>
      <c r="D81" s="414" t="s">
        <v>371</v>
      </c>
      <c r="E81" s="411" t="s">
        <v>333</v>
      </c>
      <c r="F81" s="412">
        <v>0</v>
      </c>
      <c r="G81" s="398">
        <v>468.63</v>
      </c>
      <c r="H81" s="398">
        <v>320.68</v>
      </c>
      <c r="I81" s="395"/>
      <c r="J81" s="395"/>
      <c r="K81" s="398">
        <v>0</v>
      </c>
      <c r="L81" s="398">
        <v>454.05</v>
      </c>
      <c r="M81" s="398">
        <v>331.12</v>
      </c>
      <c r="O81" s="396"/>
      <c r="P81" s="322"/>
    </row>
    <row r="82" spans="1:16" ht="15" thickBot="1" x14ac:dyDescent="0.35">
      <c r="A82" s="470"/>
      <c r="B82" s="466" t="s">
        <v>366</v>
      </c>
      <c r="C82" s="466" t="s">
        <v>370</v>
      </c>
      <c r="D82" s="466" t="s">
        <v>372</v>
      </c>
      <c r="E82" s="411" t="s">
        <v>334</v>
      </c>
      <c r="F82" s="412">
        <v>0</v>
      </c>
      <c r="G82" s="398">
        <v>1061.03</v>
      </c>
      <c r="H82" s="398">
        <v>484.48</v>
      </c>
      <c r="I82" s="395"/>
      <c r="J82" s="395"/>
      <c r="K82" s="398">
        <v>0</v>
      </c>
      <c r="L82" s="398">
        <v>1040.73</v>
      </c>
      <c r="M82" s="398">
        <v>492.47</v>
      </c>
      <c r="O82" s="396"/>
      <c r="P82" s="322"/>
    </row>
    <row r="83" spans="1:16" ht="15" thickBot="1" x14ac:dyDescent="0.35">
      <c r="A83" s="470"/>
      <c r="B83" s="467"/>
      <c r="C83" s="467"/>
      <c r="D83" s="467"/>
      <c r="E83" s="411" t="s">
        <v>368</v>
      </c>
      <c r="F83" s="412">
        <v>0</v>
      </c>
      <c r="G83" s="398">
        <v>725.34</v>
      </c>
      <c r="H83" s="398">
        <v>305.79000000000002</v>
      </c>
      <c r="I83" s="395"/>
      <c r="J83" s="395"/>
      <c r="K83" s="398">
        <v>0</v>
      </c>
      <c r="L83" s="398">
        <v>708.28</v>
      </c>
      <c r="M83" s="398">
        <v>316.45999999999998</v>
      </c>
      <c r="O83" s="397"/>
      <c r="P83" s="322"/>
    </row>
    <row r="84" spans="1:16" ht="15" thickBot="1" x14ac:dyDescent="0.35">
      <c r="A84" s="470"/>
      <c r="B84" s="468"/>
      <c r="C84" s="468"/>
      <c r="D84" s="468"/>
      <c r="E84" s="411" t="s">
        <v>336</v>
      </c>
      <c r="F84" s="412">
        <v>0</v>
      </c>
      <c r="G84" s="398">
        <v>389.65</v>
      </c>
      <c r="H84" s="398">
        <v>305.79000000000002</v>
      </c>
      <c r="I84" s="395"/>
      <c r="J84" s="395"/>
      <c r="K84" s="398">
        <v>0</v>
      </c>
      <c r="L84" s="398">
        <v>375.82</v>
      </c>
      <c r="M84" s="398">
        <v>316.45999999999998</v>
      </c>
      <c r="O84" s="322"/>
      <c r="P84" s="322"/>
    </row>
    <row r="85" spans="1:16" ht="21" thickBot="1" x14ac:dyDescent="0.35">
      <c r="A85" s="471"/>
      <c r="B85" s="414" t="s">
        <v>359</v>
      </c>
      <c r="C85" s="414" t="s">
        <v>370</v>
      </c>
      <c r="D85" s="414" t="s">
        <v>372</v>
      </c>
      <c r="E85" s="411" t="s">
        <v>333</v>
      </c>
      <c r="F85" s="412">
        <v>0</v>
      </c>
      <c r="G85" s="398">
        <v>468.63</v>
      </c>
      <c r="H85" s="398">
        <v>320.68</v>
      </c>
      <c r="I85" s="395"/>
      <c r="J85" s="395"/>
      <c r="K85" s="398">
        <v>0</v>
      </c>
      <c r="L85" s="398">
        <v>454.05</v>
      </c>
      <c r="M85" s="398">
        <v>331.12</v>
      </c>
      <c r="O85" s="396"/>
      <c r="P85" s="322"/>
    </row>
    <row r="86" spans="1:16" ht="15" thickBot="1" x14ac:dyDescent="0.35">
      <c r="A86" s="469" t="s">
        <v>65</v>
      </c>
      <c r="B86" s="466" t="s">
        <v>366</v>
      </c>
      <c r="C86" s="466" t="s">
        <v>333</v>
      </c>
      <c r="D86" s="466" t="s">
        <v>333</v>
      </c>
      <c r="E86" s="411" t="s">
        <v>334</v>
      </c>
      <c r="F86" s="412">
        <v>0</v>
      </c>
      <c r="G86" s="398">
        <v>1061.03</v>
      </c>
      <c r="H86" s="398">
        <v>484.48</v>
      </c>
      <c r="I86" s="395"/>
      <c r="J86" s="395"/>
      <c r="K86" s="398">
        <v>0</v>
      </c>
      <c r="L86" s="398">
        <v>1040.73</v>
      </c>
      <c r="M86" s="398">
        <v>492.47</v>
      </c>
      <c r="O86" s="396"/>
      <c r="P86" s="322"/>
    </row>
    <row r="87" spans="1:16" ht="15" thickBot="1" x14ac:dyDescent="0.35">
      <c r="A87" s="470"/>
      <c r="B87" s="467"/>
      <c r="C87" s="467"/>
      <c r="D87" s="467"/>
      <c r="E87" s="411" t="s">
        <v>368</v>
      </c>
      <c r="F87" s="412">
        <v>0</v>
      </c>
      <c r="G87" s="398">
        <v>725.34</v>
      </c>
      <c r="H87" s="398">
        <v>305.79000000000002</v>
      </c>
      <c r="I87" s="395"/>
      <c r="J87" s="395"/>
      <c r="K87" s="398">
        <v>0</v>
      </c>
      <c r="L87" s="398">
        <v>708.28</v>
      </c>
      <c r="M87" s="398">
        <v>316.45999999999998</v>
      </c>
      <c r="O87" s="396"/>
      <c r="P87" s="322"/>
    </row>
    <row r="88" spans="1:16" ht="15" thickBot="1" x14ac:dyDescent="0.35">
      <c r="A88" s="470"/>
      <c r="B88" s="468"/>
      <c r="C88" s="468"/>
      <c r="D88" s="468"/>
      <c r="E88" s="411" t="s">
        <v>336</v>
      </c>
      <c r="F88" s="412">
        <v>0</v>
      </c>
      <c r="G88" s="398">
        <v>389.65</v>
      </c>
      <c r="H88" s="398">
        <v>305.79000000000002</v>
      </c>
      <c r="I88" s="395"/>
      <c r="J88" s="395"/>
      <c r="K88" s="398">
        <v>0</v>
      </c>
      <c r="L88" s="398">
        <v>375.82</v>
      </c>
      <c r="M88" s="398">
        <v>316.45999999999998</v>
      </c>
      <c r="O88" s="322"/>
      <c r="P88" s="322"/>
    </row>
    <row r="89" spans="1:16" ht="15" thickBot="1" x14ac:dyDescent="0.35">
      <c r="A89" s="471"/>
      <c r="B89" s="414" t="s">
        <v>359</v>
      </c>
      <c r="C89" s="414" t="s">
        <v>333</v>
      </c>
      <c r="D89" s="414" t="s">
        <v>333</v>
      </c>
      <c r="E89" s="411" t="s">
        <v>333</v>
      </c>
      <c r="F89" s="412">
        <v>0</v>
      </c>
      <c r="G89" s="398">
        <v>468.63</v>
      </c>
      <c r="H89" s="398">
        <v>320.68</v>
      </c>
      <c r="I89" s="395"/>
      <c r="J89" s="395"/>
      <c r="K89" s="398">
        <v>0</v>
      </c>
      <c r="L89" s="398">
        <v>454.05</v>
      </c>
      <c r="M89" s="398">
        <v>331.12</v>
      </c>
      <c r="O89" s="322"/>
      <c r="P89" s="322"/>
    </row>
    <row r="90" spans="1:16" ht="21" thickBot="1" x14ac:dyDescent="0.35">
      <c r="A90" s="469" t="s">
        <v>373</v>
      </c>
      <c r="B90" s="466" t="s">
        <v>359</v>
      </c>
      <c r="C90" s="466" t="s">
        <v>374</v>
      </c>
      <c r="D90" s="414" t="s">
        <v>375</v>
      </c>
      <c r="E90" s="411" t="s">
        <v>333</v>
      </c>
      <c r="F90" s="412">
        <v>0</v>
      </c>
      <c r="G90" s="398">
        <v>257.75</v>
      </c>
      <c r="H90" s="398">
        <v>176.38</v>
      </c>
      <c r="I90" s="395"/>
      <c r="J90" s="395"/>
      <c r="K90" s="398">
        <v>0</v>
      </c>
      <c r="L90" s="398">
        <v>249.73</v>
      </c>
      <c r="M90" s="398">
        <v>182.12</v>
      </c>
      <c r="O90" s="322"/>
      <c r="P90" s="322"/>
    </row>
    <row r="91" spans="1:16" ht="21" thickBot="1" x14ac:dyDescent="0.35">
      <c r="A91" s="471"/>
      <c r="B91" s="468"/>
      <c r="C91" s="468"/>
      <c r="D91" s="414" t="s">
        <v>376</v>
      </c>
      <c r="E91" s="411" t="s">
        <v>333</v>
      </c>
      <c r="F91" s="412">
        <v>0</v>
      </c>
      <c r="G91" s="398">
        <v>281.18</v>
      </c>
      <c r="H91" s="398">
        <v>192.41</v>
      </c>
      <c r="I91" s="395"/>
      <c r="J91" s="395"/>
      <c r="K91" s="398">
        <v>0</v>
      </c>
      <c r="L91" s="398">
        <v>272.43</v>
      </c>
      <c r="M91" s="398">
        <v>198.67</v>
      </c>
      <c r="O91" s="322"/>
      <c r="P91" s="322"/>
    </row>
  </sheetData>
  <mergeCells count="82">
    <mergeCell ref="A90:A91"/>
    <mergeCell ref="B90:B91"/>
    <mergeCell ref="C90:C91"/>
    <mergeCell ref="B68:B70"/>
    <mergeCell ref="C68:C70"/>
    <mergeCell ref="D68:D70"/>
    <mergeCell ref="A68:A73"/>
    <mergeCell ref="B71:B73"/>
    <mergeCell ref="C71:C73"/>
    <mergeCell ref="H66:J66"/>
    <mergeCell ref="A64:M64"/>
    <mergeCell ref="A65:A67"/>
    <mergeCell ref="B65:B67"/>
    <mergeCell ref="C65:C67"/>
    <mergeCell ref="D65:D67"/>
    <mergeCell ref="E65:E67"/>
    <mergeCell ref="F65:J65"/>
    <mergeCell ref="K65:M65"/>
    <mergeCell ref="F66:G66"/>
    <mergeCell ref="K66:L66"/>
    <mergeCell ref="A36:A47"/>
    <mergeCell ref="B36:B37"/>
    <mergeCell ref="C36:C37"/>
    <mergeCell ref="B38:B39"/>
    <mergeCell ref="C38:C39"/>
    <mergeCell ref="B40:B42"/>
    <mergeCell ref="C40:C42"/>
    <mergeCell ref="B43:B45"/>
    <mergeCell ref="C43:C45"/>
    <mergeCell ref="C59:C61"/>
    <mergeCell ref="A48:A62"/>
    <mergeCell ref="B48:B49"/>
    <mergeCell ref="C48:C49"/>
    <mergeCell ref="B50:B51"/>
    <mergeCell ref="C50:C51"/>
    <mergeCell ref="B52:B54"/>
    <mergeCell ref="C52:C54"/>
    <mergeCell ref="B55:B57"/>
    <mergeCell ref="C55:C57"/>
    <mergeCell ref="B59:B61"/>
    <mergeCell ref="A28:A35"/>
    <mergeCell ref="B28:B29"/>
    <mergeCell ref="C28:C29"/>
    <mergeCell ref="B30:B31"/>
    <mergeCell ref="C30:C31"/>
    <mergeCell ref="B32:B34"/>
    <mergeCell ref="C32:C34"/>
    <mergeCell ref="B5:B6"/>
    <mergeCell ref="C5:C6"/>
    <mergeCell ref="B7:B8"/>
    <mergeCell ref="C7:C8"/>
    <mergeCell ref="A9:A27"/>
    <mergeCell ref="B9:B10"/>
    <mergeCell ref="C9:C10"/>
    <mergeCell ref="B11:B12"/>
    <mergeCell ref="C11:C12"/>
    <mergeCell ref="B13:B15"/>
    <mergeCell ref="C13:C15"/>
    <mergeCell ref="B16:B27"/>
    <mergeCell ref="A1:L1"/>
    <mergeCell ref="A2:A4"/>
    <mergeCell ref="B2:B4"/>
    <mergeCell ref="C2:C4"/>
    <mergeCell ref="E2:I2"/>
    <mergeCell ref="J2:L2"/>
    <mergeCell ref="E3:F3"/>
    <mergeCell ref="G3:I3"/>
    <mergeCell ref="J3:K3"/>
    <mergeCell ref="D78:D80"/>
    <mergeCell ref="B82:B84"/>
    <mergeCell ref="C82:C84"/>
    <mergeCell ref="D82:D84"/>
    <mergeCell ref="A86:A89"/>
    <mergeCell ref="B86:B88"/>
    <mergeCell ref="C86:C88"/>
    <mergeCell ref="D86:D88"/>
    <mergeCell ref="A74:A85"/>
    <mergeCell ref="B74:B76"/>
    <mergeCell ref="C74:C76"/>
    <mergeCell ref="D74:D76"/>
    <mergeCell ref="B78:B80"/>
    <mergeCell ref="C78:C8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B340-164A-4EAE-89E9-2E5537FD2BC7}">
  <dimension ref="A1:Q93"/>
  <sheetViews>
    <sheetView topLeftCell="A66" zoomScale="90" zoomScaleNormal="90" workbookViewId="0">
      <selection activeCell="H76" sqref="H76"/>
    </sheetView>
  </sheetViews>
  <sheetFormatPr defaultColWidth="15" defaultRowHeight="14.4" x14ac:dyDescent="0.3"/>
  <cols>
    <col min="1" max="1" width="35.44140625" style="416" bestFit="1" customWidth="1"/>
    <col min="2" max="2" width="16" style="416" bestFit="1" customWidth="1"/>
    <col min="3" max="3" width="17.44140625" style="416" bestFit="1" customWidth="1"/>
    <col min="4" max="4" width="17.6640625" style="416" bestFit="1" customWidth="1"/>
    <col min="5" max="5" width="12.6640625" style="416" bestFit="1" customWidth="1"/>
    <col min="6" max="6" width="8.44140625" style="416" bestFit="1" customWidth="1"/>
    <col min="7" max="7" width="12" style="416" bestFit="1" customWidth="1"/>
    <col min="8" max="8" width="12.109375" style="416" bestFit="1" customWidth="1"/>
    <col min="9" max="9" width="12.44140625" style="416" bestFit="1" customWidth="1"/>
    <col min="10" max="10" width="12.33203125" style="416" bestFit="1" customWidth="1"/>
    <col min="11" max="11" width="8.44140625" style="416" bestFit="1" customWidth="1"/>
    <col min="12" max="12" width="11" style="416" customWidth="1"/>
    <col min="13" max="13" width="7.33203125" bestFit="1" customWidth="1"/>
    <col min="14" max="14" width="9" bestFit="1" customWidth="1"/>
    <col min="15" max="15" width="4" bestFit="1" customWidth="1"/>
    <col min="16" max="16" width="4.88671875" bestFit="1" customWidth="1"/>
    <col min="17" max="17" width="5.44140625" bestFit="1" customWidth="1"/>
  </cols>
  <sheetData>
    <row r="1" spans="1:17" ht="15" thickBot="1" x14ac:dyDescent="0.35">
      <c r="A1" s="472" t="s">
        <v>309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4"/>
    </row>
    <row r="2" spans="1:17" ht="15.75" customHeight="1" thickBot="1" x14ac:dyDescent="0.35">
      <c r="A2" s="475" t="s">
        <v>310</v>
      </c>
      <c r="B2" s="475" t="s">
        <v>311</v>
      </c>
      <c r="C2" s="475" t="s">
        <v>312</v>
      </c>
      <c r="D2" s="381" t="s">
        <v>313</v>
      </c>
      <c r="E2" s="478" t="s">
        <v>314</v>
      </c>
      <c r="F2" s="479"/>
      <c r="G2" s="479"/>
      <c r="H2" s="479"/>
      <c r="I2" s="480"/>
      <c r="J2" s="478" t="s">
        <v>315</v>
      </c>
      <c r="K2" s="479"/>
      <c r="L2" s="480"/>
      <c r="N2" s="382" t="s">
        <v>316</v>
      </c>
      <c r="O2" s="382" t="s">
        <v>317</v>
      </c>
      <c r="P2" s="382" t="s">
        <v>318</v>
      </c>
      <c r="Q2" s="382" t="s">
        <v>319</v>
      </c>
    </row>
    <row r="3" spans="1:17" ht="15" thickBot="1" x14ac:dyDescent="0.35">
      <c r="A3" s="476"/>
      <c r="B3" s="476"/>
      <c r="C3" s="476"/>
      <c r="D3" s="383"/>
      <c r="E3" s="478" t="s">
        <v>10</v>
      </c>
      <c r="F3" s="480"/>
      <c r="G3" s="478" t="s">
        <v>320</v>
      </c>
      <c r="H3" s="479"/>
      <c r="I3" s="480"/>
      <c r="J3" s="478" t="s">
        <v>10</v>
      </c>
      <c r="K3" s="480"/>
      <c r="L3" s="383" t="s">
        <v>9</v>
      </c>
      <c r="N3" s="384" t="s">
        <v>321</v>
      </c>
      <c r="O3" s="385" t="s">
        <v>322</v>
      </c>
      <c r="P3" s="385" t="s">
        <v>323</v>
      </c>
      <c r="Q3" s="386">
        <v>2026</v>
      </c>
    </row>
    <row r="4" spans="1:17" ht="15" thickBot="1" x14ac:dyDescent="0.35">
      <c r="A4" s="477"/>
      <c r="B4" s="477"/>
      <c r="C4" s="477"/>
      <c r="D4" s="383"/>
      <c r="E4" s="383" t="s">
        <v>324</v>
      </c>
      <c r="F4" s="383" t="s">
        <v>325</v>
      </c>
      <c r="G4" s="387" t="s">
        <v>326</v>
      </c>
      <c r="H4" s="388" t="s">
        <v>327</v>
      </c>
      <c r="I4" s="389" t="s">
        <v>328</v>
      </c>
      <c r="J4" s="383" t="s">
        <v>324</v>
      </c>
      <c r="K4" s="383" t="s">
        <v>325</v>
      </c>
      <c r="L4" s="383" t="s">
        <v>325</v>
      </c>
      <c r="N4" s="384" t="s">
        <v>329</v>
      </c>
      <c r="O4" s="390" t="s">
        <v>330</v>
      </c>
      <c r="P4" s="390" t="s">
        <v>331</v>
      </c>
      <c r="Q4" s="391">
        <v>9999</v>
      </c>
    </row>
    <row r="5" spans="1:17" ht="15" thickBot="1" x14ac:dyDescent="0.35">
      <c r="A5" s="392"/>
      <c r="B5" s="481" t="s">
        <v>332</v>
      </c>
      <c r="C5" s="481" t="s">
        <v>333</v>
      </c>
      <c r="D5" s="393" t="s">
        <v>334</v>
      </c>
      <c r="E5" s="423"/>
      <c r="F5" s="423"/>
      <c r="G5" s="423"/>
      <c r="H5" s="423"/>
      <c r="I5" s="423"/>
      <c r="J5" s="423"/>
      <c r="K5" s="423"/>
      <c r="L5" s="423"/>
      <c r="M5" s="396"/>
      <c r="N5" s="322"/>
      <c r="O5" s="322"/>
    </row>
    <row r="6" spans="1:17" ht="15" thickBot="1" x14ac:dyDescent="0.35">
      <c r="A6" s="392" t="s">
        <v>335</v>
      </c>
      <c r="B6" s="482"/>
      <c r="C6" s="482"/>
      <c r="D6" s="393" t="s">
        <v>336</v>
      </c>
      <c r="E6" s="423"/>
      <c r="F6" s="423"/>
      <c r="G6" s="423"/>
      <c r="H6" s="423"/>
      <c r="I6" s="423"/>
      <c r="J6" s="423"/>
      <c r="K6" s="423"/>
      <c r="L6" s="423"/>
      <c r="M6" s="396"/>
      <c r="N6" s="322"/>
      <c r="O6" s="322"/>
    </row>
    <row r="7" spans="1:17" ht="15" thickBot="1" x14ac:dyDescent="0.35">
      <c r="A7" s="392"/>
      <c r="B7" s="481" t="s">
        <v>337</v>
      </c>
      <c r="C7" s="481" t="s">
        <v>333</v>
      </c>
      <c r="D7" s="393" t="s">
        <v>334</v>
      </c>
      <c r="E7" s="423"/>
      <c r="F7" s="423"/>
      <c r="G7" s="423"/>
      <c r="H7" s="423"/>
      <c r="I7" s="423"/>
      <c r="J7" s="423"/>
      <c r="K7" s="423"/>
      <c r="L7" s="423"/>
      <c r="M7" s="397"/>
      <c r="N7" s="322"/>
      <c r="O7" s="322"/>
    </row>
    <row r="8" spans="1:17" ht="15" thickBot="1" x14ac:dyDescent="0.35">
      <c r="A8" s="392"/>
      <c r="B8" s="482"/>
      <c r="C8" s="482"/>
      <c r="D8" s="393" t="s">
        <v>336</v>
      </c>
      <c r="E8" s="423"/>
      <c r="F8" s="423"/>
      <c r="G8" s="423"/>
      <c r="H8" s="423"/>
      <c r="I8" s="423"/>
      <c r="J8" s="423"/>
      <c r="K8" s="423"/>
      <c r="L8" s="423"/>
      <c r="M8" s="322"/>
      <c r="N8" s="322"/>
      <c r="O8" s="322"/>
    </row>
    <row r="9" spans="1:17" ht="15.75" customHeight="1" thickBot="1" x14ac:dyDescent="0.35">
      <c r="A9" s="469" t="s">
        <v>338</v>
      </c>
      <c r="B9" s="481" t="s">
        <v>332</v>
      </c>
      <c r="C9" s="481" t="s">
        <v>333</v>
      </c>
      <c r="D9" s="393" t="s">
        <v>334</v>
      </c>
      <c r="E9" s="394"/>
      <c r="F9" s="394"/>
      <c r="G9" s="394"/>
      <c r="H9" s="395"/>
      <c r="I9" s="395"/>
      <c r="J9" s="394"/>
      <c r="K9" s="394"/>
      <c r="L9" s="394"/>
      <c r="M9" s="396"/>
      <c r="N9" s="322"/>
      <c r="O9" s="322"/>
    </row>
    <row r="10" spans="1:17" ht="15" thickBot="1" x14ac:dyDescent="0.35">
      <c r="A10" s="470"/>
      <c r="B10" s="482"/>
      <c r="C10" s="482"/>
      <c r="D10" s="393" t="s">
        <v>336</v>
      </c>
      <c r="E10" s="394"/>
      <c r="F10" s="394"/>
      <c r="G10" s="394"/>
      <c r="H10" s="395"/>
      <c r="I10" s="395"/>
      <c r="J10" s="394"/>
      <c r="K10" s="394"/>
      <c r="L10" s="394"/>
      <c r="M10" s="396"/>
      <c r="N10" s="399"/>
      <c r="O10" s="399"/>
    </row>
    <row r="11" spans="1:17" ht="15" thickBot="1" x14ac:dyDescent="0.35">
      <c r="A11" s="470"/>
      <c r="B11" s="481" t="s">
        <v>337</v>
      </c>
      <c r="C11" s="481" t="s">
        <v>333</v>
      </c>
      <c r="D11" s="393" t="s">
        <v>334</v>
      </c>
      <c r="E11" s="394"/>
      <c r="F11" s="394"/>
      <c r="G11" s="394"/>
      <c r="H11" s="395"/>
      <c r="I11" s="395"/>
      <c r="J11" s="394"/>
      <c r="K11" s="394"/>
      <c r="L11" s="394"/>
      <c r="M11" s="396"/>
      <c r="N11" s="322"/>
      <c r="O11" s="322"/>
    </row>
    <row r="12" spans="1:17" ht="15" thickBot="1" x14ac:dyDescent="0.35">
      <c r="A12" s="470"/>
      <c r="B12" s="482"/>
      <c r="C12" s="482"/>
      <c r="D12" s="393" t="s">
        <v>336</v>
      </c>
      <c r="E12" s="394"/>
      <c r="F12" s="394"/>
      <c r="G12" s="394"/>
      <c r="H12" s="395"/>
      <c r="I12" s="395"/>
      <c r="J12" s="394"/>
      <c r="K12" s="394"/>
      <c r="L12" s="394"/>
      <c r="M12" s="322"/>
    </row>
    <row r="13" spans="1:17" ht="15" thickBot="1" x14ac:dyDescent="0.35">
      <c r="A13" s="470"/>
      <c r="B13" s="481" t="s">
        <v>339</v>
      </c>
      <c r="C13" s="481" t="s">
        <v>340</v>
      </c>
      <c r="D13" s="393" t="s">
        <v>334</v>
      </c>
      <c r="E13" s="398"/>
      <c r="F13" s="398"/>
      <c r="G13" s="398"/>
      <c r="H13" s="395"/>
      <c r="I13" s="395"/>
      <c r="J13" s="398"/>
      <c r="K13" s="398"/>
      <c r="L13" s="398"/>
    </row>
    <row r="14" spans="1:17" ht="15" thickBot="1" x14ac:dyDescent="0.35">
      <c r="A14" s="470"/>
      <c r="B14" s="483"/>
      <c r="C14" s="483"/>
      <c r="D14" s="393" t="s">
        <v>336</v>
      </c>
      <c r="E14" s="398"/>
      <c r="F14" s="398"/>
      <c r="G14" s="398"/>
      <c r="H14" s="395"/>
      <c r="I14" s="395"/>
      <c r="J14" s="398"/>
      <c r="K14" s="398"/>
      <c r="L14" s="398"/>
    </row>
    <row r="15" spans="1:17" ht="15" thickBot="1" x14ac:dyDescent="0.35">
      <c r="A15" s="470"/>
      <c r="B15" s="482"/>
      <c r="C15" s="482"/>
      <c r="D15" s="393" t="s">
        <v>333</v>
      </c>
      <c r="E15" s="398"/>
      <c r="F15" s="398"/>
      <c r="G15" s="398"/>
      <c r="H15" s="395"/>
      <c r="I15" s="395"/>
      <c r="J15" s="398"/>
      <c r="K15" s="398"/>
      <c r="L15" s="398"/>
      <c r="M15" s="400"/>
    </row>
    <row r="16" spans="1:17" ht="15" thickBot="1" x14ac:dyDescent="0.35">
      <c r="A16" s="470"/>
      <c r="B16" s="481" t="s">
        <v>341</v>
      </c>
      <c r="C16" s="401" t="s">
        <v>342</v>
      </c>
      <c r="D16" s="393" t="s">
        <v>333</v>
      </c>
      <c r="E16" s="402"/>
      <c r="F16" s="394"/>
      <c r="G16" s="394"/>
      <c r="H16" s="395"/>
      <c r="I16" s="395"/>
      <c r="J16" s="402"/>
      <c r="K16" s="394"/>
      <c r="L16" s="403"/>
      <c r="M16" s="400"/>
      <c r="N16" s="322"/>
    </row>
    <row r="17" spans="1:15" ht="15" thickBot="1" x14ac:dyDescent="0.35">
      <c r="A17" s="470"/>
      <c r="B17" s="483"/>
      <c r="C17" s="401" t="s">
        <v>343</v>
      </c>
      <c r="D17" s="393" t="s">
        <v>333</v>
      </c>
      <c r="E17" s="402"/>
      <c r="F17" s="394"/>
      <c r="G17" s="394"/>
      <c r="H17" s="395"/>
      <c r="I17" s="395"/>
      <c r="J17" s="398"/>
      <c r="K17" s="394"/>
      <c r="L17" s="394"/>
      <c r="M17" s="322"/>
      <c r="N17" s="322"/>
      <c r="O17" s="322"/>
    </row>
    <row r="18" spans="1:15" ht="15" thickBot="1" x14ac:dyDescent="0.35">
      <c r="A18" s="470"/>
      <c r="B18" s="483"/>
      <c r="C18" s="401" t="s">
        <v>344</v>
      </c>
      <c r="D18" s="393" t="s">
        <v>333</v>
      </c>
      <c r="E18" s="402"/>
      <c r="F18" s="394"/>
      <c r="G18" s="394"/>
      <c r="H18" s="395"/>
      <c r="I18" s="395"/>
      <c r="J18" s="402"/>
      <c r="K18" s="394"/>
      <c r="L18" s="394"/>
      <c r="N18" s="322"/>
      <c r="O18" s="322"/>
    </row>
    <row r="19" spans="1:15" ht="15" thickBot="1" x14ac:dyDescent="0.35">
      <c r="A19" s="470"/>
      <c r="B19" s="483"/>
      <c r="C19" s="401" t="s">
        <v>345</v>
      </c>
      <c r="D19" s="393" t="s">
        <v>333</v>
      </c>
      <c r="E19" s="398"/>
      <c r="F19" s="394"/>
      <c r="G19" s="394"/>
      <c r="H19" s="395"/>
      <c r="I19" s="395"/>
      <c r="J19" s="402"/>
      <c r="K19" s="394"/>
      <c r="L19" s="394"/>
      <c r="N19" s="322"/>
      <c r="O19" s="322"/>
    </row>
    <row r="20" spans="1:15" ht="15" thickBot="1" x14ac:dyDescent="0.35">
      <c r="A20" s="470"/>
      <c r="B20" s="483"/>
      <c r="C20" s="401" t="s">
        <v>346</v>
      </c>
      <c r="D20" s="393" t="s">
        <v>333</v>
      </c>
      <c r="E20" s="398"/>
      <c r="F20" s="394"/>
      <c r="G20" s="394"/>
      <c r="H20" s="395"/>
      <c r="I20" s="395"/>
      <c r="J20" s="402"/>
      <c r="K20" s="394"/>
      <c r="L20" s="394"/>
      <c r="N20" s="322"/>
      <c r="O20" s="322"/>
    </row>
    <row r="21" spans="1:15" ht="15" thickBot="1" x14ac:dyDescent="0.35">
      <c r="A21" s="470"/>
      <c r="B21" s="483"/>
      <c r="C21" s="401" t="s">
        <v>347</v>
      </c>
      <c r="D21" s="393" t="s">
        <v>333</v>
      </c>
      <c r="E21" s="398"/>
      <c r="F21" s="394"/>
      <c r="G21" s="394"/>
      <c r="H21" s="395"/>
      <c r="I21" s="395"/>
      <c r="J21" s="402"/>
      <c r="K21" s="394"/>
      <c r="L21" s="394"/>
      <c r="N21" s="322"/>
      <c r="O21" s="322"/>
    </row>
    <row r="22" spans="1:15" ht="15" thickBot="1" x14ac:dyDescent="0.35">
      <c r="A22" s="470"/>
      <c r="B22" s="483"/>
      <c r="C22" s="401" t="s">
        <v>348</v>
      </c>
      <c r="D22" s="393" t="s">
        <v>333</v>
      </c>
      <c r="E22" s="398"/>
      <c r="F22" s="394"/>
      <c r="G22" s="394"/>
      <c r="H22" s="395"/>
      <c r="I22" s="395"/>
      <c r="J22" s="402"/>
      <c r="K22" s="394"/>
      <c r="L22" s="394"/>
      <c r="N22" s="322"/>
      <c r="O22" s="322"/>
    </row>
    <row r="23" spans="1:15" ht="15" thickBot="1" x14ac:dyDescent="0.35">
      <c r="A23" s="470"/>
      <c r="B23" s="483"/>
      <c r="C23" s="401" t="s">
        <v>349</v>
      </c>
      <c r="D23" s="393" t="s">
        <v>333</v>
      </c>
      <c r="E23" s="398"/>
      <c r="F23" s="394"/>
      <c r="G23" s="394"/>
      <c r="H23" s="395"/>
      <c r="I23" s="395"/>
      <c r="J23" s="402"/>
      <c r="K23" s="394"/>
      <c r="L23" s="394"/>
      <c r="N23" s="322"/>
      <c r="O23" s="322"/>
    </row>
    <row r="24" spans="1:15" ht="15" thickBot="1" x14ac:dyDescent="0.35">
      <c r="A24" s="470"/>
      <c r="B24" s="483"/>
      <c r="C24" s="401" t="s">
        <v>350</v>
      </c>
      <c r="D24" s="393" t="s">
        <v>333</v>
      </c>
      <c r="E24" s="402"/>
      <c r="F24" s="394"/>
      <c r="G24" s="394"/>
      <c r="H24" s="395"/>
      <c r="I24" s="395"/>
      <c r="J24" s="402"/>
      <c r="K24" s="394"/>
      <c r="L24" s="394"/>
      <c r="N24" s="322"/>
      <c r="O24" s="322"/>
    </row>
    <row r="25" spans="1:15" ht="15" thickBot="1" x14ac:dyDescent="0.35">
      <c r="A25" s="470"/>
      <c r="B25" s="483"/>
      <c r="C25" s="401" t="s">
        <v>351</v>
      </c>
      <c r="D25" s="393" t="s">
        <v>333</v>
      </c>
      <c r="E25" s="402"/>
      <c r="F25" s="394"/>
      <c r="G25" s="394"/>
      <c r="H25" s="395"/>
      <c r="I25" s="395"/>
      <c r="J25" s="402"/>
      <c r="K25" s="394"/>
      <c r="L25" s="394"/>
      <c r="N25" s="322"/>
      <c r="O25" s="322"/>
    </row>
    <row r="26" spans="1:15" ht="15" thickBot="1" x14ac:dyDescent="0.35">
      <c r="A26" s="470"/>
      <c r="B26" s="483"/>
      <c r="C26" s="401" t="s">
        <v>352</v>
      </c>
      <c r="D26" s="393" t="s">
        <v>333</v>
      </c>
      <c r="E26" s="398"/>
      <c r="F26" s="394"/>
      <c r="G26" s="394"/>
      <c r="H26" s="395"/>
      <c r="I26" s="395"/>
      <c r="J26" s="402"/>
      <c r="K26" s="394"/>
      <c r="L26" s="394"/>
      <c r="N26" s="322"/>
      <c r="O26" s="322"/>
    </row>
    <row r="27" spans="1:15" ht="15" thickBot="1" x14ac:dyDescent="0.35">
      <c r="A27" s="470"/>
      <c r="B27" s="483"/>
      <c r="C27" s="401" t="s">
        <v>353</v>
      </c>
      <c r="D27" s="393" t="s">
        <v>333</v>
      </c>
      <c r="E27" s="402"/>
      <c r="F27" s="394"/>
      <c r="G27" s="394"/>
      <c r="H27" s="395"/>
      <c r="I27" s="395"/>
      <c r="J27" s="402"/>
      <c r="K27" s="394"/>
      <c r="L27" s="394"/>
      <c r="N27" s="322"/>
      <c r="O27" s="322"/>
    </row>
    <row r="28" spans="1:15" ht="15" thickBot="1" x14ac:dyDescent="0.35">
      <c r="A28" s="470"/>
      <c r="B28" s="483"/>
      <c r="C28" s="401" t="s">
        <v>354</v>
      </c>
      <c r="D28" s="393" t="s">
        <v>333</v>
      </c>
      <c r="E28" s="402"/>
      <c r="F28" s="394"/>
      <c r="G28" s="394"/>
      <c r="H28" s="395"/>
      <c r="I28" s="395"/>
      <c r="J28" s="402"/>
      <c r="K28" s="394"/>
      <c r="L28" s="394"/>
      <c r="N28" s="322"/>
      <c r="O28" s="322"/>
    </row>
    <row r="29" spans="1:15" ht="15" thickBot="1" x14ac:dyDescent="0.35">
      <c r="A29" s="471"/>
      <c r="B29" s="482"/>
      <c r="C29" s="401" t="s">
        <v>355</v>
      </c>
      <c r="D29" s="393" t="s">
        <v>333</v>
      </c>
      <c r="E29" s="402"/>
      <c r="F29" s="394"/>
      <c r="G29" s="394"/>
      <c r="H29" s="395"/>
      <c r="I29" s="395"/>
      <c r="J29" s="402"/>
      <c r="K29" s="394"/>
      <c r="L29" s="394"/>
      <c r="N29" s="322"/>
      <c r="O29" s="322"/>
    </row>
    <row r="30" spans="1:15" ht="15.75" customHeight="1" thickBot="1" x14ac:dyDescent="0.35">
      <c r="A30" s="469" t="s">
        <v>356</v>
      </c>
      <c r="B30" s="481" t="s">
        <v>332</v>
      </c>
      <c r="C30" s="481" t="s">
        <v>333</v>
      </c>
      <c r="D30" s="393" t="s">
        <v>334</v>
      </c>
      <c r="E30" s="398"/>
      <c r="F30" s="398"/>
      <c r="G30" s="398"/>
      <c r="H30" s="395"/>
      <c r="I30" s="395"/>
      <c r="J30" s="398"/>
      <c r="K30" s="398"/>
      <c r="L30" s="398"/>
      <c r="N30" s="322"/>
      <c r="O30" s="322"/>
    </row>
    <row r="31" spans="1:15" ht="15" thickBot="1" x14ac:dyDescent="0.35">
      <c r="A31" s="470"/>
      <c r="B31" s="482"/>
      <c r="C31" s="482"/>
      <c r="D31" s="393" t="s">
        <v>336</v>
      </c>
      <c r="E31" s="398"/>
      <c r="F31" s="398"/>
      <c r="G31" s="398"/>
      <c r="H31" s="395"/>
      <c r="I31" s="395"/>
      <c r="J31" s="398"/>
      <c r="K31" s="398"/>
      <c r="L31" s="398"/>
      <c r="N31" s="322"/>
      <c r="O31" s="322"/>
    </row>
    <row r="32" spans="1:15" ht="15" thickBot="1" x14ac:dyDescent="0.35">
      <c r="A32" s="470"/>
      <c r="B32" s="481" t="s">
        <v>337</v>
      </c>
      <c r="C32" s="481" t="s">
        <v>333</v>
      </c>
      <c r="D32" s="393" t="s">
        <v>334</v>
      </c>
      <c r="E32" s="398"/>
      <c r="F32" s="398"/>
      <c r="G32" s="394"/>
      <c r="H32" s="395"/>
      <c r="I32" s="395"/>
      <c r="J32" s="398"/>
      <c r="K32" s="398"/>
      <c r="L32" s="394"/>
      <c r="N32" s="322"/>
      <c r="O32" s="322"/>
    </row>
    <row r="33" spans="1:15" ht="15" thickBot="1" x14ac:dyDescent="0.35">
      <c r="A33" s="470"/>
      <c r="B33" s="482"/>
      <c r="C33" s="482"/>
      <c r="D33" s="393" t="s">
        <v>336</v>
      </c>
      <c r="E33" s="398"/>
      <c r="F33" s="398"/>
      <c r="G33" s="394"/>
      <c r="H33" s="395"/>
      <c r="I33" s="395"/>
      <c r="J33" s="398"/>
      <c r="K33" s="398"/>
      <c r="L33" s="394"/>
      <c r="N33" s="322"/>
      <c r="O33" s="322"/>
    </row>
    <row r="34" spans="1:15" ht="15" thickBot="1" x14ac:dyDescent="0.35">
      <c r="A34" s="470"/>
      <c r="B34" s="481" t="s">
        <v>339</v>
      </c>
      <c r="C34" s="481"/>
      <c r="D34" s="393" t="s">
        <v>334</v>
      </c>
      <c r="E34" s="398"/>
      <c r="F34" s="398"/>
      <c r="G34" s="398"/>
      <c r="H34" s="395"/>
      <c r="I34" s="395"/>
      <c r="J34" s="398"/>
      <c r="K34" s="398"/>
      <c r="L34" s="398"/>
      <c r="N34" s="322"/>
      <c r="O34" s="322"/>
    </row>
    <row r="35" spans="1:15" ht="15" thickBot="1" x14ac:dyDescent="0.35">
      <c r="A35" s="470"/>
      <c r="B35" s="483"/>
      <c r="C35" s="483"/>
      <c r="D35" s="393" t="s">
        <v>336</v>
      </c>
      <c r="E35" s="398"/>
      <c r="F35" s="398"/>
      <c r="G35" s="398"/>
      <c r="H35" s="395"/>
      <c r="I35" s="395"/>
      <c r="J35" s="398"/>
      <c r="K35" s="398"/>
      <c r="L35" s="398"/>
      <c r="N35" s="322"/>
      <c r="O35" s="322"/>
    </row>
    <row r="36" spans="1:15" ht="15" thickBot="1" x14ac:dyDescent="0.35">
      <c r="A36" s="470"/>
      <c r="B36" s="482"/>
      <c r="C36" s="482"/>
      <c r="D36" s="393" t="s">
        <v>333</v>
      </c>
      <c r="E36" s="398"/>
      <c r="F36" s="398"/>
      <c r="G36" s="398"/>
      <c r="H36" s="395"/>
      <c r="I36" s="395"/>
      <c r="J36" s="398"/>
      <c r="K36" s="398"/>
      <c r="L36" s="398"/>
      <c r="N36" s="322"/>
      <c r="O36" s="322"/>
    </row>
    <row r="37" spans="1:15" ht="15" thickBot="1" x14ac:dyDescent="0.35">
      <c r="A37" s="471"/>
      <c r="B37" s="393" t="s">
        <v>341</v>
      </c>
      <c r="C37" s="393" t="s">
        <v>333</v>
      </c>
      <c r="D37" s="393" t="s">
        <v>333</v>
      </c>
      <c r="E37" s="398"/>
      <c r="F37" s="398"/>
      <c r="G37" s="398"/>
      <c r="H37" s="395"/>
      <c r="I37" s="395"/>
      <c r="J37" s="398"/>
      <c r="K37" s="398"/>
      <c r="L37" s="398"/>
      <c r="N37" s="322"/>
      <c r="O37" s="322"/>
    </row>
    <row r="38" spans="1:15" ht="15.75" customHeight="1" thickBot="1" x14ac:dyDescent="0.35">
      <c r="A38" s="469" t="s">
        <v>357</v>
      </c>
      <c r="B38" s="481" t="s">
        <v>332</v>
      </c>
      <c r="C38" s="481" t="s">
        <v>333</v>
      </c>
      <c r="D38" s="393" t="s">
        <v>334</v>
      </c>
      <c r="E38" s="398"/>
      <c r="F38" s="398"/>
      <c r="G38" s="398"/>
      <c r="H38" s="395"/>
      <c r="I38" s="395"/>
      <c r="J38" s="398"/>
      <c r="K38" s="398"/>
      <c r="L38" s="398"/>
      <c r="M38" s="396"/>
      <c r="N38" s="322"/>
      <c r="O38" s="322"/>
    </row>
    <row r="39" spans="1:15" ht="15" thickBot="1" x14ac:dyDescent="0.35">
      <c r="A39" s="470"/>
      <c r="B39" s="482"/>
      <c r="C39" s="482"/>
      <c r="D39" s="393" t="s">
        <v>336</v>
      </c>
      <c r="E39" s="398"/>
      <c r="F39" s="398"/>
      <c r="G39" s="398"/>
      <c r="H39" s="395"/>
      <c r="I39" s="395"/>
      <c r="J39" s="398"/>
      <c r="K39" s="398"/>
      <c r="L39" s="398"/>
      <c r="M39" s="396"/>
      <c r="N39" s="322"/>
      <c r="O39" s="322"/>
    </row>
    <row r="40" spans="1:15" ht="15" thickBot="1" x14ac:dyDescent="0.35">
      <c r="A40" s="470"/>
      <c r="B40" s="481" t="s">
        <v>337</v>
      </c>
      <c r="C40" s="481" t="s">
        <v>333</v>
      </c>
      <c r="D40" s="393" t="s">
        <v>334</v>
      </c>
      <c r="E40" s="398"/>
      <c r="F40" s="398"/>
      <c r="G40" s="398"/>
      <c r="H40" s="395"/>
      <c r="I40" s="395"/>
      <c r="J40" s="398"/>
      <c r="K40" s="398"/>
      <c r="L40" s="398"/>
      <c r="M40" s="397"/>
      <c r="N40" s="322"/>
      <c r="O40" s="322"/>
    </row>
    <row r="41" spans="1:15" ht="15" thickBot="1" x14ac:dyDescent="0.35">
      <c r="A41" s="470"/>
      <c r="B41" s="482"/>
      <c r="C41" s="482"/>
      <c r="D41" s="393" t="s">
        <v>336</v>
      </c>
      <c r="E41" s="398"/>
      <c r="F41" s="398"/>
      <c r="G41" s="398"/>
      <c r="H41" s="395"/>
      <c r="I41" s="395"/>
      <c r="J41" s="398"/>
      <c r="K41" s="398"/>
      <c r="L41" s="398"/>
      <c r="M41" s="322"/>
      <c r="N41" s="322"/>
      <c r="O41" s="322"/>
    </row>
    <row r="42" spans="1:15" ht="15" thickBot="1" x14ac:dyDescent="0.35">
      <c r="A42" s="470"/>
      <c r="B42" s="481" t="s">
        <v>13</v>
      </c>
      <c r="C42" s="481" t="s">
        <v>333</v>
      </c>
      <c r="D42" s="393" t="s">
        <v>333</v>
      </c>
      <c r="E42" s="398"/>
      <c r="F42" s="398"/>
      <c r="G42" s="398"/>
      <c r="H42" s="395"/>
      <c r="I42" s="395"/>
      <c r="J42" s="398"/>
      <c r="K42" s="398"/>
      <c r="L42" s="398"/>
      <c r="M42" s="396"/>
      <c r="N42" s="322"/>
      <c r="O42" s="322"/>
    </row>
    <row r="43" spans="1:15" ht="15" thickBot="1" x14ac:dyDescent="0.35">
      <c r="A43" s="470"/>
      <c r="B43" s="483"/>
      <c r="C43" s="483"/>
      <c r="D43" s="393" t="s">
        <v>334</v>
      </c>
      <c r="E43" s="398"/>
      <c r="F43" s="398"/>
      <c r="G43" s="398"/>
      <c r="H43" s="395"/>
      <c r="I43" s="395"/>
      <c r="J43" s="398"/>
      <c r="K43" s="398"/>
      <c r="L43" s="398"/>
      <c r="M43" s="396"/>
      <c r="N43" s="322"/>
      <c r="O43" s="322"/>
    </row>
    <row r="44" spans="1:15" ht="15" thickBot="1" x14ac:dyDescent="0.35">
      <c r="A44" s="470"/>
      <c r="B44" s="482"/>
      <c r="C44" s="482"/>
      <c r="D44" s="393" t="s">
        <v>336</v>
      </c>
      <c r="E44" s="398"/>
      <c r="F44" s="398"/>
      <c r="G44" s="398"/>
      <c r="H44" s="395"/>
      <c r="I44" s="395"/>
      <c r="J44" s="398"/>
      <c r="K44" s="398"/>
      <c r="L44" s="398"/>
      <c r="M44" s="396"/>
      <c r="N44" s="322"/>
      <c r="O44" s="322"/>
    </row>
    <row r="45" spans="1:15" ht="15" thickBot="1" x14ac:dyDescent="0.35">
      <c r="A45" s="470"/>
      <c r="B45" s="481" t="s">
        <v>358</v>
      </c>
      <c r="C45" s="481" t="s">
        <v>333</v>
      </c>
      <c r="D45" s="393" t="s">
        <v>333</v>
      </c>
      <c r="E45" s="398"/>
      <c r="F45" s="398"/>
      <c r="G45" s="398"/>
      <c r="H45" s="395"/>
      <c r="I45" s="395"/>
      <c r="J45" s="398"/>
      <c r="K45" s="398"/>
      <c r="L45" s="398"/>
      <c r="M45" s="322"/>
      <c r="N45" s="322"/>
      <c r="O45" s="322"/>
    </row>
    <row r="46" spans="1:15" ht="15" thickBot="1" x14ac:dyDescent="0.35">
      <c r="A46" s="470"/>
      <c r="B46" s="483"/>
      <c r="C46" s="483"/>
      <c r="D46" s="393" t="s">
        <v>334</v>
      </c>
      <c r="E46" s="398"/>
      <c r="F46" s="398"/>
      <c r="G46" s="398"/>
      <c r="H46" s="395"/>
      <c r="I46" s="395"/>
      <c r="J46" s="398"/>
      <c r="K46" s="398"/>
      <c r="L46" s="398"/>
      <c r="N46" s="322"/>
      <c r="O46" s="322"/>
    </row>
    <row r="47" spans="1:15" ht="15" thickBot="1" x14ac:dyDescent="0.35">
      <c r="A47" s="470"/>
      <c r="B47" s="482"/>
      <c r="C47" s="482"/>
      <c r="D47" s="393" t="s">
        <v>336</v>
      </c>
      <c r="E47" s="398"/>
      <c r="F47" s="398"/>
      <c r="G47" s="398"/>
      <c r="H47" s="395"/>
      <c r="I47" s="395"/>
      <c r="J47" s="398"/>
      <c r="K47" s="398"/>
      <c r="L47" s="398"/>
      <c r="N47" s="322"/>
      <c r="O47" s="322"/>
    </row>
    <row r="48" spans="1:15" ht="15" thickBot="1" x14ac:dyDescent="0.35">
      <c r="A48" s="470"/>
      <c r="B48" s="404" t="s">
        <v>359</v>
      </c>
      <c r="C48" s="404" t="s">
        <v>333</v>
      </c>
      <c r="D48" s="404" t="s">
        <v>333</v>
      </c>
      <c r="E48" s="398"/>
      <c r="F48" s="394"/>
      <c r="G48" s="394"/>
      <c r="H48" s="395"/>
      <c r="I48" s="395"/>
      <c r="J48" s="398"/>
      <c r="K48" s="398"/>
      <c r="L48" s="398"/>
      <c r="N48" s="322"/>
      <c r="O48" s="322"/>
    </row>
    <row r="49" spans="1:15" ht="15" thickBot="1" x14ac:dyDescent="0.35">
      <c r="A49" s="471"/>
      <c r="B49" s="393" t="s">
        <v>341</v>
      </c>
      <c r="C49" s="393" t="s">
        <v>333</v>
      </c>
      <c r="D49" s="393" t="s">
        <v>333</v>
      </c>
      <c r="E49" s="398"/>
      <c r="F49" s="398"/>
      <c r="G49" s="398"/>
      <c r="H49" s="395"/>
      <c r="I49" s="395"/>
      <c r="J49" s="398"/>
      <c r="K49" s="398"/>
      <c r="L49" s="398"/>
      <c r="N49" s="322"/>
      <c r="O49" s="322"/>
    </row>
    <row r="50" spans="1:15" ht="15.75" customHeight="1" thickBot="1" x14ac:dyDescent="0.35">
      <c r="A50" s="469" t="s">
        <v>360</v>
      </c>
      <c r="B50" s="481" t="s">
        <v>332</v>
      </c>
      <c r="C50" s="481" t="s">
        <v>333</v>
      </c>
      <c r="D50" s="393" t="s">
        <v>334</v>
      </c>
      <c r="E50" s="398"/>
      <c r="F50" s="398"/>
      <c r="G50" s="398"/>
      <c r="H50" s="395"/>
      <c r="I50" s="395"/>
      <c r="J50" s="398"/>
      <c r="K50" s="398"/>
      <c r="L50" s="398"/>
      <c r="N50" s="322"/>
      <c r="O50" s="322"/>
    </row>
    <row r="51" spans="1:15" ht="15" thickBot="1" x14ac:dyDescent="0.35">
      <c r="A51" s="470"/>
      <c r="B51" s="482"/>
      <c r="C51" s="482"/>
      <c r="D51" s="393" t="s">
        <v>336</v>
      </c>
      <c r="E51" s="398"/>
      <c r="F51" s="398"/>
      <c r="G51" s="398"/>
      <c r="H51" s="395"/>
      <c r="I51" s="395"/>
      <c r="J51" s="398"/>
      <c r="K51" s="398"/>
      <c r="L51" s="398"/>
      <c r="M51" s="396"/>
      <c r="N51" s="322"/>
      <c r="O51" s="322"/>
    </row>
    <row r="52" spans="1:15" ht="15" thickBot="1" x14ac:dyDescent="0.35">
      <c r="A52" s="470"/>
      <c r="B52" s="481" t="s">
        <v>337</v>
      </c>
      <c r="C52" s="481" t="s">
        <v>333</v>
      </c>
      <c r="D52" s="393" t="s">
        <v>334</v>
      </c>
      <c r="E52" s="398"/>
      <c r="F52" s="398"/>
      <c r="G52" s="398"/>
      <c r="H52" s="395"/>
      <c r="I52" s="395"/>
      <c r="J52" s="398"/>
      <c r="K52" s="398"/>
      <c r="L52" s="398"/>
      <c r="M52" s="396"/>
      <c r="N52" s="322"/>
      <c r="O52" s="322"/>
    </row>
    <row r="53" spans="1:15" ht="15" thickBot="1" x14ac:dyDescent="0.35">
      <c r="A53" s="470"/>
      <c r="B53" s="482"/>
      <c r="C53" s="482"/>
      <c r="D53" s="393" t="s">
        <v>336</v>
      </c>
      <c r="E53" s="398"/>
      <c r="F53" s="398"/>
      <c r="G53" s="398"/>
      <c r="H53" s="395"/>
      <c r="I53" s="395"/>
      <c r="J53" s="398"/>
      <c r="K53" s="398"/>
      <c r="L53" s="398"/>
      <c r="M53" s="397"/>
      <c r="N53" s="322"/>
      <c r="O53" s="322"/>
    </row>
    <row r="54" spans="1:15" ht="15" thickBot="1" x14ac:dyDescent="0.35">
      <c r="A54" s="470"/>
      <c r="B54" s="481" t="s">
        <v>13</v>
      </c>
      <c r="C54" s="481" t="s">
        <v>333</v>
      </c>
      <c r="D54" s="393" t="s">
        <v>333</v>
      </c>
      <c r="E54" s="398"/>
      <c r="F54" s="398"/>
      <c r="G54" s="398"/>
      <c r="H54" s="395"/>
      <c r="I54" s="395"/>
      <c r="J54" s="398"/>
      <c r="K54" s="398"/>
      <c r="L54" s="398"/>
      <c r="M54" s="322"/>
      <c r="N54" s="322"/>
      <c r="O54" s="322"/>
    </row>
    <row r="55" spans="1:15" ht="15" thickBot="1" x14ac:dyDescent="0.35">
      <c r="A55" s="470"/>
      <c r="B55" s="483"/>
      <c r="C55" s="483"/>
      <c r="D55" s="393" t="s">
        <v>334</v>
      </c>
      <c r="E55" s="398"/>
      <c r="F55" s="398"/>
      <c r="G55" s="398"/>
      <c r="H55" s="395"/>
      <c r="I55" s="395"/>
      <c r="J55" s="398"/>
      <c r="K55" s="398"/>
      <c r="L55" s="398"/>
      <c r="M55" s="396"/>
      <c r="N55" s="322"/>
      <c r="O55" s="322"/>
    </row>
    <row r="56" spans="1:15" ht="15" thickBot="1" x14ac:dyDescent="0.35">
      <c r="A56" s="470"/>
      <c r="B56" s="482"/>
      <c r="C56" s="482"/>
      <c r="D56" s="393" t="s">
        <v>336</v>
      </c>
      <c r="E56" s="398"/>
      <c r="F56" s="398"/>
      <c r="G56" s="398"/>
      <c r="H56" s="395"/>
      <c r="I56" s="395"/>
      <c r="J56" s="398"/>
      <c r="K56" s="398"/>
      <c r="L56" s="398"/>
      <c r="M56" s="396"/>
      <c r="N56" s="322"/>
      <c r="O56" s="322"/>
    </row>
    <row r="57" spans="1:15" ht="15" thickBot="1" x14ac:dyDescent="0.35">
      <c r="A57" s="470"/>
      <c r="B57" s="481" t="s">
        <v>358</v>
      </c>
      <c r="C57" s="481" t="s">
        <v>333</v>
      </c>
      <c r="D57" s="393" t="s">
        <v>333</v>
      </c>
      <c r="E57" s="398"/>
      <c r="F57" s="398"/>
      <c r="G57" s="398"/>
      <c r="H57" s="395"/>
      <c r="I57" s="395"/>
      <c r="J57" s="398"/>
      <c r="K57" s="398"/>
      <c r="L57" s="398"/>
      <c r="M57" s="396"/>
      <c r="N57" s="322"/>
      <c r="O57" s="322"/>
    </row>
    <row r="58" spans="1:15" ht="15" thickBot="1" x14ac:dyDescent="0.35">
      <c r="A58" s="470"/>
      <c r="B58" s="483"/>
      <c r="C58" s="483"/>
      <c r="D58" s="393" t="s">
        <v>334</v>
      </c>
      <c r="E58" s="398"/>
      <c r="F58" s="398"/>
      <c r="G58" s="398"/>
      <c r="H58" s="395"/>
      <c r="I58" s="395"/>
      <c r="J58" s="398"/>
      <c r="K58" s="398"/>
      <c r="L58" s="398"/>
      <c r="M58" s="322"/>
      <c r="N58" s="322"/>
      <c r="O58" s="322"/>
    </row>
    <row r="59" spans="1:15" ht="15" thickBot="1" x14ac:dyDescent="0.35">
      <c r="A59" s="470"/>
      <c r="B59" s="482"/>
      <c r="C59" s="482"/>
      <c r="D59" s="393" t="s">
        <v>336</v>
      </c>
      <c r="E59" s="398"/>
      <c r="F59" s="398"/>
      <c r="G59" s="398"/>
      <c r="H59" s="395"/>
      <c r="I59" s="395"/>
      <c r="J59" s="398"/>
      <c r="K59" s="398"/>
      <c r="L59" s="398"/>
      <c r="N59" s="322"/>
      <c r="O59" s="322"/>
    </row>
    <row r="60" spans="1:15" ht="15" thickBot="1" x14ac:dyDescent="0.35">
      <c r="A60" s="470"/>
      <c r="B60" s="393" t="s">
        <v>359</v>
      </c>
      <c r="C60" s="393" t="s">
        <v>333</v>
      </c>
      <c r="D60" s="393" t="s">
        <v>333</v>
      </c>
      <c r="E60" s="398"/>
      <c r="F60" s="398"/>
      <c r="G60" s="398"/>
      <c r="H60" s="395"/>
      <c r="I60" s="395"/>
      <c r="J60" s="398"/>
      <c r="K60" s="398"/>
      <c r="L60" s="398"/>
      <c r="N60" s="322"/>
      <c r="O60" s="322"/>
    </row>
    <row r="61" spans="1:15" ht="15" thickBot="1" x14ac:dyDescent="0.35">
      <c r="A61" s="470"/>
      <c r="B61" s="481" t="s">
        <v>339</v>
      </c>
      <c r="C61" s="484" t="s">
        <v>361</v>
      </c>
      <c r="D61" s="393" t="s">
        <v>334</v>
      </c>
      <c r="E61" s="398"/>
      <c r="F61" s="398"/>
      <c r="G61" s="398"/>
      <c r="H61" s="395"/>
      <c r="I61" s="395"/>
      <c r="J61" s="398"/>
      <c r="K61" s="398"/>
      <c r="L61" s="398"/>
      <c r="N61" s="322"/>
      <c r="O61" s="322"/>
    </row>
    <row r="62" spans="1:15" ht="15" thickBot="1" x14ac:dyDescent="0.35">
      <c r="A62" s="470"/>
      <c r="B62" s="483"/>
      <c r="C62" s="485"/>
      <c r="D62" s="393" t="s">
        <v>336</v>
      </c>
      <c r="E62" s="398"/>
      <c r="F62" s="398"/>
      <c r="G62" s="398"/>
      <c r="H62" s="395"/>
      <c r="I62" s="395"/>
      <c r="J62" s="398"/>
      <c r="K62" s="398"/>
      <c r="L62" s="398"/>
      <c r="N62" s="322"/>
      <c r="O62" s="322"/>
    </row>
    <row r="63" spans="1:15" ht="15" thickBot="1" x14ac:dyDescent="0.35">
      <c r="A63" s="470"/>
      <c r="B63" s="482"/>
      <c r="C63" s="486"/>
      <c r="D63" s="393" t="s">
        <v>333</v>
      </c>
      <c r="E63" s="398"/>
      <c r="F63" s="398"/>
      <c r="G63" s="398"/>
      <c r="H63" s="395"/>
      <c r="I63" s="395"/>
      <c r="J63" s="398"/>
      <c r="K63" s="398"/>
      <c r="L63" s="398"/>
      <c r="N63" s="322"/>
      <c r="O63" s="322"/>
    </row>
    <row r="64" spans="1:15" ht="15" thickBot="1" x14ac:dyDescent="0.35">
      <c r="A64" s="471"/>
      <c r="B64" s="393" t="s">
        <v>341</v>
      </c>
      <c r="C64" s="393" t="s">
        <v>333</v>
      </c>
      <c r="D64" s="393" t="s">
        <v>333</v>
      </c>
      <c r="E64" s="398"/>
      <c r="F64" s="398"/>
      <c r="G64" s="398"/>
      <c r="H64" s="395"/>
      <c r="I64" s="395"/>
      <c r="J64" s="398"/>
      <c r="K64" s="398"/>
      <c r="L64" s="398"/>
      <c r="N64" s="322"/>
      <c r="O64" s="322"/>
    </row>
    <row r="65" spans="1:17" ht="15" thickBot="1" x14ac:dyDescent="0.35">
      <c r="A65" s="405"/>
      <c r="B65" s="405"/>
      <c r="C65" s="405"/>
      <c r="D65" s="405"/>
      <c r="E65" s="405"/>
      <c r="F65" s="405"/>
      <c r="G65" s="405"/>
      <c r="H65" s="405"/>
      <c r="I65" s="405"/>
      <c r="J65" s="405"/>
      <c r="K65" s="405"/>
      <c r="L65" s="405"/>
    </row>
    <row r="66" spans="1:17" ht="15" thickBot="1" x14ac:dyDescent="0.35">
      <c r="A66" s="472" t="s">
        <v>362</v>
      </c>
      <c r="B66" s="473"/>
      <c r="C66" s="473"/>
      <c r="D66" s="473"/>
      <c r="E66" s="473"/>
      <c r="F66" s="473"/>
      <c r="G66" s="473"/>
      <c r="H66" s="473"/>
      <c r="I66" s="473"/>
      <c r="J66" s="473"/>
      <c r="K66" s="473"/>
      <c r="L66" s="473"/>
      <c r="M66" s="474"/>
    </row>
    <row r="67" spans="1:17" ht="15.75" customHeight="1" thickBot="1" x14ac:dyDescent="0.35">
      <c r="A67" s="487" t="s">
        <v>310</v>
      </c>
      <c r="B67" s="487" t="s">
        <v>311</v>
      </c>
      <c r="C67" s="487" t="s">
        <v>363</v>
      </c>
      <c r="D67" s="487" t="s">
        <v>364</v>
      </c>
      <c r="E67" s="487" t="s">
        <v>313</v>
      </c>
      <c r="F67" s="490" t="s">
        <v>314</v>
      </c>
      <c r="G67" s="491"/>
      <c r="H67" s="491"/>
      <c r="I67" s="491"/>
      <c r="J67" s="492"/>
      <c r="K67" s="490" t="s">
        <v>365</v>
      </c>
      <c r="L67" s="491"/>
      <c r="M67" s="492"/>
    </row>
    <row r="68" spans="1:17" ht="15" thickBot="1" x14ac:dyDescent="0.35">
      <c r="A68" s="488"/>
      <c r="B68" s="488"/>
      <c r="C68" s="488"/>
      <c r="D68" s="488"/>
      <c r="E68" s="488"/>
      <c r="F68" s="493" t="s">
        <v>10</v>
      </c>
      <c r="G68" s="494"/>
      <c r="H68" s="493" t="s">
        <v>9</v>
      </c>
      <c r="I68" s="495"/>
      <c r="J68" s="494"/>
      <c r="K68" s="493" t="s">
        <v>10</v>
      </c>
      <c r="L68" s="494"/>
      <c r="M68" s="406" t="s">
        <v>9</v>
      </c>
    </row>
    <row r="69" spans="1:17" ht="15" thickBot="1" x14ac:dyDescent="0.35">
      <c r="A69" s="489"/>
      <c r="B69" s="489"/>
      <c r="C69" s="489"/>
      <c r="D69" s="489"/>
      <c r="E69" s="489"/>
      <c r="F69" s="407" t="s">
        <v>324</v>
      </c>
      <c r="G69" s="407" t="s">
        <v>325</v>
      </c>
      <c r="H69" s="408" t="s">
        <v>326</v>
      </c>
      <c r="I69" s="409" t="s">
        <v>327</v>
      </c>
      <c r="J69" s="410" t="s">
        <v>328</v>
      </c>
      <c r="K69" s="407" t="s">
        <v>324</v>
      </c>
      <c r="L69" s="407" t="s">
        <v>325</v>
      </c>
      <c r="M69" s="407" t="s">
        <v>325</v>
      </c>
      <c r="O69" s="396"/>
    </row>
    <row r="70" spans="1:17" ht="15" thickBot="1" x14ac:dyDescent="0.35">
      <c r="A70" s="469" t="s">
        <v>36</v>
      </c>
      <c r="B70" s="466" t="s">
        <v>366</v>
      </c>
      <c r="C70" s="466" t="s">
        <v>367</v>
      </c>
      <c r="D70" s="466" t="s">
        <v>367</v>
      </c>
      <c r="E70" s="411" t="s">
        <v>334</v>
      </c>
      <c r="F70" s="412">
        <v>0</v>
      </c>
      <c r="G70" s="398">
        <v>999.02</v>
      </c>
      <c r="H70" s="398">
        <v>516.91</v>
      </c>
      <c r="I70" s="395"/>
      <c r="J70" s="395"/>
      <c r="K70" s="398">
        <v>0</v>
      </c>
      <c r="L70" s="398">
        <v>956.95</v>
      </c>
      <c r="M70" s="398">
        <v>478.38</v>
      </c>
      <c r="O70" s="396"/>
      <c r="P70" s="322"/>
      <c r="Q70" s="413"/>
    </row>
    <row r="71" spans="1:17" ht="15" thickBot="1" x14ac:dyDescent="0.35">
      <c r="A71" s="470"/>
      <c r="B71" s="467"/>
      <c r="C71" s="467"/>
      <c r="D71" s="467"/>
      <c r="E71" s="411" t="s">
        <v>368</v>
      </c>
      <c r="F71" s="412">
        <v>0</v>
      </c>
      <c r="G71" s="398">
        <v>698.21</v>
      </c>
      <c r="H71" s="398">
        <v>321.07</v>
      </c>
      <c r="I71" s="395"/>
      <c r="J71" s="395"/>
      <c r="K71" s="398">
        <v>0</v>
      </c>
      <c r="L71" s="398">
        <v>662.46</v>
      </c>
      <c r="M71" s="398">
        <v>299.92</v>
      </c>
      <c r="O71" s="397"/>
      <c r="P71" s="322"/>
    </row>
    <row r="72" spans="1:17" ht="15" thickBot="1" x14ac:dyDescent="0.35">
      <c r="A72" s="470"/>
      <c r="B72" s="468"/>
      <c r="C72" s="468"/>
      <c r="D72" s="468"/>
      <c r="E72" s="411" t="s">
        <v>336</v>
      </c>
      <c r="F72" s="412">
        <v>0</v>
      </c>
      <c r="G72" s="398">
        <v>397.41</v>
      </c>
      <c r="H72" s="398">
        <v>321.07</v>
      </c>
      <c r="I72" s="395"/>
      <c r="J72" s="395"/>
      <c r="K72" s="398">
        <v>0</v>
      </c>
      <c r="L72" s="398">
        <v>367.97</v>
      </c>
      <c r="M72" s="398">
        <v>299.92</v>
      </c>
      <c r="O72" s="322"/>
      <c r="P72" s="322"/>
    </row>
    <row r="73" spans="1:17" ht="15" thickBot="1" x14ac:dyDescent="0.35">
      <c r="A73" s="470"/>
      <c r="B73" s="466" t="s">
        <v>359</v>
      </c>
      <c r="C73" s="466" t="s">
        <v>367</v>
      </c>
      <c r="D73" s="414" t="s">
        <v>367</v>
      </c>
      <c r="E73" s="411" t="s">
        <v>333</v>
      </c>
      <c r="F73" s="415">
        <v>0</v>
      </c>
      <c r="G73" s="398">
        <v>506.32</v>
      </c>
      <c r="H73" s="398">
        <v>337.39</v>
      </c>
      <c r="I73" s="395"/>
      <c r="J73" s="395"/>
      <c r="K73" s="394">
        <v>0</v>
      </c>
      <c r="L73" s="398">
        <v>474.59</v>
      </c>
      <c r="M73" s="398">
        <v>314.79000000000002</v>
      </c>
      <c r="O73" s="396"/>
      <c r="P73" s="322"/>
    </row>
    <row r="74" spans="1:17" ht="15" thickBot="1" x14ac:dyDescent="0.35">
      <c r="A74" s="470"/>
      <c r="B74" s="467"/>
      <c r="C74" s="467"/>
      <c r="D74" s="414" t="s">
        <v>369</v>
      </c>
      <c r="E74" s="411" t="s">
        <v>333</v>
      </c>
      <c r="F74" s="415">
        <v>0</v>
      </c>
      <c r="G74" s="398">
        <v>348.95</v>
      </c>
      <c r="H74" s="398">
        <v>325.32</v>
      </c>
      <c r="I74" s="395"/>
      <c r="J74" s="395"/>
      <c r="K74" s="394">
        <v>0</v>
      </c>
      <c r="L74" s="398">
        <v>334.57</v>
      </c>
      <c r="M74" s="398">
        <v>303.57</v>
      </c>
      <c r="O74" s="396"/>
      <c r="P74" s="322"/>
    </row>
    <row r="75" spans="1:17" ht="15" thickBot="1" x14ac:dyDescent="0.35">
      <c r="A75" s="471"/>
      <c r="B75" s="468"/>
      <c r="C75" s="468"/>
      <c r="D75" s="441" t="s">
        <v>405</v>
      </c>
      <c r="E75" s="411" t="s">
        <v>333</v>
      </c>
      <c r="F75" s="415">
        <v>0</v>
      </c>
      <c r="G75" s="398">
        <v>356.42</v>
      </c>
      <c r="H75" s="398">
        <v>337.59</v>
      </c>
      <c r="I75" s="395"/>
      <c r="J75" s="395"/>
      <c r="K75" s="394"/>
      <c r="L75" s="398">
        <v>343.39</v>
      </c>
      <c r="M75" s="398">
        <v>314.79000000000002</v>
      </c>
      <c r="O75" s="396"/>
      <c r="P75" s="322"/>
    </row>
    <row r="76" spans="1:17" ht="15" thickBot="1" x14ac:dyDescent="0.35">
      <c r="A76" s="469" t="s">
        <v>66</v>
      </c>
      <c r="B76" s="466" t="s">
        <v>366</v>
      </c>
      <c r="C76" s="466" t="s">
        <v>370</v>
      </c>
      <c r="D76" s="466" t="s">
        <v>333</v>
      </c>
      <c r="E76" s="411" t="s">
        <v>334</v>
      </c>
      <c r="F76" s="412">
        <v>0</v>
      </c>
      <c r="G76" s="398">
        <v>1128.67</v>
      </c>
      <c r="H76" s="398">
        <v>516.91</v>
      </c>
      <c r="I76" s="395"/>
      <c r="J76" s="395"/>
      <c r="K76" s="398">
        <v>0</v>
      </c>
      <c r="L76" s="398">
        <v>1083.8800000000001</v>
      </c>
      <c r="M76" s="398">
        <v>478.38</v>
      </c>
      <c r="O76" s="396"/>
      <c r="P76" s="322"/>
    </row>
    <row r="77" spans="1:17" ht="15" thickBot="1" x14ac:dyDescent="0.35">
      <c r="A77" s="470"/>
      <c r="B77" s="467"/>
      <c r="C77" s="467"/>
      <c r="D77" s="467"/>
      <c r="E77" s="411" t="s">
        <v>368</v>
      </c>
      <c r="F77" s="412">
        <v>0</v>
      </c>
      <c r="G77" s="398">
        <v>776.01</v>
      </c>
      <c r="H77" s="398">
        <v>321.07</v>
      </c>
      <c r="I77" s="395"/>
      <c r="J77" s="395"/>
      <c r="K77" s="398">
        <v>0</v>
      </c>
      <c r="L77" s="398">
        <v>738.62</v>
      </c>
      <c r="M77" s="398">
        <v>299.92</v>
      </c>
      <c r="O77" s="322"/>
      <c r="P77" s="322"/>
    </row>
    <row r="78" spans="1:17" ht="15" thickBot="1" x14ac:dyDescent="0.35">
      <c r="A78" s="470"/>
      <c r="B78" s="468"/>
      <c r="C78" s="468"/>
      <c r="D78" s="468"/>
      <c r="E78" s="411" t="s">
        <v>336</v>
      </c>
      <c r="F78" s="412">
        <v>0</v>
      </c>
      <c r="G78" s="398">
        <v>423.34</v>
      </c>
      <c r="H78" s="398">
        <v>321.07</v>
      </c>
      <c r="I78" s="395"/>
      <c r="J78" s="395"/>
      <c r="K78" s="398">
        <v>0</v>
      </c>
      <c r="L78" s="398">
        <v>393.35</v>
      </c>
      <c r="M78" s="398">
        <v>299.92</v>
      </c>
      <c r="O78" s="322"/>
      <c r="P78" s="322"/>
    </row>
    <row r="79" spans="1:17" ht="15.75" customHeight="1" thickBot="1" x14ac:dyDescent="0.35">
      <c r="A79" s="470"/>
      <c r="B79" s="414" t="s">
        <v>359</v>
      </c>
      <c r="C79" s="414" t="s">
        <v>370</v>
      </c>
      <c r="D79" s="414" t="s">
        <v>333</v>
      </c>
      <c r="E79" s="411" t="s">
        <v>333</v>
      </c>
      <c r="F79" s="412">
        <v>0</v>
      </c>
      <c r="G79" s="398">
        <v>506.32</v>
      </c>
      <c r="H79" s="398">
        <v>337.39</v>
      </c>
      <c r="I79" s="395"/>
      <c r="J79" s="395"/>
      <c r="K79" s="398">
        <v>0</v>
      </c>
      <c r="L79" s="398">
        <v>474.59</v>
      </c>
      <c r="M79" s="398">
        <v>314.79000000000002</v>
      </c>
      <c r="O79" s="322"/>
      <c r="P79" s="322"/>
    </row>
    <row r="80" spans="1:17" ht="15" thickBot="1" x14ac:dyDescent="0.35">
      <c r="A80" s="470"/>
      <c r="B80" s="466" t="s">
        <v>366</v>
      </c>
      <c r="C80" s="466" t="s">
        <v>370</v>
      </c>
      <c r="D80" s="466" t="s">
        <v>371</v>
      </c>
      <c r="E80" s="411" t="s">
        <v>334</v>
      </c>
      <c r="F80" s="412">
        <v>0</v>
      </c>
      <c r="G80" s="398">
        <v>1128.67</v>
      </c>
      <c r="H80" s="398">
        <v>516.91</v>
      </c>
      <c r="I80" s="395"/>
      <c r="J80" s="395"/>
      <c r="K80" s="398">
        <v>0</v>
      </c>
      <c r="L80" s="398">
        <v>1083.8800000000001</v>
      </c>
      <c r="M80" s="398">
        <v>478.38</v>
      </c>
      <c r="O80" s="322"/>
      <c r="P80" s="322"/>
    </row>
    <row r="81" spans="1:16" ht="15" thickBot="1" x14ac:dyDescent="0.35">
      <c r="A81" s="470"/>
      <c r="B81" s="467"/>
      <c r="C81" s="467"/>
      <c r="D81" s="467"/>
      <c r="E81" s="411" t="s">
        <v>368</v>
      </c>
      <c r="F81" s="412">
        <v>0</v>
      </c>
      <c r="G81" s="398">
        <v>776.01</v>
      </c>
      <c r="H81" s="398">
        <v>321.07</v>
      </c>
      <c r="I81" s="395"/>
      <c r="J81" s="395"/>
      <c r="K81" s="398">
        <v>0</v>
      </c>
      <c r="L81" s="398">
        <v>738.62</v>
      </c>
      <c r="M81" s="398">
        <v>299.92</v>
      </c>
      <c r="O81" s="322"/>
      <c r="P81" s="322"/>
    </row>
    <row r="82" spans="1:16" ht="15" thickBot="1" x14ac:dyDescent="0.35">
      <c r="A82" s="470"/>
      <c r="B82" s="468"/>
      <c r="C82" s="468"/>
      <c r="D82" s="468"/>
      <c r="E82" s="411" t="s">
        <v>336</v>
      </c>
      <c r="F82" s="412">
        <v>0</v>
      </c>
      <c r="G82" s="398">
        <v>423.34</v>
      </c>
      <c r="H82" s="398">
        <v>321.07</v>
      </c>
      <c r="I82" s="395"/>
      <c r="J82" s="395"/>
      <c r="K82" s="398">
        <v>0</v>
      </c>
      <c r="L82" s="398">
        <v>393.35</v>
      </c>
      <c r="M82" s="398">
        <v>299.92</v>
      </c>
      <c r="O82" s="322"/>
      <c r="P82" s="322"/>
    </row>
    <row r="83" spans="1:16" ht="15.75" customHeight="1" thickBot="1" x14ac:dyDescent="0.35">
      <c r="A83" s="470"/>
      <c r="B83" s="414" t="s">
        <v>359</v>
      </c>
      <c r="C83" s="414" t="s">
        <v>370</v>
      </c>
      <c r="D83" s="414" t="s">
        <v>371</v>
      </c>
      <c r="E83" s="411" t="s">
        <v>333</v>
      </c>
      <c r="F83" s="412">
        <v>0</v>
      </c>
      <c r="G83" s="398">
        <v>506.32</v>
      </c>
      <c r="H83" s="398">
        <v>337.39</v>
      </c>
      <c r="I83" s="395"/>
      <c r="J83" s="395"/>
      <c r="K83" s="398">
        <v>0</v>
      </c>
      <c r="L83" s="398">
        <v>474.59</v>
      </c>
      <c r="M83" s="398">
        <v>314.79000000000002</v>
      </c>
      <c r="O83" s="396"/>
      <c r="P83" s="322"/>
    </row>
    <row r="84" spans="1:16" ht="15" thickBot="1" x14ac:dyDescent="0.35">
      <c r="A84" s="470"/>
      <c r="B84" s="466" t="s">
        <v>366</v>
      </c>
      <c r="C84" s="466" t="s">
        <v>370</v>
      </c>
      <c r="D84" s="466" t="s">
        <v>372</v>
      </c>
      <c r="E84" s="411" t="s">
        <v>334</v>
      </c>
      <c r="F84" s="412">
        <v>0</v>
      </c>
      <c r="G84" s="398">
        <v>1128.67</v>
      </c>
      <c r="H84" s="398">
        <v>516.91</v>
      </c>
      <c r="I84" s="395"/>
      <c r="J84" s="395"/>
      <c r="K84" s="398">
        <v>0</v>
      </c>
      <c r="L84" s="398">
        <v>1083.8800000000001</v>
      </c>
      <c r="M84" s="398">
        <v>478.38</v>
      </c>
      <c r="O84" s="396"/>
      <c r="P84" s="322"/>
    </row>
    <row r="85" spans="1:16" ht="15" thickBot="1" x14ac:dyDescent="0.35">
      <c r="A85" s="470"/>
      <c r="B85" s="467"/>
      <c r="C85" s="467"/>
      <c r="D85" s="467"/>
      <c r="E85" s="411" t="s">
        <v>368</v>
      </c>
      <c r="F85" s="412">
        <v>0</v>
      </c>
      <c r="G85" s="398">
        <v>776.01</v>
      </c>
      <c r="H85" s="398">
        <v>321.07</v>
      </c>
      <c r="I85" s="395"/>
      <c r="J85" s="395"/>
      <c r="K85" s="398">
        <v>0</v>
      </c>
      <c r="L85" s="398">
        <v>738.62</v>
      </c>
      <c r="M85" s="398">
        <v>299.92</v>
      </c>
      <c r="O85" s="397"/>
      <c r="P85" s="322"/>
    </row>
    <row r="86" spans="1:16" ht="15" thickBot="1" x14ac:dyDescent="0.35">
      <c r="A86" s="470"/>
      <c r="B86" s="468"/>
      <c r="C86" s="468"/>
      <c r="D86" s="468"/>
      <c r="E86" s="411" t="s">
        <v>336</v>
      </c>
      <c r="F86" s="412">
        <v>0</v>
      </c>
      <c r="G86" s="398">
        <v>423.34</v>
      </c>
      <c r="H86" s="398">
        <v>321.07</v>
      </c>
      <c r="I86" s="395"/>
      <c r="J86" s="395"/>
      <c r="K86" s="398">
        <v>0</v>
      </c>
      <c r="L86" s="398">
        <v>393.35</v>
      </c>
      <c r="M86" s="398">
        <v>299.92</v>
      </c>
      <c r="O86" s="322"/>
      <c r="P86" s="322"/>
    </row>
    <row r="87" spans="1:16" ht="21" thickBot="1" x14ac:dyDescent="0.35">
      <c r="A87" s="471"/>
      <c r="B87" s="414" t="s">
        <v>359</v>
      </c>
      <c r="C87" s="414" t="s">
        <v>370</v>
      </c>
      <c r="D87" s="414" t="s">
        <v>372</v>
      </c>
      <c r="E87" s="411" t="s">
        <v>333</v>
      </c>
      <c r="F87" s="412">
        <v>0</v>
      </c>
      <c r="G87" s="398">
        <v>506.32</v>
      </c>
      <c r="H87" s="398">
        <v>337.39</v>
      </c>
      <c r="I87" s="395"/>
      <c r="J87" s="395"/>
      <c r="K87" s="398">
        <v>0</v>
      </c>
      <c r="L87" s="398">
        <v>474.59</v>
      </c>
      <c r="M87" s="398">
        <v>314.79000000000002</v>
      </c>
      <c r="O87" s="396"/>
      <c r="P87" s="322"/>
    </row>
    <row r="88" spans="1:16" ht="15" thickBot="1" x14ac:dyDescent="0.35">
      <c r="A88" s="469" t="s">
        <v>65</v>
      </c>
      <c r="B88" s="466" t="s">
        <v>366</v>
      </c>
      <c r="C88" s="466" t="s">
        <v>333</v>
      </c>
      <c r="D88" s="466" t="s">
        <v>333</v>
      </c>
      <c r="E88" s="411" t="s">
        <v>334</v>
      </c>
      <c r="F88" s="412">
        <v>0</v>
      </c>
      <c r="G88" s="398">
        <v>1128.67</v>
      </c>
      <c r="H88" s="398">
        <v>516.91</v>
      </c>
      <c r="I88" s="395"/>
      <c r="J88" s="395"/>
      <c r="K88" s="398">
        <v>0</v>
      </c>
      <c r="L88" s="398">
        <v>1083.8800000000001</v>
      </c>
      <c r="M88" s="398">
        <v>478.38</v>
      </c>
      <c r="O88" s="396"/>
      <c r="P88" s="322"/>
    </row>
    <row r="89" spans="1:16" ht="15" thickBot="1" x14ac:dyDescent="0.35">
      <c r="A89" s="470"/>
      <c r="B89" s="467"/>
      <c r="C89" s="467"/>
      <c r="D89" s="467"/>
      <c r="E89" s="411" t="s">
        <v>368</v>
      </c>
      <c r="F89" s="412">
        <v>0</v>
      </c>
      <c r="G89" s="398">
        <v>776.01</v>
      </c>
      <c r="H89" s="398">
        <v>321.07</v>
      </c>
      <c r="I89" s="395"/>
      <c r="J89" s="395"/>
      <c r="K89" s="398">
        <v>0</v>
      </c>
      <c r="L89" s="398">
        <v>738.62</v>
      </c>
      <c r="M89" s="398">
        <v>299.92</v>
      </c>
      <c r="O89" s="396"/>
      <c r="P89" s="322"/>
    </row>
    <row r="90" spans="1:16" ht="15" thickBot="1" x14ac:dyDescent="0.35">
      <c r="A90" s="470"/>
      <c r="B90" s="468"/>
      <c r="C90" s="468"/>
      <c r="D90" s="468"/>
      <c r="E90" s="411" t="s">
        <v>336</v>
      </c>
      <c r="F90" s="412">
        <v>0</v>
      </c>
      <c r="G90" s="398">
        <v>423.34</v>
      </c>
      <c r="H90" s="398">
        <v>321.07</v>
      </c>
      <c r="I90" s="395"/>
      <c r="J90" s="395"/>
      <c r="K90" s="398">
        <v>0</v>
      </c>
      <c r="L90" s="398">
        <v>393.35</v>
      </c>
      <c r="M90" s="398">
        <v>299.92</v>
      </c>
      <c r="O90" s="322"/>
      <c r="P90" s="322"/>
    </row>
    <row r="91" spans="1:16" ht="15" thickBot="1" x14ac:dyDescent="0.35">
      <c r="A91" s="471"/>
      <c r="B91" s="414" t="s">
        <v>359</v>
      </c>
      <c r="C91" s="414" t="s">
        <v>333</v>
      </c>
      <c r="D91" s="414" t="s">
        <v>333</v>
      </c>
      <c r="E91" s="411" t="s">
        <v>333</v>
      </c>
      <c r="F91" s="412">
        <v>0</v>
      </c>
      <c r="G91" s="398">
        <v>506.32</v>
      </c>
      <c r="H91" s="398">
        <v>337.39</v>
      </c>
      <c r="I91" s="395"/>
      <c r="J91" s="395"/>
      <c r="K91" s="398">
        <v>0</v>
      </c>
      <c r="L91" s="398">
        <v>474.59</v>
      </c>
      <c r="M91" s="398">
        <v>314.79000000000002</v>
      </c>
      <c r="O91" s="322"/>
      <c r="P91" s="322"/>
    </row>
    <row r="92" spans="1:16" ht="21" thickBot="1" x14ac:dyDescent="0.35">
      <c r="A92" s="469" t="s">
        <v>373</v>
      </c>
      <c r="B92" s="466" t="s">
        <v>359</v>
      </c>
      <c r="C92" s="466" t="s">
        <v>374</v>
      </c>
      <c r="D92" s="414" t="s">
        <v>375</v>
      </c>
      <c r="E92" s="411" t="s">
        <v>333</v>
      </c>
      <c r="F92" s="412">
        <v>0</v>
      </c>
      <c r="G92" s="398">
        <v>278.48</v>
      </c>
      <c r="H92" s="398">
        <v>185.56</v>
      </c>
      <c r="I92" s="395"/>
      <c r="J92" s="395"/>
      <c r="K92" s="398">
        <v>0</v>
      </c>
      <c r="L92" s="398">
        <v>261.02999999999997</v>
      </c>
      <c r="M92" s="398">
        <v>173.13</v>
      </c>
      <c r="O92" s="322"/>
      <c r="P92" s="322"/>
    </row>
    <row r="93" spans="1:16" ht="21" thickBot="1" x14ac:dyDescent="0.35">
      <c r="A93" s="471"/>
      <c r="B93" s="468"/>
      <c r="C93" s="468"/>
      <c r="D93" s="414" t="s">
        <v>376</v>
      </c>
      <c r="E93" s="411" t="s">
        <v>333</v>
      </c>
      <c r="F93" s="412">
        <v>0</v>
      </c>
      <c r="G93" s="398">
        <v>303.79000000000002</v>
      </c>
      <c r="H93" s="398">
        <v>202.43</v>
      </c>
      <c r="I93" s="395"/>
      <c r="J93" s="395"/>
      <c r="K93" s="398">
        <v>0</v>
      </c>
      <c r="L93" s="398">
        <v>284.76</v>
      </c>
      <c r="M93" s="398">
        <v>188.87</v>
      </c>
      <c r="O93" s="322"/>
      <c r="P93" s="322"/>
    </row>
  </sheetData>
  <autoFilter ref="B1:B93" xr:uid="{00000000-0009-0000-0000-000002000000}"/>
  <mergeCells count="82">
    <mergeCell ref="A92:A93"/>
    <mergeCell ref="B92:B93"/>
    <mergeCell ref="C92:C93"/>
    <mergeCell ref="B70:B72"/>
    <mergeCell ref="C70:C72"/>
    <mergeCell ref="D70:D72"/>
    <mergeCell ref="A70:A75"/>
    <mergeCell ref="B73:B75"/>
    <mergeCell ref="C73:C75"/>
    <mergeCell ref="H68:J68"/>
    <mergeCell ref="A66:M66"/>
    <mergeCell ref="A67:A69"/>
    <mergeCell ref="B67:B69"/>
    <mergeCell ref="C67:C69"/>
    <mergeCell ref="D67:D69"/>
    <mergeCell ref="E67:E69"/>
    <mergeCell ref="F67:J67"/>
    <mergeCell ref="K67:M67"/>
    <mergeCell ref="F68:G68"/>
    <mergeCell ref="K68:L68"/>
    <mergeCell ref="A38:A49"/>
    <mergeCell ref="B38:B39"/>
    <mergeCell ref="C38:C39"/>
    <mergeCell ref="B40:B41"/>
    <mergeCell ref="C40:C41"/>
    <mergeCell ref="B42:B44"/>
    <mergeCell ref="C42:C44"/>
    <mergeCell ref="B45:B47"/>
    <mergeCell ref="C45:C47"/>
    <mergeCell ref="C61:C63"/>
    <mergeCell ref="A50:A64"/>
    <mergeCell ref="B50:B51"/>
    <mergeCell ref="C50:C51"/>
    <mergeCell ref="B52:B53"/>
    <mergeCell ref="C52:C53"/>
    <mergeCell ref="B54:B56"/>
    <mergeCell ref="C54:C56"/>
    <mergeCell ref="B57:B59"/>
    <mergeCell ref="C57:C59"/>
    <mergeCell ref="B61:B63"/>
    <mergeCell ref="A30:A37"/>
    <mergeCell ref="B30:B31"/>
    <mergeCell ref="C30:C31"/>
    <mergeCell ref="B32:B33"/>
    <mergeCell ref="C32:C33"/>
    <mergeCell ref="B34:B36"/>
    <mergeCell ref="C34:C36"/>
    <mergeCell ref="B5:B6"/>
    <mergeCell ref="C5:C6"/>
    <mergeCell ref="B7:B8"/>
    <mergeCell ref="C7:C8"/>
    <mergeCell ref="A9:A29"/>
    <mergeCell ref="B9:B10"/>
    <mergeCell ref="C9:C10"/>
    <mergeCell ref="B11:B12"/>
    <mergeCell ref="C11:C12"/>
    <mergeCell ref="B13:B15"/>
    <mergeCell ref="C13:C15"/>
    <mergeCell ref="B16:B29"/>
    <mergeCell ref="A1:L1"/>
    <mergeCell ref="A2:A4"/>
    <mergeCell ref="B2:B4"/>
    <mergeCell ref="C2:C4"/>
    <mergeCell ref="E2:I2"/>
    <mergeCell ref="J2:L2"/>
    <mergeCell ref="E3:F3"/>
    <mergeCell ref="G3:I3"/>
    <mergeCell ref="J3:K3"/>
    <mergeCell ref="D80:D82"/>
    <mergeCell ref="B84:B86"/>
    <mergeCell ref="C84:C86"/>
    <mergeCell ref="D84:D86"/>
    <mergeCell ref="A88:A91"/>
    <mergeCell ref="B88:B90"/>
    <mergeCell ref="C88:C90"/>
    <mergeCell ref="D88:D90"/>
    <mergeCell ref="A76:A87"/>
    <mergeCell ref="B76:B78"/>
    <mergeCell ref="C76:C78"/>
    <mergeCell ref="D76:D78"/>
    <mergeCell ref="B80:B82"/>
    <mergeCell ref="C80:C8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79CB-811F-47A2-AACE-228C48A2F2B1}">
  <sheetPr>
    <tabColor rgb="FF00B050"/>
  </sheetPr>
  <dimension ref="A1:Z78"/>
  <sheetViews>
    <sheetView showGridLines="0" topLeftCell="A5" zoomScale="80" zoomScaleNormal="80" workbookViewId="0">
      <selection activeCell="R66" sqref="R66"/>
    </sheetView>
  </sheetViews>
  <sheetFormatPr defaultColWidth="9.109375" defaultRowHeight="14.4" x14ac:dyDescent="0.3"/>
  <cols>
    <col min="1" max="1" width="5.44140625" style="19" customWidth="1"/>
    <col min="2" max="2" width="21" style="19" customWidth="1"/>
    <col min="3" max="3" width="13.88671875" style="19" customWidth="1"/>
    <col min="4" max="4" width="12.6640625" style="19" customWidth="1"/>
    <col min="5" max="5" width="14.44140625" style="19" customWidth="1"/>
    <col min="6" max="6" width="14.6640625" style="19" customWidth="1"/>
    <col min="7" max="10" width="12.6640625" style="19" customWidth="1"/>
    <col min="11" max="12" width="13.88671875" style="19" customWidth="1"/>
    <col min="13" max="13" width="15.33203125" style="19" customWidth="1"/>
    <col min="14" max="14" width="12.6640625" style="19" customWidth="1"/>
    <col min="15" max="15" width="14.33203125" style="19" customWidth="1"/>
    <col min="16" max="16" width="16.8867187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27</v>
      </c>
      <c r="E2" s="20" t="s">
        <v>28</v>
      </c>
      <c r="F2" s="21">
        <v>45695</v>
      </c>
      <c r="G2" s="1" t="s">
        <v>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51" t="s">
        <v>31</v>
      </c>
      <c r="C4" s="456" t="s">
        <v>401</v>
      </c>
      <c r="D4" s="456"/>
      <c r="E4" s="456"/>
      <c r="F4" s="456" t="s">
        <v>400</v>
      </c>
      <c r="G4" s="456"/>
      <c r="H4" s="456"/>
      <c r="I4" s="457" t="s">
        <v>32</v>
      </c>
      <c r="J4" s="457"/>
      <c r="K4" s="457"/>
      <c r="M4" s="9" t="s">
        <v>14</v>
      </c>
      <c r="N4" s="10">
        <f>[1]BANDEIRA!$D$5</f>
        <v>1.8849999999999999E-2</v>
      </c>
      <c r="Q4" s="451" t="s">
        <v>31</v>
      </c>
      <c r="R4" s="453" t="str">
        <f>C4</f>
        <v>TARIFA ANTIGA - REH 3370/2024</v>
      </c>
      <c r="S4" s="454"/>
      <c r="T4" s="455"/>
      <c r="U4" s="453" t="str">
        <f>F4</f>
        <v>TARIFA NOVA - REH xxxx/2025</v>
      </c>
      <c r="V4" s="454"/>
      <c r="W4" s="455"/>
      <c r="X4" s="453" t="s">
        <v>32</v>
      </c>
      <c r="Y4" s="454"/>
      <c r="Z4" s="455"/>
    </row>
    <row r="5" spans="1:26" x14ac:dyDescent="0.3">
      <c r="B5" s="452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[1]BANDEIRA!$D$6</f>
        <v>4.4630000000000003E-2</v>
      </c>
      <c r="Q5" s="452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36</v>
      </c>
      <c r="C6" s="31">
        <f>'TABELA DE TARIFAS ANTIGAS'!G71/1000</f>
        <v>0.46862999999999999</v>
      </c>
      <c r="D6" s="31">
        <f>'TABELA DE TARIFAS ANTIGAS'!H71/1000</f>
        <v>0.32068000000000002</v>
      </c>
      <c r="E6" s="31">
        <f t="shared" ref="E6" si="0">C6+D6</f>
        <v>0.78930999999999996</v>
      </c>
      <c r="F6" s="31">
        <f>'TABELA DE TARIFAS NOVAS'!G73/1000</f>
        <v>0.50631999999999999</v>
      </c>
      <c r="G6" s="31">
        <f>'TABELA DE TARIFAS NOVAS'!H73/1000</f>
        <v>0.33738999999999997</v>
      </c>
      <c r="H6" s="31">
        <f t="shared" ref="H6" si="1">F6+G6</f>
        <v>0.84370999999999996</v>
      </c>
      <c r="I6" s="31">
        <f>((C6*$C$14)+(F6*$D$14))/($D$14+$C$14)</f>
        <v>0.48552551724137932</v>
      </c>
      <c r="J6" s="31">
        <f>((D6*$C$14)+(G6*$D$14))/($D$14+$C$14)</f>
        <v>0.32817068965517238</v>
      </c>
      <c r="K6" s="32">
        <f t="shared" ref="K6" si="2">I6+J6</f>
        <v>0.81369620689655164</v>
      </c>
      <c r="M6" s="13" t="s">
        <v>16</v>
      </c>
      <c r="N6" s="14">
        <f>[1]BANDEIRA!$D$7</f>
        <v>7.8770000000000007E-2</v>
      </c>
      <c r="P6" s="33"/>
      <c r="Q6" s="30" t="str">
        <f>B6</f>
        <v>B1</v>
      </c>
      <c r="R6" s="31">
        <f>'[2]FIO B'!H11/1000</f>
        <v>0.18823431351264014</v>
      </c>
      <c r="S6"/>
      <c r="T6"/>
      <c r="U6" s="31">
        <f>'[2]FIO B'!K11/1000</f>
        <v>0.20383072193179136</v>
      </c>
      <c r="V6"/>
      <c r="W6"/>
      <c r="X6" s="31">
        <f>((R6*$C$14)+(U6*$D$14))/($D$14+$C$14)</f>
        <v>0.19522580694191483</v>
      </c>
      <c r="Y6"/>
      <c r="Z6"/>
    </row>
    <row r="7" spans="1:26" x14ac:dyDescent="0.3">
      <c r="B7" s="237" t="s">
        <v>173</v>
      </c>
      <c r="C7" s="271">
        <v>1.7567285996534902E-4</v>
      </c>
      <c r="D7" s="270">
        <v>3.42973552660492E-3</v>
      </c>
      <c r="E7" s="32">
        <v>3.6054083865702689E-3</v>
      </c>
      <c r="F7" s="32">
        <f>T11</f>
        <v>1.8774721494831901E-4</v>
      </c>
      <c r="G7" s="32">
        <f>U11</f>
        <v>-4.4031307414479802E-3</v>
      </c>
      <c r="H7" s="32">
        <f>F7+G7</f>
        <v>-4.2153835264996612E-3</v>
      </c>
      <c r="I7" s="31">
        <f>((C7*$C$14)+(F7*$D$14))/($D$14+$C$14)</f>
        <v>1.810855018542666E-4</v>
      </c>
      <c r="J7" s="31">
        <f>((D7*$C$14)+(G7*$D$14))/($D$14+$C$14)</f>
        <v>-8.1549352177414592E-5</v>
      </c>
      <c r="K7" s="32">
        <f t="shared" ref="K7" si="3">I7+J7</f>
        <v>9.9536149676852012E-5</v>
      </c>
      <c r="M7" s="7" t="s">
        <v>17</v>
      </c>
      <c r="N7" s="340">
        <v>0.14199999999999999</v>
      </c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3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2.268656896551724E-2</v>
      </c>
      <c r="K8" s="84"/>
      <c r="M8" s="341"/>
      <c r="N8" s="342"/>
      <c r="P8" s="223" t="s">
        <v>167</v>
      </c>
      <c r="Q8" s="224"/>
      <c r="R8" s="225" t="s">
        <v>168</v>
      </c>
      <c r="S8" s="225" t="s">
        <v>169</v>
      </c>
      <c r="T8" s="225" t="s">
        <v>35</v>
      </c>
      <c r="U8" s="225" t="s">
        <v>76</v>
      </c>
      <c r="V8"/>
      <c r="W8"/>
      <c r="X8" s="83"/>
      <c r="Y8"/>
      <c r="Z8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26" t="s">
        <v>170</v>
      </c>
      <c r="Q9" s="227"/>
      <c r="R9" s="228"/>
      <c r="S9" s="228"/>
      <c r="T9" s="229"/>
      <c r="U9" s="229"/>
      <c r="V9"/>
      <c r="W9"/>
      <c r="X9"/>
      <c r="Y9"/>
      <c r="Z9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45689</v>
      </c>
      <c r="P10" s="230" t="s">
        <v>171</v>
      </c>
      <c r="Q10" s="231"/>
      <c r="R10" s="232"/>
      <c r="S10" s="232"/>
      <c r="T10" s="233"/>
      <c r="U10" s="270">
        <v>0</v>
      </c>
      <c r="V10"/>
      <c r="W10"/>
      <c r="X10"/>
      <c r="Y10"/>
      <c r="Z10"/>
    </row>
    <row r="11" spans="1:26" x14ac:dyDescent="0.3">
      <c r="B11" s="38" t="s">
        <v>38</v>
      </c>
      <c r="C11" s="422">
        <v>73278</v>
      </c>
      <c r="E11" s="1"/>
      <c r="F11" s="1"/>
      <c r="G11" s="1"/>
      <c r="H11" s="40">
        <f>E14</f>
        <v>45707</v>
      </c>
      <c r="K11" s="458" t="s">
        <v>26</v>
      </c>
      <c r="L11" s="458"/>
      <c r="P11" s="234" t="s">
        <v>172</v>
      </c>
      <c r="Q11" s="235"/>
      <c r="R11" s="236"/>
      <c r="S11" s="236"/>
      <c r="T11" s="271">
        <f>0.187747214948319/1000</f>
        <v>1.8774721494831901E-4</v>
      </c>
      <c r="U11" s="270">
        <f>-4.40313074144798/1000</f>
        <v>-4.4031307414479802E-3</v>
      </c>
      <c r="V11"/>
      <c r="W11"/>
      <c r="X11"/>
      <c r="Y11"/>
      <c r="Z11"/>
    </row>
    <row r="12" spans="1:26" x14ac:dyDescent="0.3">
      <c r="A12" s="19" t="s">
        <v>8</v>
      </c>
      <c r="B12" s="41"/>
      <c r="H12" s="42"/>
      <c r="K12" s="7" t="s">
        <v>15</v>
      </c>
      <c r="L12" s="7" t="s"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3">
      <c r="B14" s="17">
        <v>45678</v>
      </c>
      <c r="C14" s="18">
        <f>IF((F2-B14-1)&lt;0,0,(F2-B14-1))</f>
        <v>16</v>
      </c>
      <c r="D14" s="18">
        <f>E14-F2+1</f>
        <v>13</v>
      </c>
      <c r="E14" s="17">
        <v>45707</v>
      </c>
      <c r="F14" s="44"/>
      <c r="G14" s="44"/>
      <c r="H14" s="45"/>
      <c r="J14" s="22">
        <f>B14</f>
        <v>45678</v>
      </c>
      <c r="K14" s="23">
        <f>IF((M10-J14-1)&lt;0,0,(M10-J14-1))</f>
        <v>10</v>
      </c>
      <c r="L14" s="23">
        <f>M14-M10+1</f>
        <v>19</v>
      </c>
      <c r="M14" s="22">
        <f>E14</f>
        <v>45707</v>
      </c>
    </row>
    <row r="16" spans="1:26" x14ac:dyDescent="0.3">
      <c r="B16" s="1"/>
      <c r="F16" s="248"/>
      <c r="G16"/>
      <c r="H16" s="3"/>
    </row>
    <row r="17" spans="2:20" x14ac:dyDescent="0.3">
      <c r="B17" s="5" t="s">
        <v>55</v>
      </c>
      <c r="E17" s="26" t="s">
        <v>10</v>
      </c>
      <c r="F17" s="85">
        <v>1</v>
      </c>
      <c r="G17" s="86" t="s">
        <v>9</v>
      </c>
      <c r="H17" s="85">
        <v>1</v>
      </c>
      <c r="M17" s="377" t="s">
        <v>308</v>
      </c>
      <c r="N17" s="380"/>
      <c r="O17" s="379">
        <v>30006757412</v>
      </c>
    </row>
    <row r="18" spans="2:20" s="1" customFormat="1" x14ac:dyDescent="0.3">
      <c r="B18" s="5"/>
      <c r="E18" s="115"/>
      <c r="F18" s="272"/>
      <c r="G18" s="273"/>
      <c r="H18" s="272"/>
    </row>
    <row r="19" spans="2:20" ht="42" customHeight="1" x14ac:dyDescent="0.3">
      <c r="B19" s="274" t="s">
        <v>212</v>
      </c>
      <c r="C19" s="274" t="s">
        <v>213</v>
      </c>
      <c r="D19" s="274" t="s">
        <v>214</v>
      </c>
      <c r="E19" s="275" t="s">
        <v>215</v>
      </c>
      <c r="F19" s="275" t="s">
        <v>216</v>
      </c>
      <c r="G19" s="275" t="s">
        <v>217</v>
      </c>
      <c r="H19" s="275" t="s">
        <v>218</v>
      </c>
      <c r="I19" s="275" t="s">
        <v>219</v>
      </c>
      <c r="J19" s="275" t="s">
        <v>220</v>
      </c>
      <c r="K19" s="276" t="s">
        <v>221</v>
      </c>
      <c r="L19" s="274" t="s">
        <v>222</v>
      </c>
      <c r="M19" s="275" t="s">
        <v>223</v>
      </c>
      <c r="N19" s="275" t="s">
        <v>224</v>
      </c>
      <c r="O19" s="275" t="s">
        <v>225</v>
      </c>
    </row>
    <row r="20" spans="2:20" x14ac:dyDescent="0.3"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8"/>
      <c r="M20" s="279"/>
      <c r="N20" s="279"/>
      <c r="O20" s="279"/>
      <c r="R20" s="26" t="s">
        <v>81</v>
      </c>
      <c r="S20" s="26" t="s">
        <v>82</v>
      </c>
    </row>
    <row r="21" spans="2:20" x14ac:dyDescent="0.3">
      <c r="B21" s="279" t="s">
        <v>226</v>
      </c>
      <c r="C21" s="280" t="s">
        <v>2</v>
      </c>
      <c r="D21" s="281">
        <v>506</v>
      </c>
      <c r="E21" s="282">
        <f>(ROUND(D21*K21,2)+ROUND(G21,2)+ROUND(J21,2))/ROUND(D21,4)</f>
        <v>0.60488142292490132</v>
      </c>
      <c r="F21" s="283">
        <f>ROUND(D21*E21,2)</f>
        <v>306.07</v>
      </c>
      <c r="G21" s="283">
        <f>((D21*K21)/(1-$N$21-$N$23))*($N$21+$N$23)</f>
        <v>8.3577060239108043</v>
      </c>
      <c r="H21" s="284">
        <f>((D21*K21)/(1-$N$21-$N$23)/(1-$I$21))</f>
        <v>306.0645996964443</v>
      </c>
      <c r="I21" s="285">
        <v>0.17</v>
      </c>
      <c r="J21" s="284">
        <f>(H21*$I$21)</f>
        <v>52.030981948395535</v>
      </c>
      <c r="K21" s="282">
        <f>IF(AND($B$14&lt;$F$2,$E$14&lt;$F$2),C6,IF($B$14&lt;$F$2,I6,F6))</f>
        <v>0.48552551724137932</v>
      </c>
      <c r="L21" s="47" t="s">
        <v>68</v>
      </c>
      <c r="M21" s="283">
        <f>D71</f>
        <v>460.78999069382695</v>
      </c>
      <c r="N21" s="286">
        <v>5.8999999999999999E-3</v>
      </c>
      <c r="O21" s="287">
        <f>ROUND(M21*N21,2)</f>
        <v>2.72</v>
      </c>
      <c r="R21" s="251">
        <f>IF(AND($B$14&lt;$F$2,$E$14&lt;$F$2),R6,IF($B$14&lt;$F$2,X6,U6))</f>
        <v>0.19522580694191483</v>
      </c>
      <c r="S21" s="134">
        <f>D21*R21</f>
        <v>98.784258312608898</v>
      </c>
    </row>
    <row r="22" spans="2:20" x14ac:dyDescent="0.3">
      <c r="B22" s="279" t="s">
        <v>227</v>
      </c>
      <c r="C22" s="280" t="s">
        <v>2</v>
      </c>
      <c r="D22" s="288">
        <f>D21</f>
        <v>506</v>
      </c>
      <c r="E22" s="282">
        <f>(ROUND(D22*K22,2)+ROUND(G22,2)+ROUND(J22,2))/ROUND(D22,4)</f>
        <v>0.40883399209486165</v>
      </c>
      <c r="F22" s="283">
        <f>ROUND(D22*E22,2)</f>
        <v>206.87</v>
      </c>
      <c r="G22" s="283">
        <f>((D22*K22)/(1-$N$21-$N$23))*($N$21+$N$23)</f>
        <v>5.6490422282757899</v>
      </c>
      <c r="H22" s="284">
        <f>ROUND((D22*K22)/(1-$N$21-$N$23)/(1-$I$21),8)</f>
        <v>206.87157975</v>
      </c>
      <c r="I22" s="279"/>
      <c r="J22" s="284">
        <f>ROUND(H22*$I$21,2)</f>
        <v>35.17</v>
      </c>
      <c r="K22" s="282">
        <f>IF(AND($B$14&lt;$F$2,$E$14&lt;$F$2),D6,IF($B$14&lt;$F$2,J6,G6))</f>
        <v>0.32817068965517238</v>
      </c>
      <c r="L22" s="47" t="s">
        <v>235</v>
      </c>
      <c r="M22" s="283">
        <f>D72</f>
        <v>-326.02626408851205</v>
      </c>
      <c r="N22" s="286">
        <f>N21</f>
        <v>5.8999999999999999E-3</v>
      </c>
      <c r="O22" s="287">
        <f>ROUND(M22*N22,2)</f>
        <v>-1.92</v>
      </c>
    </row>
    <row r="23" spans="2:20" x14ac:dyDescent="0.3">
      <c r="B23" s="279" t="s">
        <v>43</v>
      </c>
      <c r="C23" s="280" t="s">
        <v>2</v>
      </c>
      <c r="D23" s="288">
        <f>IF($K$12=M4,($D$21*($K$14)/($L$14+$K$14)),0)+IF($L$12=M4,($D$21*($L$14)/($L$14+$K$14)),0)</f>
        <v>0</v>
      </c>
      <c r="E23" s="282">
        <f>IFERROR((ROUND(D23*K23,2)+ROUND(G23,2)+ROUND(J23,2))/ROUND(D23,4), 0)</f>
        <v>0</v>
      </c>
      <c r="F23" s="283">
        <f>ROUND(D23*E23,2)</f>
        <v>0</v>
      </c>
      <c r="G23" s="283">
        <f>((D23*K23)/(1-$N$21-$N$23))*($N$21+$N$23)</f>
        <v>0</v>
      </c>
      <c r="H23" s="284">
        <f>ROUND((D23*K23)/(1-$N$21-$N$23)/(1-$I$21),8)</f>
        <v>0</v>
      </c>
      <c r="I23" s="279"/>
      <c r="J23" s="284">
        <f>ROUND(H23*$I$21,2)</f>
        <v>0</v>
      </c>
      <c r="K23" s="282">
        <f>N4</f>
        <v>1.8849999999999999E-2</v>
      </c>
      <c r="L23" s="47" t="s">
        <v>51</v>
      </c>
      <c r="M23" s="283">
        <f>M21</f>
        <v>460.78999069382695</v>
      </c>
      <c r="N23" s="286">
        <v>2.7E-2</v>
      </c>
      <c r="O23" s="287">
        <f>ROUND(M23*N23,2)</f>
        <v>12.44</v>
      </c>
      <c r="R23" s="290"/>
    </row>
    <row r="24" spans="2:20" x14ac:dyDescent="0.3">
      <c r="B24" s="279" t="s">
        <v>258</v>
      </c>
      <c r="C24" s="280" t="s">
        <v>2</v>
      </c>
      <c r="D24" s="288">
        <f t="shared" ref="D24:D26" si="4">IF($K$12=M5,($D$21*($K$14)/($L$14+$K$14)),0)+IF($L$12=M5,($D$21*($L$14)/($L$14+$K$14)),0)</f>
        <v>174.48275862068965</v>
      </c>
      <c r="E24" s="282">
        <f t="shared" ref="E24:E25" si="5">IFERROR((ROUND(D24*K24,2)+ROUND(G24,2)+ROUND(J24,2))/ROUND(D24,4), 0)</f>
        <v>5.559287219141372E-2</v>
      </c>
      <c r="F24" s="283">
        <f t="shared" ref="F24:F25" si="6">ROUND(D24*E24,2)</f>
        <v>9.6999999999999993</v>
      </c>
      <c r="G24" s="283">
        <f t="shared" ref="G24:G25" si="7">((D24*K24)/(1-$N$21-$N$23))*($N$21+$N$23)</f>
        <v>0.2649133962539979</v>
      </c>
      <c r="H24" s="284">
        <f t="shared" ref="H24:H25" si="8">ROUND((D24*K24)/(1-$N$21-$N$23)/(1-$I$21),8)</f>
        <v>9.7012999000000004</v>
      </c>
      <c r="I24" s="279"/>
      <c r="J24" s="284">
        <f t="shared" ref="J24:J25" si="9">ROUND(H24*$I$21,2)</f>
        <v>1.65</v>
      </c>
      <c r="K24" s="282">
        <f t="shared" ref="K24:K25" si="10">N5</f>
        <v>4.4630000000000003E-2</v>
      </c>
      <c r="L24" s="47" t="s">
        <v>236</v>
      </c>
      <c r="M24" s="283">
        <f>M22</f>
        <v>-326.02626408851205</v>
      </c>
      <c r="N24" s="286">
        <f>N23</f>
        <v>2.7E-2</v>
      </c>
      <c r="O24" s="287">
        <f>ROUND(M24*N24,2)</f>
        <v>-8.8000000000000007</v>
      </c>
    </row>
    <row r="25" spans="2:20" x14ac:dyDescent="0.3">
      <c r="B25" s="279" t="s">
        <v>259</v>
      </c>
      <c r="C25" s="280" t="s">
        <v>2</v>
      </c>
      <c r="D25" s="288">
        <f t="shared" si="4"/>
        <v>331.51724137931035</v>
      </c>
      <c r="E25" s="282">
        <f t="shared" si="5"/>
        <v>9.8124622191548438E-2</v>
      </c>
      <c r="F25" s="283">
        <f t="shared" si="6"/>
        <v>32.53</v>
      </c>
      <c r="G25" s="283">
        <f t="shared" si="7"/>
        <v>0.88836508231149669</v>
      </c>
      <c r="H25" s="284">
        <f t="shared" si="8"/>
        <v>32.532503839999997</v>
      </c>
      <c r="I25" s="279"/>
      <c r="J25" s="284">
        <f t="shared" si="9"/>
        <v>5.53</v>
      </c>
      <c r="K25" s="282">
        <f t="shared" si="10"/>
        <v>7.8770000000000007E-2</v>
      </c>
      <c r="L25" s="47"/>
      <c r="M25" s="283"/>
      <c r="N25" s="283"/>
      <c r="O25" s="283"/>
    </row>
    <row r="26" spans="2:20" x14ac:dyDescent="0.3">
      <c r="B26" s="279" t="s">
        <v>264</v>
      </c>
      <c r="C26" s="280" t="s">
        <v>2</v>
      </c>
      <c r="D26" s="288">
        <f t="shared" si="4"/>
        <v>0</v>
      </c>
      <c r="E26" s="282">
        <f t="shared" ref="E26" si="11">IFERROR((ROUND(D26*K26,2)+ROUND(G26,2)+ROUND(J26,2))/ROUND(D26,4), 0)</f>
        <v>0</v>
      </c>
      <c r="F26" s="283">
        <f t="shared" ref="F26" si="12">ROUND(D26*E26,2)</f>
        <v>0</v>
      </c>
      <c r="G26" s="283">
        <f t="shared" ref="G26" si="13">((D26*K26)/(1-$N$21-$N$23))*($N$21+$N$23)</f>
        <v>0</v>
      </c>
      <c r="H26" s="284">
        <f t="shared" ref="H26" si="14">ROUND((D26*K26)/(1-$N$21-$N$23)/(1-$I$21),8)</f>
        <v>0</v>
      </c>
      <c r="I26" s="279"/>
      <c r="J26" s="284">
        <f t="shared" ref="J26" si="15">ROUND(H26*$I$21,2)</f>
        <v>0</v>
      </c>
      <c r="K26" s="282">
        <f t="shared" ref="K26" si="16">N7</f>
        <v>0.14199999999999999</v>
      </c>
      <c r="L26" s="47"/>
      <c r="M26" s="283"/>
      <c r="N26" s="283"/>
      <c r="O26" s="283"/>
    </row>
    <row r="27" spans="2:20" x14ac:dyDescent="0.3">
      <c r="B27" s="279"/>
      <c r="C27" s="280"/>
      <c r="D27" s="288"/>
      <c r="E27" s="282"/>
      <c r="F27" s="283"/>
      <c r="G27" s="283"/>
      <c r="H27" s="284"/>
      <c r="I27" s="279"/>
      <c r="J27" s="284"/>
      <c r="K27" s="282"/>
      <c r="L27" s="47"/>
      <c r="M27" s="283"/>
      <c r="N27" s="283"/>
      <c r="O27" s="283"/>
    </row>
    <row r="28" spans="2:20" x14ac:dyDescent="0.3">
      <c r="B28" s="279" t="s">
        <v>232</v>
      </c>
      <c r="C28" s="280" t="s">
        <v>2</v>
      </c>
      <c r="D28" s="281">
        <v>-358</v>
      </c>
      <c r="E28" s="282">
        <f t="shared" ref="E28:E29" si="17">IFERROR((ROUND(D28*K28,2)+ROUND(G28,2)+ROUND(J28,2))/ROUND(D28,4),0)</f>
        <v>0.50203910614525138</v>
      </c>
      <c r="F28" s="283">
        <f>ROUND(D28*E28,2)</f>
        <v>-179.73</v>
      </c>
      <c r="G28" s="283">
        <f>((D28*K28)/(1-$N$22-$N$24))*($N$22+$N$24)</f>
        <v>-5.913159597944798</v>
      </c>
      <c r="H28" s="284">
        <v>0</v>
      </c>
      <c r="I28" s="285">
        <v>0</v>
      </c>
      <c r="J28" s="279">
        <f>H28*$I$21</f>
        <v>0</v>
      </c>
      <c r="K28" s="282">
        <f>K21</f>
        <v>0.48552551724137932</v>
      </c>
      <c r="L28" s="47"/>
      <c r="M28" s="283"/>
      <c r="N28" s="283"/>
      <c r="O28" s="283"/>
    </row>
    <row r="29" spans="2:20" x14ac:dyDescent="0.3">
      <c r="B29" s="279" t="s">
        <v>233</v>
      </c>
      <c r="C29" s="280" t="s">
        <v>2</v>
      </c>
      <c r="D29" s="288">
        <f>D28</f>
        <v>-358</v>
      </c>
      <c r="E29" s="282">
        <f t="shared" si="17"/>
        <v>0.40885474860335197</v>
      </c>
      <c r="F29" s="283">
        <f>ROUND(D29*E29,2)</f>
        <v>-146.37</v>
      </c>
      <c r="G29" s="283">
        <f>((D29*K29)/(1-$N$22-$N$24))*($N$22+$N$24)</f>
        <v>-3.9967531970804999</v>
      </c>
      <c r="H29" s="284">
        <f>ROUND((D29*K29)/(1-$N$22-$N$24)/(1-$I$21),8)</f>
        <v>-146.36368686</v>
      </c>
      <c r="I29" s="285">
        <f>I21</f>
        <v>0.17</v>
      </c>
      <c r="J29" s="284">
        <f>H29*$I$21</f>
        <v>-24.881826766200003</v>
      </c>
      <c r="K29" s="282">
        <f>K22</f>
        <v>0.32817068965517238</v>
      </c>
      <c r="L29" s="47"/>
      <c r="M29" s="283"/>
      <c r="N29" s="283"/>
      <c r="O29" s="283"/>
    </row>
    <row r="30" spans="2:20" x14ac:dyDescent="0.3">
      <c r="B30" s="279" t="s">
        <v>234</v>
      </c>
      <c r="C30" s="280" t="s">
        <v>2</v>
      </c>
      <c r="D30" s="288">
        <f>IF($K$12=M4,($D$28*($K$14)/($K$14+$L$14)),0)+IF($L$12=M4,($D$28*($L$14)/($K$14+$L$14)),0)</f>
        <v>0</v>
      </c>
      <c r="E30" s="282">
        <f>IFERROR((ROUND(D30*K30,2)+ROUND(G30,2)+ROUND(J30,2))/ROUND(D30,4),0)</f>
        <v>0</v>
      </c>
      <c r="F30" s="283">
        <f t="shared" ref="F30" si="18">ROUND(D30*E30,2)</f>
        <v>0</v>
      </c>
      <c r="G30" s="283">
        <f>((D30*K30)/(1-$N$22-$N$24))*($N$22+$N$24)</f>
        <v>0</v>
      </c>
      <c r="H30" s="284">
        <f>(D30*K30)/(1-$N$22-$N$24)/(1-$I$21)</f>
        <v>0</v>
      </c>
      <c r="I30" s="279"/>
      <c r="J30" s="284">
        <f>H30*$I$21</f>
        <v>0</v>
      </c>
      <c r="K30" s="282">
        <f>N4</f>
        <v>1.8849999999999999E-2</v>
      </c>
      <c r="L30" s="261"/>
      <c r="M30" s="289"/>
      <c r="N30" s="289"/>
      <c r="O30" s="289"/>
      <c r="R30" s="290"/>
    </row>
    <row r="31" spans="2:20" x14ac:dyDescent="0.3">
      <c r="B31" s="279" t="s">
        <v>261</v>
      </c>
      <c r="C31" s="280" t="s">
        <v>2</v>
      </c>
      <c r="D31" s="288">
        <f t="shared" ref="D31:D33" si="19">IF($K$12=M5,($D$28*($K$14)/($K$14+$L$14)),0)+IF($L$12=M5,($D$28*($L$14)/($K$14+$L$14)),0)</f>
        <v>-123.44827586206897</v>
      </c>
      <c r="E31" s="282">
        <f t="shared" ref="E31:E33" si="20">IFERROR((ROUND(D31*K31,2)+ROUND(G31,2)+ROUND(J31,2))/ROUND(D31,4),0)</f>
        <v>5.5650827107380174E-2</v>
      </c>
      <c r="F31" s="283">
        <f t="shared" ref="F31:F33" si="21">ROUND(D31*E31,2)</f>
        <v>-6.87</v>
      </c>
      <c r="G31" s="283">
        <f t="shared" ref="G31:G33" si="22">((D31*K31)/(1-$N$22-$N$24))*($N$22+$N$24)</f>
        <v>-0.18742884557101039</v>
      </c>
      <c r="H31" s="284">
        <f t="shared" ref="H31:H33" si="23">(D31*K31)/(1-$N$22-$N$24)/(1-$I$21)</f>
        <v>-6.863765538909818</v>
      </c>
      <c r="I31" s="279"/>
      <c r="J31" s="284">
        <f t="shared" ref="J31:J33" si="24">H31*$I$21</f>
        <v>-1.1668401416146692</v>
      </c>
      <c r="K31" s="282">
        <f t="shared" ref="K31:K33" si="25">N5</f>
        <v>4.4630000000000003E-2</v>
      </c>
      <c r="O31" s="278"/>
      <c r="Q31" s="56"/>
      <c r="R31" s="161"/>
      <c r="S31" s="291"/>
      <c r="T31" s="56"/>
    </row>
    <row r="32" spans="2:20" x14ac:dyDescent="0.3">
      <c r="B32" s="279" t="s">
        <v>262</v>
      </c>
      <c r="C32" s="280" t="s">
        <v>2</v>
      </c>
      <c r="D32" s="288">
        <f t="shared" si="19"/>
        <v>-234.55172413793105</v>
      </c>
      <c r="E32" s="282">
        <f t="shared" si="20"/>
        <v>9.8144673434470947E-2</v>
      </c>
      <c r="F32" s="283">
        <f t="shared" si="21"/>
        <v>-23.02</v>
      </c>
      <c r="G32" s="283">
        <f t="shared" si="22"/>
        <v>-0.6285270740464739</v>
      </c>
      <c r="H32" s="284">
        <f t="shared" si="23"/>
        <v>-23.017067933001574</v>
      </c>
      <c r="I32" s="279"/>
      <c r="J32" s="284">
        <f t="shared" si="24"/>
        <v>-3.9129015486102676</v>
      </c>
      <c r="K32" s="282">
        <f t="shared" si="25"/>
        <v>7.8770000000000007E-2</v>
      </c>
      <c r="O32" s="278"/>
      <c r="S32" s="291"/>
    </row>
    <row r="33" spans="1:22" x14ac:dyDescent="0.3">
      <c r="B33" s="279" t="s">
        <v>263</v>
      </c>
      <c r="C33" s="280" t="s">
        <v>2</v>
      </c>
      <c r="D33" s="288">
        <f t="shared" si="19"/>
        <v>0</v>
      </c>
      <c r="E33" s="282">
        <f t="shared" si="20"/>
        <v>0</v>
      </c>
      <c r="F33" s="283">
        <f t="shared" si="21"/>
        <v>0</v>
      </c>
      <c r="G33" s="283">
        <f t="shared" si="22"/>
        <v>0</v>
      </c>
      <c r="H33" s="284">
        <f t="shared" si="23"/>
        <v>0</v>
      </c>
      <c r="I33" s="279"/>
      <c r="J33" s="284">
        <f t="shared" si="24"/>
        <v>0</v>
      </c>
      <c r="K33" s="282">
        <f t="shared" si="25"/>
        <v>0.14199999999999999</v>
      </c>
      <c r="O33" s="278"/>
      <c r="S33" s="291"/>
    </row>
    <row r="34" spans="1:22" x14ac:dyDescent="0.3">
      <c r="B34" s="279"/>
      <c r="C34" s="280"/>
      <c r="D34" s="288"/>
      <c r="E34" s="282"/>
      <c r="F34" s="283"/>
      <c r="G34" s="283"/>
      <c r="H34" s="284"/>
      <c r="I34" s="279"/>
      <c r="J34" s="284"/>
      <c r="K34" s="282"/>
      <c r="O34" s="278"/>
      <c r="S34" s="291"/>
    </row>
    <row r="35" spans="1:22" x14ac:dyDescent="0.3">
      <c r="B35" s="279" t="s">
        <v>229</v>
      </c>
      <c r="C35" s="279"/>
      <c r="D35" s="288"/>
      <c r="E35" s="279"/>
      <c r="F35" s="292"/>
      <c r="G35" s="279"/>
      <c r="H35" s="279"/>
      <c r="I35" s="279"/>
      <c r="J35" s="279"/>
      <c r="K35" s="279"/>
      <c r="O35" s="278"/>
      <c r="S35" s="291"/>
    </row>
    <row r="36" spans="1:22" x14ac:dyDescent="0.3">
      <c r="B36" s="279" t="s">
        <v>228</v>
      </c>
      <c r="C36" s="279"/>
      <c r="D36" s="288"/>
      <c r="E36" s="279"/>
      <c r="F36" s="292">
        <v>3.08</v>
      </c>
      <c r="G36" s="279"/>
      <c r="H36" s="279"/>
      <c r="I36" s="279"/>
      <c r="J36" s="279"/>
      <c r="K36" s="279"/>
      <c r="O36" s="278"/>
      <c r="S36" s="291"/>
    </row>
    <row r="37" spans="1:22" x14ac:dyDescent="0.3">
      <c r="B37" s="279" t="s">
        <v>377</v>
      </c>
      <c r="C37" s="279"/>
      <c r="D37" s="288"/>
      <c r="E37" s="279"/>
      <c r="F37" s="292"/>
      <c r="G37" s="279"/>
      <c r="H37" s="279"/>
      <c r="I37" s="279"/>
      <c r="J37" s="279"/>
      <c r="K37" s="279"/>
      <c r="O37" s="278"/>
      <c r="S37" s="291"/>
    </row>
    <row r="38" spans="1:22" x14ac:dyDescent="0.3">
      <c r="B38" s="279" t="s">
        <v>260</v>
      </c>
      <c r="C38" s="279"/>
      <c r="D38" s="288"/>
      <c r="E38" s="279"/>
      <c r="F38" s="292"/>
      <c r="G38" s="279"/>
      <c r="H38" s="279"/>
      <c r="I38" s="279"/>
      <c r="J38" s="279"/>
      <c r="K38" s="279"/>
      <c r="O38" s="278"/>
      <c r="S38" s="291"/>
    </row>
    <row r="39" spans="1:22" x14ac:dyDescent="0.3">
      <c r="B39" s="279" t="s">
        <v>230</v>
      </c>
      <c r="C39" s="279"/>
      <c r="D39" s="288"/>
      <c r="E39" s="279"/>
      <c r="F39" s="292">
        <v>44.5</v>
      </c>
      <c r="G39" s="279"/>
      <c r="H39" s="279"/>
      <c r="I39" s="279"/>
      <c r="J39" s="279"/>
      <c r="K39" s="279"/>
      <c r="O39" s="278"/>
    </row>
    <row r="40" spans="1:22" x14ac:dyDescent="0.3">
      <c r="B40" s="279"/>
      <c r="C40" s="279"/>
      <c r="D40" s="288"/>
      <c r="E40" s="279"/>
      <c r="F40" s="279"/>
      <c r="G40" s="279"/>
      <c r="H40" s="279"/>
      <c r="I40" s="279"/>
      <c r="J40" s="279"/>
      <c r="K40" s="279"/>
      <c r="O40" s="278"/>
    </row>
    <row r="41" spans="1:22" x14ac:dyDescent="0.3">
      <c r="B41" s="279"/>
      <c r="C41" s="279"/>
      <c r="D41" s="288"/>
      <c r="E41" s="279"/>
      <c r="F41" s="279"/>
      <c r="G41" s="279"/>
      <c r="H41" s="279"/>
      <c r="I41" s="279"/>
      <c r="J41" s="279"/>
      <c r="K41" s="279"/>
      <c r="O41" s="278"/>
    </row>
    <row r="42" spans="1:22" x14ac:dyDescent="0.3">
      <c r="B42" s="293" t="s">
        <v>135</v>
      </c>
      <c r="C42" s="289"/>
      <c r="D42" s="294"/>
      <c r="E42" s="289"/>
      <c r="F42" s="295">
        <f>SUM(F21:F41)</f>
        <v>246.76000000000005</v>
      </c>
      <c r="G42" s="296">
        <f>SUM(G21:G41)</f>
        <v>4.4341580161093068</v>
      </c>
      <c r="H42" s="297">
        <f>SUM(H21:H41)</f>
        <v>378.92546285453284</v>
      </c>
      <c r="I42" s="289"/>
      <c r="J42" s="297">
        <f>SUM(J21:J41)</f>
        <v>64.419413491970602</v>
      </c>
      <c r="K42" s="289"/>
      <c r="L42" s="75"/>
      <c r="M42" s="75"/>
      <c r="N42" s="75"/>
      <c r="O42" s="261"/>
    </row>
    <row r="44" spans="1:22" x14ac:dyDescent="0.3">
      <c r="B44" s="298" t="s">
        <v>231</v>
      </c>
      <c r="C44" s="299">
        <f>(D21+D28)</f>
        <v>148</v>
      </c>
      <c r="D44" s="300">
        <f>IF(AND($B$14&lt;$F$2,$E$14&lt;$F$2),C7,IF($B$14&lt;$F$2,I7,F7))</f>
        <v>1.810855018542666E-4</v>
      </c>
      <c r="E44" s="300">
        <f>IF(AND($B$14&lt;$F$2,$E$14&lt;$F$2),D7,IF($B$14&lt;$F$2,J7,G7))</f>
        <v>-8.1549352177414592E-5</v>
      </c>
      <c r="F44" s="298">
        <f>C44*(D44+E44)</f>
        <v>1.4731350152174097E-2</v>
      </c>
    </row>
    <row r="45" spans="1:22" x14ac:dyDescent="0.3"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x14ac:dyDescent="0.3">
      <c r="B46" s="459" t="s">
        <v>39</v>
      </c>
      <c r="C46" s="460"/>
      <c r="D46" s="460"/>
      <c r="E46" s="460"/>
      <c r="F46" s="460"/>
      <c r="G46" s="460"/>
      <c r="H46" s="461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x14ac:dyDescent="0.3">
      <c r="B47" s="41"/>
      <c r="D47" s="46" t="s">
        <v>40</v>
      </c>
      <c r="E47" s="46" t="s">
        <v>10</v>
      </c>
      <c r="F47" s="46" t="s">
        <v>9</v>
      </c>
      <c r="G47" s="46" t="s">
        <v>34</v>
      </c>
      <c r="H47" s="47" t="s">
        <v>7</v>
      </c>
      <c r="I47"/>
      <c r="J47" s="46" t="s">
        <v>8</v>
      </c>
      <c r="K47"/>
      <c r="L47"/>
      <c r="M47"/>
      <c r="N47"/>
      <c r="O47"/>
      <c r="P47"/>
      <c r="Q47"/>
      <c r="R47"/>
      <c r="S47"/>
      <c r="T47"/>
      <c r="U47"/>
      <c r="V47"/>
    </row>
    <row r="48" spans="1:22" x14ac:dyDescent="0.3">
      <c r="A48" s="19" t="s">
        <v>8</v>
      </c>
      <c r="B48" s="48" t="s">
        <v>41</v>
      </c>
      <c r="C48" s="49"/>
      <c r="D48" s="50"/>
      <c r="E48" s="50"/>
      <c r="F48" s="50"/>
      <c r="G48" s="50"/>
      <c r="H48" s="51">
        <f>SUM(H50:H66)+SUM(H71:H76)</f>
        <v>199.1798007801068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x14ac:dyDescent="0.3">
      <c r="A49" s="19" t="s">
        <v>8</v>
      </c>
      <c r="B49" s="41"/>
      <c r="D49" s="46"/>
      <c r="E49" s="46"/>
      <c r="F49" s="46"/>
      <c r="G49" s="46"/>
      <c r="H49" s="52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x14ac:dyDescent="0.3">
      <c r="A50" s="19" t="s">
        <v>8</v>
      </c>
      <c r="B50" s="41" t="s">
        <v>42</v>
      </c>
      <c r="D50" s="89">
        <f>D21</f>
        <v>506</v>
      </c>
      <c r="E50" s="53">
        <f>IF(AND($B$14&lt;$F$2,$E$14&lt;$F$2),C6,IF($B$14&lt;$F$2,I6,F6))</f>
        <v>0.48552551724137932</v>
      </c>
      <c r="F50" s="53">
        <f>IF(AND($B$14&lt;$F$2,$E$14&lt;$F$2),D6,IF($B$14&lt;$F$2,J6,G6))</f>
        <v>0.32817068965517238</v>
      </c>
      <c r="G50" s="53">
        <f>E50+F50</f>
        <v>0.81369620689655164</v>
      </c>
      <c r="H50" s="54">
        <f>ROUND((D50*E50),2)+ROUND((D50*F50),2)</f>
        <v>411.73</v>
      </c>
      <c r="I50"/>
      <c r="J50"/>
      <c r="K50"/>
      <c r="L50"/>
      <c r="M50" s="90"/>
      <c r="N50"/>
      <c r="O50"/>
      <c r="P50"/>
      <c r="Q50"/>
      <c r="R50"/>
      <c r="S50"/>
      <c r="T50"/>
      <c r="U50"/>
      <c r="V50"/>
    </row>
    <row r="51" spans="1:22" x14ac:dyDescent="0.3">
      <c r="B51" s="41"/>
      <c r="D51" s="55"/>
      <c r="E51" s="56"/>
      <c r="F51" s="57"/>
      <c r="G51" s="57"/>
      <c r="H51" s="54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x14ac:dyDescent="0.3">
      <c r="B52" s="41" t="s">
        <v>43</v>
      </c>
      <c r="D52" s="58">
        <f>IF($K$12=M4,(D50*(K14)/(K14+L14)),0)+IF($L$12=M4,(D50*(L14)/(K14+L14)),0)</f>
        <v>0</v>
      </c>
      <c r="F52" s="59">
        <f>N4</f>
        <v>1.8849999999999999E-2</v>
      </c>
      <c r="G52" s="59"/>
      <c r="H52" s="54">
        <f>ROUND(D52*(E52+F52),2)</f>
        <v>0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 x14ac:dyDescent="0.3">
      <c r="B53" s="41" t="s">
        <v>44</v>
      </c>
      <c r="D53" s="58">
        <f>IF($K$12=M5,(D50*(K14)/(K14+L14)),0)+IF($L$12=M5,(D50*(L14)/(K14+L14)),0)</f>
        <v>174.48275862068965</v>
      </c>
      <c r="F53" s="59">
        <f>N5</f>
        <v>4.4630000000000003E-2</v>
      </c>
      <c r="G53" s="59"/>
      <c r="H53" s="54">
        <f>ROUND(D53*(E53+F53),2)</f>
        <v>7.79</v>
      </c>
      <c r="I53"/>
      <c r="J53"/>
      <c r="K53"/>
      <c r="L53" s="98"/>
      <c r="M53"/>
      <c r="N53"/>
      <c r="O53"/>
      <c r="P53"/>
      <c r="Q53"/>
      <c r="R53"/>
      <c r="S53"/>
      <c r="T53"/>
      <c r="U53"/>
      <c r="V53"/>
    </row>
    <row r="54" spans="1:22" x14ac:dyDescent="0.3">
      <c r="B54" s="41" t="s">
        <v>45</v>
      </c>
      <c r="D54" s="58">
        <f>IF($K$12=M6,(D50*(K14)/(K14+L14)),0)+IF($L$12=M6,(D50*(L14)/(K14+L14)),0)</f>
        <v>331.51724137931035</v>
      </c>
      <c r="F54" s="59">
        <f>N6</f>
        <v>7.8770000000000007E-2</v>
      </c>
      <c r="G54" s="59"/>
      <c r="H54" s="54">
        <f>ROUND(D54*(E54+F54),2)</f>
        <v>26.11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3">
      <c r="B55" s="41" t="s">
        <v>46</v>
      </c>
      <c r="D55" s="58">
        <f>IF($K$12=M8,(D50*(K14)/(K14+L14)),0)+IF($L$12=M8,(D50*(L14)/(K14+L14)),0)</f>
        <v>0</v>
      </c>
      <c r="F55" s="59">
        <f>N8</f>
        <v>0</v>
      </c>
      <c r="G55" s="59"/>
      <c r="H55" s="54">
        <f>ROUND(D55*(E55+F55),2)</f>
        <v>0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x14ac:dyDescent="0.3">
      <c r="B56" s="41"/>
      <c r="D56" s="60"/>
      <c r="H56" s="54"/>
      <c r="I56" s="1"/>
      <c r="J56" s="1"/>
      <c r="K56" s="90"/>
      <c r="L56" s="1"/>
      <c r="M56" s="1"/>
      <c r="N56" s="1"/>
      <c r="O56" s="1"/>
      <c r="P56" s="1"/>
    </row>
    <row r="57" spans="1:22" x14ac:dyDescent="0.3">
      <c r="B57" s="41" t="s">
        <v>47</v>
      </c>
      <c r="D57" s="218">
        <f>D28</f>
        <v>-358</v>
      </c>
      <c r="E57" s="53">
        <f>E50*F17</f>
        <v>0.48552551724137932</v>
      </c>
      <c r="F57" s="53">
        <f>F50</f>
        <v>0.32817068965517238</v>
      </c>
      <c r="G57" s="53">
        <f>E57+F57</f>
        <v>0.81369620689655164</v>
      </c>
      <c r="H57" s="54">
        <f>ROUND((D57*E57),2)+ROUND((D57*F57),2)</f>
        <v>-291.31</v>
      </c>
      <c r="I57" s="1"/>
      <c r="J57" s="1"/>
      <c r="K57" s="90"/>
      <c r="L57" s="1"/>
      <c r="M57" s="90"/>
      <c r="N57" s="1"/>
      <c r="O57" s="1"/>
      <c r="P57" s="1"/>
    </row>
    <row r="58" spans="1:22" x14ac:dyDescent="0.3">
      <c r="B58" s="41"/>
      <c r="D58" s="55"/>
      <c r="E58" s="56"/>
      <c r="F58" s="57"/>
      <c r="G58" s="57"/>
      <c r="H58" s="54"/>
      <c r="I58" s="1"/>
      <c r="J58" s="1"/>
      <c r="K58" s="90"/>
      <c r="L58" s="1"/>
      <c r="M58" s="1"/>
      <c r="N58" s="1"/>
      <c r="O58" s="1"/>
      <c r="P58" s="1"/>
    </row>
    <row r="59" spans="1:22" x14ac:dyDescent="0.3">
      <c r="B59" s="41" t="s">
        <v>43</v>
      </c>
      <c r="D59" s="58">
        <f>IF($K$12=M4,(D57*(K14)/(K14+L14)),0)+IF($L$12=M4,(D57*(L14)/(K14+L14)),0)</f>
        <v>0</v>
      </c>
      <c r="F59" s="59">
        <f>F52</f>
        <v>1.8849999999999999E-2</v>
      </c>
      <c r="G59" s="59"/>
      <c r="H59" s="54">
        <f>ROUND(D59*(E59+F59),2)</f>
        <v>0</v>
      </c>
      <c r="I59" s="1"/>
      <c r="J59" s="1"/>
      <c r="K59" s="1"/>
      <c r="L59" s="1"/>
      <c r="M59" s="1"/>
      <c r="N59" s="1"/>
      <c r="O59" s="1"/>
      <c r="P59" s="1"/>
    </row>
    <row r="60" spans="1:22" x14ac:dyDescent="0.3">
      <c r="B60" s="41" t="s">
        <v>44</v>
      </c>
      <c r="D60" s="58">
        <f>IF($K$12=M5,(D57*(K14)/(K14+L14)),0)+IF($L$12=M5,(D57*(L14)/(K14+L14)),0)</f>
        <v>-123.44827586206897</v>
      </c>
      <c r="F60" s="59">
        <f t="shared" ref="F60:F62" si="26">F53</f>
        <v>4.4630000000000003E-2</v>
      </c>
      <c r="G60" s="59"/>
      <c r="H60" s="54">
        <f>ROUND(D60*(E60+F60),2)</f>
        <v>-5.51</v>
      </c>
      <c r="I60" s="1"/>
      <c r="J60" s="1"/>
      <c r="K60" s="1"/>
      <c r="L60" s="1"/>
      <c r="M60" s="1"/>
      <c r="N60" s="1"/>
      <c r="O60" s="1"/>
      <c r="P60" s="1"/>
    </row>
    <row r="61" spans="1:22" x14ac:dyDescent="0.3">
      <c r="B61" s="41" t="s">
        <v>45</v>
      </c>
      <c r="D61" s="58">
        <f>IF($K$12=M6,(D57*(K14)/(K14+L14)),0)+IF($L$12=M6,(D57*(L14)/(K14+L14)),0)</f>
        <v>-234.55172413793105</v>
      </c>
      <c r="F61" s="59">
        <f t="shared" si="26"/>
        <v>7.8770000000000007E-2</v>
      </c>
      <c r="G61" s="59"/>
      <c r="H61" s="54">
        <f>ROUND(D61*(E61+F61),2)</f>
        <v>-18.48</v>
      </c>
      <c r="I61" s="1"/>
      <c r="J61" s="1"/>
      <c r="K61" s="1"/>
      <c r="L61" s="1"/>
      <c r="M61" s="1"/>
      <c r="N61" s="1"/>
      <c r="O61" s="1"/>
      <c r="P61" s="1"/>
    </row>
    <row r="62" spans="1:22" x14ac:dyDescent="0.3">
      <c r="B62" s="41" t="s">
        <v>46</v>
      </c>
      <c r="D62" s="58">
        <f>IF($K$12=M8,(D57*(K14)/(K14+L14)),0)+IF($L$12=M8,(D57*(L14)/(K14+L14)),0)</f>
        <v>0</v>
      </c>
      <c r="F62" s="59">
        <f t="shared" si="26"/>
        <v>0</v>
      </c>
      <c r="G62" s="59"/>
      <c r="H62" s="54">
        <f>ROUND(D62*(E62+F62),2)</f>
        <v>0</v>
      </c>
      <c r="J62" s="1"/>
      <c r="K62" s="1"/>
      <c r="L62" s="1"/>
      <c r="M62" s="1"/>
      <c r="N62" s="1"/>
      <c r="O62" s="1"/>
      <c r="P62" s="1"/>
    </row>
    <row r="63" spans="1:22" x14ac:dyDescent="0.3">
      <c r="B63" s="41"/>
      <c r="D63" s="58"/>
      <c r="F63" s="59"/>
      <c r="G63" s="59"/>
      <c r="H63" s="54"/>
      <c r="J63" s="1"/>
      <c r="K63" s="1"/>
      <c r="L63" s="1"/>
      <c r="M63" s="1"/>
      <c r="N63" s="1"/>
      <c r="O63" s="1"/>
      <c r="P63" s="1"/>
    </row>
    <row r="64" spans="1:22" x14ac:dyDescent="0.3">
      <c r="B64" s="116"/>
      <c r="C64" s="117"/>
      <c r="D64" s="118"/>
      <c r="E64" s="119"/>
      <c r="F64" s="120"/>
      <c r="G64" s="119"/>
      <c r="H64" s="121"/>
      <c r="I64" s="113"/>
      <c r="J64" s="1"/>
      <c r="K64" s="1"/>
      <c r="L64" s="1"/>
      <c r="M64" s="1"/>
      <c r="N64" s="1"/>
      <c r="O64" s="1"/>
      <c r="P64" s="1"/>
    </row>
    <row r="65" spans="2:16" x14ac:dyDescent="0.3">
      <c r="B65" s="116"/>
      <c r="C65" s="117"/>
      <c r="D65" s="122"/>
      <c r="E65" s="117"/>
      <c r="F65" s="123"/>
      <c r="G65" s="123"/>
      <c r="H65" s="121"/>
      <c r="I65" s="1"/>
      <c r="J65" s="1"/>
      <c r="K65" s="1"/>
      <c r="L65" s="1"/>
      <c r="M65" s="1"/>
      <c r="N65" s="1"/>
      <c r="O65" s="1"/>
      <c r="P65" s="1"/>
    </row>
    <row r="66" spans="2:16" x14ac:dyDescent="0.3">
      <c r="B66" s="116"/>
      <c r="C66" s="117"/>
      <c r="D66" s="118"/>
      <c r="E66" s="119"/>
      <c r="F66" s="120"/>
      <c r="G66" s="119"/>
      <c r="H66" s="121"/>
      <c r="I66" s="97"/>
      <c r="K66" s="1"/>
      <c r="L66" s="1"/>
      <c r="M66" s="1"/>
      <c r="N66" s="1"/>
      <c r="O66" s="1"/>
      <c r="P66" s="1"/>
    </row>
    <row r="67" spans="2:16" x14ac:dyDescent="0.3">
      <c r="B67" s="61"/>
      <c r="C67" s="24"/>
      <c r="D67" s="24"/>
      <c r="E67" s="24"/>
      <c r="F67" s="24"/>
      <c r="G67" s="24"/>
      <c r="H67" s="62"/>
      <c r="I67"/>
      <c r="J67" s="1"/>
      <c r="K67" s="1"/>
      <c r="L67" s="1"/>
      <c r="M67" s="1"/>
      <c r="N67" s="1"/>
      <c r="O67" s="1"/>
      <c r="P67" s="1"/>
    </row>
    <row r="68" spans="2:16" x14ac:dyDescent="0.3">
      <c r="B68" s="34"/>
      <c r="C68" s="35"/>
      <c r="D68" s="35"/>
      <c r="E68" s="35"/>
      <c r="F68" s="35"/>
      <c r="G68" s="35"/>
      <c r="H68" s="96">
        <f>SUM(H50:H67)</f>
        <v>130.33000000000007</v>
      </c>
      <c r="I68" s="1"/>
      <c r="L68" s="1"/>
      <c r="M68" s="1"/>
      <c r="N68" s="1"/>
      <c r="O68" s="1"/>
      <c r="P68" s="1"/>
    </row>
    <row r="69" spans="2:16" x14ac:dyDescent="0.3">
      <c r="B69" s="95"/>
      <c r="C69" s="1"/>
      <c r="D69" s="1"/>
      <c r="E69" s="1"/>
      <c r="F69" s="1"/>
      <c r="G69" s="1"/>
      <c r="H69" s="43"/>
      <c r="I69" s="1"/>
      <c r="L69" s="1"/>
      <c r="M69" s="1"/>
      <c r="N69" s="1"/>
      <c r="O69" s="1"/>
      <c r="P69" s="1"/>
    </row>
    <row r="70" spans="2:16" x14ac:dyDescent="0.3">
      <c r="B70" s="41"/>
      <c r="D70" s="63" t="s">
        <v>48</v>
      </c>
      <c r="E70" s="64"/>
      <c r="F70" s="64"/>
      <c r="G70" s="64"/>
      <c r="H70" s="65"/>
      <c r="I70" s="66"/>
      <c r="K70" s="67"/>
      <c r="L70" s="1"/>
      <c r="M70" s="1"/>
      <c r="N70" s="1"/>
      <c r="O70" s="1"/>
      <c r="P70" s="1"/>
    </row>
    <row r="71" spans="2:16" x14ac:dyDescent="0.3">
      <c r="B71" s="41" t="s">
        <v>49</v>
      </c>
      <c r="D71" s="68">
        <f>(H50+H52+H53+H54+H55)/(1-E71-E73)</f>
        <v>460.78999069382695</v>
      </c>
      <c r="E71" s="69">
        <f>N21</f>
        <v>5.8999999999999999E-3</v>
      </c>
      <c r="H71" s="70">
        <f>D71*E71</f>
        <v>2.7186609450935788</v>
      </c>
      <c r="I71" s="67"/>
      <c r="L71" s="1"/>
      <c r="M71" s="1"/>
      <c r="N71" s="1"/>
      <c r="O71" s="1"/>
      <c r="P71" s="1"/>
    </row>
    <row r="72" spans="2:16" x14ac:dyDescent="0.3">
      <c r="B72" s="41" t="s">
        <v>50</v>
      </c>
      <c r="D72" s="68">
        <f>(H57+H59+H60+H61+H62+H64+H66)/(1-E71-E73)</f>
        <v>-326.02626408851205</v>
      </c>
      <c r="E72" s="71">
        <f>E71</f>
        <v>5.8999999999999999E-3</v>
      </c>
      <c r="H72" s="70">
        <f t="shared" ref="H72:H74" si="27">D72*E72</f>
        <v>-1.9235549581222211</v>
      </c>
      <c r="I72" s="67"/>
      <c r="L72" s="1"/>
      <c r="M72" s="1"/>
      <c r="N72" s="1"/>
      <c r="O72" s="1"/>
      <c r="P72" s="1"/>
    </row>
    <row r="73" spans="2:16" x14ac:dyDescent="0.3">
      <c r="B73" s="41" t="s">
        <v>51</v>
      </c>
      <c r="D73" s="68">
        <f>D71</f>
        <v>460.78999069382695</v>
      </c>
      <c r="E73" s="69">
        <f>N23</f>
        <v>2.7E-2</v>
      </c>
      <c r="H73" s="70">
        <f t="shared" si="27"/>
        <v>12.441329748733327</v>
      </c>
      <c r="I73" s="67"/>
      <c r="L73" s="1"/>
      <c r="M73" s="1"/>
      <c r="N73" s="1"/>
      <c r="O73" s="1"/>
      <c r="P73" s="1"/>
    </row>
    <row r="74" spans="2:16" x14ac:dyDescent="0.3">
      <c r="B74" s="41" t="s">
        <v>52</v>
      </c>
      <c r="D74" s="68">
        <f>D72</f>
        <v>-326.02626408851205</v>
      </c>
      <c r="E74" s="71">
        <f>E73</f>
        <v>2.7E-2</v>
      </c>
      <c r="H74" s="70">
        <f t="shared" si="27"/>
        <v>-8.8027091303898253</v>
      </c>
      <c r="I74" s="67"/>
      <c r="L74" s="1"/>
      <c r="M74" s="1"/>
      <c r="N74" s="1"/>
      <c r="O74" s="1"/>
      <c r="P74" s="1"/>
    </row>
    <row r="75" spans="2:16" x14ac:dyDescent="0.3">
      <c r="B75" s="41" t="s">
        <v>11</v>
      </c>
      <c r="D75" s="72">
        <f>D71/(1-E75)</f>
        <v>555.16866348653855</v>
      </c>
      <c r="E75" s="73">
        <v>0.17</v>
      </c>
      <c r="H75" s="70">
        <f>D75*E75</f>
        <v>94.378672792711555</v>
      </c>
      <c r="I75" s="67"/>
      <c r="L75" s="1"/>
      <c r="M75" s="1"/>
      <c r="N75" s="1"/>
      <c r="O75" s="1"/>
      <c r="P75" s="1"/>
    </row>
    <row r="76" spans="2:16" x14ac:dyDescent="0.3">
      <c r="B76" s="74" t="s">
        <v>53</v>
      </c>
      <c r="C76" s="75"/>
      <c r="D76" s="76">
        <f>((D57*F57)+(H59+H60+H61+H62)+(D64*F64)+(D66*F66))/(1-E72-E74)/(1-E76)</f>
        <v>-176.25058010540982</v>
      </c>
      <c r="E76" s="77">
        <f>E75</f>
        <v>0.17</v>
      </c>
      <c r="F76" s="75"/>
      <c r="G76" s="75"/>
      <c r="H76" s="78">
        <f>D76*E76</f>
        <v>-29.962598617919671</v>
      </c>
      <c r="L76" s="1"/>
      <c r="M76" s="1"/>
      <c r="N76" s="1"/>
      <c r="O76" s="1"/>
      <c r="P76" s="1"/>
    </row>
    <row r="77" spans="2:16" x14ac:dyDescent="0.3">
      <c r="L77" s="1"/>
      <c r="M77" s="1"/>
      <c r="N77" s="1"/>
      <c r="O77" s="1"/>
      <c r="P77" s="1"/>
    </row>
    <row r="78" spans="2:16" x14ac:dyDescent="0.3">
      <c r="B78" s="219" t="s">
        <v>166</v>
      </c>
      <c r="C78" s="130"/>
      <c r="D78" s="220">
        <f>D50+D57</f>
        <v>148</v>
      </c>
      <c r="E78" s="221">
        <f>IF(AND($B$14&lt;$F$2,$E$14&lt;$F$2),C7,IF($B$14&lt;$F$2,I7,F7))</f>
        <v>1.810855018542666E-4</v>
      </c>
      <c r="F78" s="221">
        <f>IF(AND($B$14&lt;$F$2,$E$14&lt;$F$2),D7,IF($B$14&lt;$F$2,J7,G7))</f>
        <v>-8.1549352177414592E-5</v>
      </c>
      <c r="G78" s="130"/>
      <c r="H78" s="219">
        <f>D78*(E78+F78)</f>
        <v>1.4731350152174097E-2</v>
      </c>
      <c r="L78" s="1"/>
      <c r="M78" s="1"/>
      <c r="N78" s="1"/>
      <c r="O78" s="1"/>
      <c r="P78" s="1"/>
    </row>
  </sheetData>
  <mergeCells count="10">
    <mergeCell ref="U4:W4"/>
    <mergeCell ref="X4:Z4"/>
    <mergeCell ref="K11:L11"/>
    <mergeCell ref="B46:H46"/>
    <mergeCell ref="B4:B5"/>
    <mergeCell ref="C4:E4"/>
    <mergeCell ref="F4:H4"/>
    <mergeCell ref="I4:K4"/>
    <mergeCell ref="Q4:Q5"/>
    <mergeCell ref="R4:T4"/>
  </mergeCells>
  <conditionalFormatting sqref="K12:L12">
    <cfRule type="cellIs" dxfId="125" priority="1" operator="equal">
      <formula>"Escassez Hídrica"</formula>
    </cfRule>
    <cfRule type="cellIs" dxfId="124" priority="2" operator="equal">
      <formula>"VERDE"</formula>
    </cfRule>
    <cfRule type="cellIs" dxfId="123" priority="3" operator="equal">
      <formula>"BVM2"</formula>
    </cfRule>
    <cfRule type="cellIs" dxfId="122" priority="4" operator="equal">
      <formula>"BVM1"</formula>
    </cfRule>
    <cfRule type="cellIs" dxfId="121" priority="5" operator="equal">
      <formula>"BAM"</formula>
    </cfRule>
  </conditionalFormatting>
  <conditionalFormatting sqref="M3">
    <cfRule type="cellIs" dxfId="120" priority="16" operator="equal">
      <formula>"VERDE"</formula>
    </cfRule>
    <cfRule type="cellIs" dxfId="119" priority="17" operator="equal">
      <formula>"BVM2"</formula>
    </cfRule>
    <cfRule type="cellIs" dxfId="118" priority="18" operator="equal">
      <formula>"BVM1"</formula>
    </cfRule>
    <cfRule type="cellIs" dxfId="117" priority="19" operator="equal">
      <formula>"BAM"</formula>
    </cfRule>
  </conditionalFormatting>
  <conditionalFormatting sqref="M7:M8">
    <cfRule type="containsText" dxfId="116" priority="7" operator="containsText" text="Escassez Hídrica">
      <formula>NOT(ISERROR(SEARCH("Escassez Hídrica",M7)))</formula>
    </cfRule>
    <cfRule type="cellIs" dxfId="115" priority="8" operator="equal">
      <formula>"VERDE"</formula>
    </cfRule>
    <cfRule type="cellIs" dxfId="114" priority="9" operator="equal">
      <formula>"BVM2"</formula>
    </cfRule>
    <cfRule type="cellIs" dxfId="113" priority="10" operator="equal">
      <formula>"BVM1"</formula>
    </cfRule>
    <cfRule type="cellIs" dxfId="112" priority="11" operator="equal">
      <formula>"BAM"</formula>
    </cfRule>
  </conditionalFormatting>
  <dataValidations disablePrompts="1" count="1">
    <dataValidation type="list" allowBlank="1" showInputMessage="1" showErrorMessage="1" sqref="K12:L12" xr:uid="{6DCF64B9-1698-4A1B-A6FD-7B7EE3DE4532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2CB5-11CB-4B46-9C3E-2B81635E9549}">
  <dimension ref="A1:AH282"/>
  <sheetViews>
    <sheetView showGridLines="0" zoomScale="80" zoomScaleNormal="80" workbookViewId="0">
      <selection activeCell="C11" sqref="C11"/>
    </sheetView>
  </sheetViews>
  <sheetFormatPr defaultColWidth="9.109375" defaultRowHeight="14.4" x14ac:dyDescent="0.3"/>
  <cols>
    <col min="1" max="1" width="5.44140625" style="19" customWidth="1"/>
    <col min="2" max="2" width="27.109375" style="19" customWidth="1"/>
    <col min="3" max="3" width="15.6640625" style="19" customWidth="1"/>
    <col min="4" max="10" width="12.6640625" style="19" customWidth="1"/>
    <col min="11" max="11" width="15.88671875" style="19" customWidth="1"/>
    <col min="12" max="12" width="13.88671875" style="19" customWidth="1"/>
    <col min="13" max="14" width="12.6640625" style="19" customWidth="1"/>
    <col min="15" max="15" width="14" style="19" customWidth="1"/>
    <col min="16" max="16" width="12.6640625" style="19" customWidth="1"/>
    <col min="17" max="17" width="13.44140625" style="19" customWidth="1"/>
    <col min="18" max="18" width="12.109375" style="19" bestFit="1" customWidth="1"/>
    <col min="19" max="19" width="14.109375" style="19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127</v>
      </c>
      <c r="E2" s="20" t="s">
        <v>28</v>
      </c>
      <c r="F2" s="21">
        <f>'[3]Fatura B1 (GD)'!F2</f>
        <v>45511</v>
      </c>
      <c r="G2" s="1" t="s">
        <v>8</v>
      </c>
      <c r="I2" s="101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506" t="s">
        <v>125</v>
      </c>
      <c r="C4" s="456" t="s">
        <v>58</v>
      </c>
      <c r="D4" s="456"/>
      <c r="E4" s="456"/>
      <c r="F4" s="456" t="str">
        <f>'[3]Fatura B1 (GD)'!F4</f>
        <v>TARIFA NOVA - REH xxxx/2024</v>
      </c>
      <c r="G4" s="456"/>
      <c r="H4" s="456"/>
      <c r="I4" s="457" t="s">
        <v>32</v>
      </c>
      <c r="J4" s="457"/>
      <c r="K4" s="457"/>
      <c r="M4" s="9" t="s">
        <v>14</v>
      </c>
      <c r="N4" s="10">
        <v>1.8849999999999999E-2</v>
      </c>
      <c r="Q4" s="451" t="s">
        <v>31</v>
      </c>
      <c r="R4" s="453" t="str">
        <f>C4</f>
        <v>TARIFA ANTIGA - REH 3091/2022</v>
      </c>
      <c r="S4" s="454"/>
      <c r="T4" s="455"/>
      <c r="U4" s="453" t="str">
        <f>F4</f>
        <v>TARIFA NOVA - REH xxxx/2024</v>
      </c>
      <c r="V4" s="454"/>
      <c r="W4" s="455"/>
      <c r="X4" s="453" t="s">
        <v>32</v>
      </c>
      <c r="Y4" s="454"/>
      <c r="Z4" s="455"/>
    </row>
    <row r="5" spans="1:26" x14ac:dyDescent="0.3">
      <c r="B5" s="507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4.4630000000000003E-2</v>
      </c>
      <c r="Q5" s="452"/>
      <c r="R5" s="28" t="s">
        <v>35</v>
      </c>
      <c r="S5" s="1"/>
      <c r="T5" s="1"/>
      <c r="U5" s="28" t="s">
        <v>35</v>
      </c>
      <c r="V5" s="1"/>
      <c r="W5" s="1"/>
      <c r="X5" s="28" t="s">
        <v>35</v>
      </c>
      <c r="Y5" s="1"/>
      <c r="Z5" s="1"/>
    </row>
    <row r="6" spans="1:26" x14ac:dyDescent="0.3">
      <c r="B6" s="30" t="s">
        <v>126</v>
      </c>
      <c r="C6" s="324">
        <v>0.28337000000000001</v>
      </c>
      <c r="D6" s="324">
        <v>0.29880000000000001</v>
      </c>
      <c r="E6" s="324">
        <v>0.58217000000000008</v>
      </c>
      <c r="F6" s="324">
        <v>0.28935</v>
      </c>
      <c r="G6" s="324">
        <v>0.29333999999999999</v>
      </c>
      <c r="H6" s="324">
        <v>0.58268999999999993</v>
      </c>
      <c r="I6" s="31">
        <f>((C6*$C$14)+(F6*$D$14))/($D$14+$C$14)</f>
        <v>0.28935</v>
      </c>
      <c r="J6" s="31">
        <f>((D6*$C$14)+(G6*$D$14))/($D$14+$C$14)</f>
        <v>0.29333999999999999</v>
      </c>
      <c r="K6" s="32">
        <f>I6+J6</f>
        <v>0.58268999999999993</v>
      </c>
      <c r="M6" s="13" t="s">
        <v>16</v>
      </c>
      <c r="N6" s="14">
        <v>7.8770000000000007E-2</v>
      </c>
      <c r="P6" s="33"/>
      <c r="Q6" s="30" t="str">
        <f>B6</f>
        <v>Baixa renda</v>
      </c>
      <c r="R6" s="31">
        <v>0.17652000000000001</v>
      </c>
      <c r="S6"/>
      <c r="T6"/>
      <c r="U6" s="31">
        <v>6.17832676411392E-2</v>
      </c>
      <c r="V6"/>
      <c r="W6"/>
      <c r="X6" s="31">
        <v>6.1783267641139193E-2</v>
      </c>
      <c r="Y6" s="1"/>
      <c r="Z6" s="1"/>
    </row>
    <row r="7" spans="1:26" x14ac:dyDescent="0.3">
      <c r="B7" s="237" t="s">
        <v>173</v>
      </c>
      <c r="C7" s="271">
        <f>0.207830737658616/1000</f>
        <v>2.0783073765861601E-4</v>
      </c>
      <c r="D7" s="270">
        <f>4.01792/1000</f>
        <v>4.0179200000000003E-3</v>
      </c>
      <c r="E7" s="32">
        <f>C7+D7</f>
        <v>4.225750737658616E-3</v>
      </c>
      <c r="F7" s="32">
        <f>T11</f>
        <v>2.0783073765861601E-4</v>
      </c>
      <c r="G7" s="32">
        <f>U11</f>
        <v>4.0199999999999993E-3</v>
      </c>
      <c r="H7" s="32">
        <f>F7+G7</f>
        <v>4.2278307376586149E-3</v>
      </c>
      <c r="I7" s="31">
        <f>((C7*$C$14)+(F7*$D$14))/($D$14+$C$14)</f>
        <v>2.0783073765861601E-4</v>
      </c>
      <c r="J7" s="31">
        <f>((D7*$C$14)+(G7*$D$14))/($D$14+$C$14)</f>
        <v>4.0199999999999993E-3</v>
      </c>
      <c r="K7" s="32">
        <f>I7+J7</f>
        <v>4.2278307376586149E-3</v>
      </c>
      <c r="M7" s="222"/>
      <c r="N7" s="14"/>
      <c r="P7" s="33"/>
      <c r="Q7" s="82"/>
      <c r="R7" s="83"/>
      <c r="S7" s="1"/>
      <c r="T7" s="1"/>
      <c r="U7" s="83"/>
      <c r="V7" s="1"/>
      <c r="W7" s="1"/>
      <c r="X7" s="83"/>
      <c r="Y7" s="1"/>
      <c r="Z7" s="1"/>
    </row>
    <row r="8" spans="1:26" x14ac:dyDescent="0.3">
      <c r="B8" s="94" t="s">
        <v>57</v>
      </c>
      <c r="C8" s="83"/>
      <c r="D8" s="83"/>
      <c r="E8" s="83"/>
      <c r="F8" s="83"/>
      <c r="G8" s="81">
        <f>G6*15%</f>
        <v>4.4000999999999998E-2</v>
      </c>
      <c r="H8" s="83"/>
      <c r="I8" s="83"/>
      <c r="J8" s="31">
        <f>((D8*$C$14)+(G8*$D$14))/($D$14+$C$14)</f>
        <v>4.4000999999999998E-2</v>
      </c>
      <c r="K8" s="84"/>
      <c r="M8" s="7" t="s">
        <v>17</v>
      </c>
      <c r="N8" s="15">
        <v>0.14199999999999999</v>
      </c>
      <c r="P8" s="223" t="s">
        <v>167</v>
      </c>
      <c r="Q8" s="224"/>
      <c r="R8" s="225" t="s">
        <v>168</v>
      </c>
      <c r="S8" s="225" t="s">
        <v>169</v>
      </c>
      <c r="T8" s="225" t="s">
        <v>35</v>
      </c>
      <c r="U8" s="225" t="s">
        <v>76</v>
      </c>
      <c r="V8"/>
      <c r="W8"/>
      <c r="X8" s="83"/>
      <c r="Y8" s="1"/>
      <c r="Z8" s="1"/>
    </row>
    <row r="9" spans="1:26" x14ac:dyDescent="0.3">
      <c r="A9" s="19" t="s">
        <v>8</v>
      </c>
      <c r="G9" s="1"/>
      <c r="H9" s="1"/>
      <c r="I9" s="1"/>
      <c r="J9" s="1"/>
      <c r="K9" s="1"/>
      <c r="O9" s="20"/>
      <c r="P9" s="226" t="s">
        <v>170</v>
      </c>
      <c r="Q9" s="227"/>
      <c r="R9" s="228"/>
      <c r="S9" s="228"/>
      <c r="T9" s="229"/>
      <c r="U9" s="229"/>
      <c r="V9"/>
      <c r="W9"/>
      <c r="X9" s="1"/>
      <c r="Y9" s="1"/>
      <c r="Z9" s="1"/>
    </row>
    <row r="10" spans="1:26" x14ac:dyDescent="0.3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45689</v>
      </c>
      <c r="P10" s="230" t="s">
        <v>171</v>
      </c>
      <c r="Q10" s="231"/>
      <c r="R10" s="232"/>
      <c r="S10" s="232"/>
      <c r="T10" s="233"/>
      <c r="U10" s="270">
        <f>5.61/1000</f>
        <v>5.6100000000000004E-3</v>
      </c>
      <c r="V10" s="239"/>
      <c r="W10" s="239"/>
      <c r="X10" s="1"/>
      <c r="Y10" s="1"/>
      <c r="Z10" s="1"/>
    </row>
    <row r="11" spans="1:26" x14ac:dyDescent="0.3">
      <c r="B11" s="38" t="s">
        <v>38</v>
      </c>
      <c r="C11" s="326">
        <v>1041172</v>
      </c>
      <c r="E11" s="1"/>
      <c r="F11" s="1"/>
      <c r="G11" s="1"/>
      <c r="H11" s="40">
        <f>E14</f>
        <v>45707</v>
      </c>
      <c r="K11" s="458" t="s">
        <v>26</v>
      </c>
      <c r="L11" s="458"/>
      <c r="P11" s="234" t="s">
        <v>172</v>
      </c>
      <c r="Q11" s="235"/>
      <c r="R11" s="236"/>
      <c r="S11" s="236"/>
      <c r="T11" s="271">
        <f>0.207830737658616/1000</f>
        <v>2.0783073765861601E-4</v>
      </c>
      <c r="U11" s="270">
        <f>4.02/1000</f>
        <v>4.0199999999999993E-3</v>
      </c>
      <c r="V11" s="239"/>
      <c r="W11" s="239" t="s">
        <v>178</v>
      </c>
      <c r="X11" s="1"/>
      <c r="Y11" s="1"/>
      <c r="Z11" s="1"/>
    </row>
    <row r="12" spans="1:26" x14ac:dyDescent="0.3">
      <c r="A12" s="19" t="s">
        <v>8</v>
      </c>
      <c r="B12" s="41"/>
      <c r="H12" s="43"/>
      <c r="K12" s="7" t="str">
        <f>'Fatura B1 (GD) OK'!K12</f>
        <v>BVM1</v>
      </c>
      <c r="L12" s="7" t="str">
        <f>'Fatura B1 (GD) OK'!L12</f>
        <v>BVM2</v>
      </c>
      <c r="P12" s="240" t="s">
        <v>174</v>
      </c>
      <c r="Q12" s="241">
        <v>0.65</v>
      </c>
      <c r="R12" s="239"/>
      <c r="S12" s="239"/>
      <c r="T12" s="239"/>
      <c r="U12" s="233">
        <f>$U$11*(1-Q12)</f>
        <v>1.4069999999999996E-3</v>
      </c>
      <c r="V12" s="239"/>
      <c r="W12" s="233">
        <f>((T12*$C$14)+(U12*$D$14))/($D$14+$C$14)</f>
        <v>1.4069999999999994E-3</v>
      </c>
      <c r="X12" s="1"/>
      <c r="Y12" s="1"/>
      <c r="Z12" s="1"/>
    </row>
    <row r="13" spans="1:26" ht="27.6" x14ac:dyDescent="0.3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  <c r="P13" s="242" t="s">
        <v>175</v>
      </c>
      <c r="Q13" s="243">
        <v>0.4</v>
      </c>
      <c r="R13" s="239"/>
      <c r="S13" s="239"/>
      <c r="T13" s="239"/>
      <c r="U13" s="233">
        <f>$U$11*(1-Q13)</f>
        <v>2.4119999999999996E-3</v>
      </c>
      <c r="V13" s="239"/>
      <c r="W13" s="233">
        <f>((T13*$C$14)+(U13*$D$14))/($D$14+$C$14)</f>
        <v>2.4119999999999996E-3</v>
      </c>
    </row>
    <row r="14" spans="1:26" x14ac:dyDescent="0.3">
      <c r="B14" s="17">
        <f>'Fatura B1 (GD) OK'!B14</f>
        <v>45678</v>
      </c>
      <c r="C14" s="18">
        <f>IF((F2-B14-1)&lt;0,0,(F2-B14-1))</f>
        <v>0</v>
      </c>
      <c r="D14" s="18">
        <f>E14-F2+1</f>
        <v>197</v>
      </c>
      <c r="E14" s="17">
        <f>'Fatura B1 (GD) OK'!E14</f>
        <v>45707</v>
      </c>
      <c r="F14" s="44"/>
      <c r="G14" s="44"/>
      <c r="H14" s="45"/>
      <c r="J14" s="22">
        <f>B14</f>
        <v>45678</v>
      </c>
      <c r="K14" s="23">
        <f>IF((M10-J14-1)&lt;0,0,(M10-J14-1))</f>
        <v>10</v>
      </c>
      <c r="L14" s="23">
        <f>M14-M10+1</f>
        <v>19</v>
      </c>
      <c r="M14" s="22">
        <f>E14</f>
        <v>45707</v>
      </c>
      <c r="P14" s="244" t="s">
        <v>176</v>
      </c>
      <c r="Q14" s="243">
        <v>0.1</v>
      </c>
      <c r="R14" s="239"/>
      <c r="S14"/>
      <c r="T14" s="245"/>
      <c r="U14" s="233">
        <f>$U$11*(1-Q14)</f>
        <v>3.6179999999999993E-3</v>
      </c>
      <c r="V14" s="239"/>
      <c r="W14" s="233">
        <f>((T14*$C$14)+(U14*$D$14))/($D$14+$C$14)</f>
        <v>3.6179999999999993E-3</v>
      </c>
    </row>
    <row r="15" spans="1:26" x14ac:dyDescent="0.3">
      <c r="P15" s="246" t="s">
        <v>177</v>
      </c>
      <c r="Q15" s="247">
        <v>0</v>
      </c>
      <c r="R15" s="1"/>
      <c r="S15" s="1"/>
      <c r="T15" s="1"/>
      <c r="U15" s="233">
        <f>$U$11*(1-Q15)</f>
        <v>4.0199999999999993E-3</v>
      </c>
      <c r="V15" s="1"/>
      <c r="W15" s="233">
        <f>((T15*$C$14)+(U15*$D$14))/($D$14+$C$14)</f>
        <v>4.0199999999999993E-3</v>
      </c>
    </row>
    <row r="16" spans="1:26" s="239" customFormat="1" x14ac:dyDescent="0.3">
      <c r="B16" s="301" t="s">
        <v>238</v>
      </c>
      <c r="D16" s="302">
        <v>537</v>
      </c>
      <c r="E16" s="303"/>
      <c r="G16"/>
      <c r="H16"/>
      <c r="I16"/>
      <c r="J16"/>
      <c r="K16"/>
      <c r="N16" s="304"/>
      <c r="O16" s="305"/>
      <c r="P16"/>
      <c r="Q16"/>
      <c r="S16"/>
      <c r="T16" s="245"/>
      <c r="U16"/>
      <c r="V16"/>
      <c r="W16"/>
    </row>
    <row r="17" spans="1:30" s="239" customFormat="1" x14ac:dyDescent="0.3">
      <c r="B17" s="301" t="s">
        <v>282</v>
      </c>
      <c r="D17" s="302">
        <v>221</v>
      </c>
      <c r="E17" s="303"/>
      <c r="G17"/>
      <c r="H17"/>
      <c r="I17"/>
      <c r="J17"/>
      <c r="K17"/>
      <c r="N17" s="304"/>
      <c r="O17" s="305"/>
      <c r="P17"/>
      <c r="Q17"/>
      <c r="S17"/>
      <c r="T17" s="245"/>
      <c r="U17"/>
      <c r="V17"/>
      <c r="W17"/>
    </row>
    <row r="18" spans="1:30" s="239" customFormat="1" x14ac:dyDescent="0.3">
      <c r="B18" s="301" t="s">
        <v>283</v>
      </c>
      <c r="D18" s="302">
        <v>316</v>
      </c>
      <c r="E18" s="303"/>
      <c r="G18"/>
      <c r="H18"/>
      <c r="I18"/>
      <c r="J18"/>
      <c r="K18"/>
      <c r="N18" s="304"/>
      <c r="O18" s="305"/>
      <c r="P18"/>
      <c r="Q18"/>
      <c r="S18"/>
      <c r="T18" s="245"/>
      <c r="U18"/>
      <c r="V18"/>
      <c r="W18"/>
    </row>
    <row r="19" spans="1:30" s="239" customFormat="1" x14ac:dyDescent="0.3">
      <c r="B19" s="301" t="s">
        <v>284</v>
      </c>
      <c r="D19" s="302">
        <f>D16-D18</f>
        <v>221</v>
      </c>
      <c r="E19" s="303"/>
      <c r="G19"/>
      <c r="H19"/>
      <c r="I19"/>
      <c r="J19"/>
      <c r="K19"/>
      <c r="M19" s="377" t="s">
        <v>80</v>
      </c>
      <c r="N19" s="378"/>
      <c r="O19" s="379">
        <v>241002228329</v>
      </c>
      <c r="P19"/>
      <c r="Q19"/>
      <c r="S19"/>
      <c r="T19" s="245"/>
      <c r="U19"/>
      <c r="V19"/>
      <c r="W19"/>
    </row>
    <row r="20" spans="1:30" s="239" customFormat="1" x14ac:dyDescent="0.3">
      <c r="B20" s="306"/>
      <c r="C20" s="303"/>
      <c r="D20" s="303"/>
      <c r="E20" s="306"/>
      <c r="G20"/>
      <c r="H20"/>
      <c r="I20"/>
      <c r="J20"/>
      <c r="K20"/>
      <c r="N20" s="304"/>
      <c r="O20" s="305"/>
      <c r="P20"/>
      <c r="Q20"/>
      <c r="S20"/>
      <c r="T20" s="245"/>
      <c r="U20"/>
      <c r="V20"/>
      <c r="W20"/>
    </row>
    <row r="21" spans="1:30" s="239" customFormat="1" ht="41.4" x14ac:dyDescent="0.3">
      <c r="B21" s="274" t="s">
        <v>212</v>
      </c>
      <c r="C21" s="274" t="s">
        <v>213</v>
      </c>
      <c r="D21" s="274" t="s">
        <v>214</v>
      </c>
      <c r="E21" s="275" t="s">
        <v>215</v>
      </c>
      <c r="F21" s="275" t="s">
        <v>216</v>
      </c>
      <c r="G21" s="275" t="s">
        <v>217</v>
      </c>
      <c r="H21" s="275" t="s">
        <v>218</v>
      </c>
      <c r="I21" s="275" t="s">
        <v>219</v>
      </c>
      <c r="J21" s="275" t="s">
        <v>220</v>
      </c>
      <c r="K21" s="276" t="s">
        <v>221</v>
      </c>
      <c r="L21" s="274" t="s">
        <v>222</v>
      </c>
      <c r="M21" s="275" t="s">
        <v>223</v>
      </c>
      <c r="N21" s="275" t="s">
        <v>224</v>
      </c>
      <c r="O21" s="275" t="s">
        <v>225</v>
      </c>
      <c r="R21" s="1"/>
      <c r="S21" s="1"/>
      <c r="T21" s="1"/>
      <c r="Y21"/>
      <c r="Z21"/>
      <c r="AA21"/>
      <c r="AB21"/>
      <c r="AC21"/>
      <c r="AD21"/>
    </row>
    <row r="22" spans="1:30" s="239" customFormat="1" x14ac:dyDescent="0.3">
      <c r="B22" s="277"/>
      <c r="C22" s="277"/>
      <c r="D22" s="277"/>
      <c r="E22" s="277"/>
      <c r="F22" s="277"/>
      <c r="G22" s="277"/>
      <c r="H22" s="277"/>
      <c r="I22" s="277"/>
      <c r="J22" s="277"/>
      <c r="K22" s="277"/>
      <c r="L22" s="278"/>
      <c r="M22" s="279"/>
      <c r="N22" s="279"/>
      <c r="O22" s="279"/>
      <c r="P22"/>
      <c r="T22"/>
      <c r="U22"/>
      <c r="V22"/>
      <c r="W22"/>
    </row>
    <row r="23" spans="1:30" s="239" customFormat="1" x14ac:dyDescent="0.3">
      <c r="B23" s="307" t="s">
        <v>239</v>
      </c>
      <c r="C23" s="307"/>
      <c r="D23" s="308">
        <f>-K168</f>
        <v>-50.066644999999994</v>
      </c>
      <c r="E23" s="309">
        <v>1</v>
      </c>
      <c r="F23" s="310">
        <f>D23*E23</f>
        <v>-50.066644999999994</v>
      </c>
      <c r="G23" s="311">
        <v>0</v>
      </c>
      <c r="H23" s="310">
        <v>0</v>
      </c>
      <c r="I23" s="311">
        <v>0</v>
      </c>
      <c r="J23" s="310"/>
      <c r="K23" s="282">
        <v>1</v>
      </c>
      <c r="L23" s="278"/>
      <c r="M23" s="279"/>
      <c r="N23" s="279"/>
      <c r="O23" s="279"/>
      <c r="P23"/>
      <c r="Q23" s="124"/>
      <c r="R23" s="1"/>
      <c r="S23" s="312"/>
      <c r="T23"/>
      <c r="U23"/>
      <c r="V23"/>
      <c r="W23"/>
    </row>
    <row r="24" spans="1:30" s="239" customFormat="1" x14ac:dyDescent="0.3">
      <c r="B24" s="307" t="s">
        <v>240</v>
      </c>
      <c r="C24" s="307"/>
      <c r="D24" s="311">
        <f>D23</f>
        <v>-50.066644999999994</v>
      </c>
      <c r="E24" s="282">
        <f>K24/(1-$N$25-$N$26)/(1-$I$24)</f>
        <v>1.2458063045273848</v>
      </c>
      <c r="F24" s="310">
        <f>-1*(F23-J24)</f>
        <v>60.669544999999992</v>
      </c>
      <c r="G24" s="311">
        <v>0</v>
      </c>
      <c r="H24" s="310">
        <f>ROUND((K168*K24)/(1-$N$25-$N$26)/(1-$I$24),2)</f>
        <v>62.37</v>
      </c>
      <c r="I24" s="285">
        <v>0.17</v>
      </c>
      <c r="J24" s="310">
        <f t="shared" ref="J24:J32" si="0">H24*$I$24</f>
        <v>10.6029</v>
      </c>
      <c r="K24" s="282">
        <v>1</v>
      </c>
      <c r="L24" s="278"/>
      <c r="M24" s="279"/>
      <c r="N24" s="279"/>
      <c r="O24" s="279"/>
      <c r="P24"/>
      <c r="Q24" s="124"/>
      <c r="R24" s="1"/>
      <c r="S24" s="312"/>
      <c r="T24"/>
      <c r="U24"/>
      <c r="V24"/>
      <c r="W24"/>
    </row>
    <row r="25" spans="1:30" s="239" customFormat="1" x14ac:dyDescent="0.3">
      <c r="A25" s="313">
        <v>0.65</v>
      </c>
      <c r="B25" s="279" t="s">
        <v>285</v>
      </c>
      <c r="C25" s="280" t="s">
        <v>2</v>
      </c>
      <c r="D25" s="283">
        <f>IF(D19&gt;0,30,0)</f>
        <v>30</v>
      </c>
      <c r="E25" s="282">
        <f t="shared" ref="E25:E32" si="1">K25/(1-$N$25-$N$26)/(1-$I$24)</f>
        <v>0.12616591897524956</v>
      </c>
      <c r="F25" s="283">
        <f t="shared" ref="F25:F32" si="2">ROUND(D25*E25,2)</f>
        <v>3.78</v>
      </c>
      <c r="G25" s="283">
        <f t="shared" ref="G25:G32" si="3">ROUND(((D25*K25)/(1-$N$25-$N$26))*($N$25+$N$26),2)</f>
        <v>0.1</v>
      </c>
      <c r="H25" s="284">
        <f t="shared" ref="H25:H32" si="4">ROUND((D25*K25)/(1-$N$25-$N$26)/(1-$I$24),2)</f>
        <v>3.78</v>
      </c>
      <c r="J25" s="284">
        <f t="shared" si="0"/>
        <v>0.64260000000000006</v>
      </c>
      <c r="K25" s="282">
        <f>K28*(1-A25)</f>
        <v>0.10127249999999999</v>
      </c>
      <c r="L25" s="47" t="s">
        <v>68</v>
      </c>
      <c r="M25" s="283">
        <f>D138</f>
        <v>280.79826284768899</v>
      </c>
      <c r="N25" s="286">
        <f>'Fatura B1 (GD) OK'!N21</f>
        <v>5.8999999999999999E-3</v>
      </c>
      <c r="O25" s="287">
        <f>ROUND(M25*N25,2)</f>
        <v>1.66</v>
      </c>
      <c r="P25"/>
      <c r="Q25" s="1"/>
      <c r="R25" s="1"/>
      <c r="S25" s="1"/>
      <c r="T25"/>
      <c r="U25"/>
      <c r="V25"/>
      <c r="W25"/>
    </row>
    <row r="26" spans="1:30" s="239" customFormat="1" x14ac:dyDescent="0.3">
      <c r="A26" s="313">
        <v>0.4</v>
      </c>
      <c r="B26" s="279" t="s">
        <v>286</v>
      </c>
      <c r="C26" s="280" t="s">
        <v>2</v>
      </c>
      <c r="D26" s="283">
        <f>IF(D19&gt;30,IF(D19&gt;100,70,D19-30),0)</f>
        <v>70</v>
      </c>
      <c r="E26" s="282">
        <f t="shared" si="1"/>
        <v>0.21628443252899926</v>
      </c>
      <c r="F26" s="283">
        <f t="shared" si="2"/>
        <v>15.14</v>
      </c>
      <c r="G26" s="283">
        <f t="shared" si="3"/>
        <v>0.41</v>
      </c>
      <c r="H26" s="284">
        <f t="shared" si="4"/>
        <v>15.14</v>
      </c>
      <c r="I26" s="279"/>
      <c r="J26" s="284">
        <f t="shared" si="0"/>
        <v>2.5738000000000003</v>
      </c>
      <c r="K26" s="282">
        <f>K28*(1-A26)</f>
        <v>0.17360999999999999</v>
      </c>
      <c r="L26" s="47" t="s">
        <v>51</v>
      </c>
      <c r="M26" s="283">
        <f>M25</f>
        <v>280.79826284768899</v>
      </c>
      <c r="N26" s="286">
        <f>'Fatura B1 (GD) OK'!N23</f>
        <v>2.7E-2</v>
      </c>
      <c r="O26" s="287">
        <f>ROUND(M26*N26,2)</f>
        <v>7.58</v>
      </c>
      <c r="P26"/>
      <c r="Q26"/>
      <c r="R26"/>
      <c r="S26"/>
      <c r="T26"/>
      <c r="U26"/>
      <c r="V26"/>
      <c r="W26"/>
    </row>
    <row r="27" spans="1:30" s="239" customFormat="1" x14ac:dyDescent="0.3">
      <c r="A27" s="313">
        <v>0.1</v>
      </c>
      <c r="B27" s="279" t="s">
        <v>287</v>
      </c>
      <c r="C27" s="280" t="s">
        <v>2</v>
      </c>
      <c r="D27" s="283">
        <f>IF(D19&gt;100,IF(D19&gt;220,220-100,D19-100),0)</f>
        <v>120</v>
      </c>
      <c r="E27" s="282">
        <f t="shared" si="1"/>
        <v>0.32442664879349892</v>
      </c>
      <c r="F27" s="283">
        <f t="shared" si="2"/>
        <v>38.93</v>
      </c>
      <c r="G27" s="283">
        <f t="shared" si="3"/>
        <v>1.06</v>
      </c>
      <c r="H27" s="284">
        <f t="shared" si="4"/>
        <v>38.93</v>
      </c>
      <c r="I27" s="279"/>
      <c r="J27" s="284">
        <f t="shared" si="0"/>
        <v>6.6181000000000001</v>
      </c>
      <c r="K27" s="282">
        <f>K28*(1-A27)</f>
        <v>0.26041500000000001</v>
      </c>
      <c r="L27" s="261"/>
      <c r="M27" s="289"/>
      <c r="N27" s="289"/>
      <c r="O27" s="289"/>
      <c r="P27"/>
      <c r="Q27"/>
      <c r="R27"/>
      <c r="S27"/>
      <c r="T27"/>
      <c r="U27"/>
      <c r="V27"/>
      <c r="W27"/>
    </row>
    <row r="28" spans="1:30" s="239" customFormat="1" x14ac:dyDescent="0.3">
      <c r="A28" s="313">
        <v>0</v>
      </c>
      <c r="B28" s="279" t="s">
        <v>288</v>
      </c>
      <c r="C28" s="280" t="s">
        <v>2</v>
      </c>
      <c r="D28" s="283">
        <f>IF(D19&gt;220,D19-220,0)</f>
        <v>1</v>
      </c>
      <c r="E28" s="282">
        <f t="shared" si="1"/>
        <v>0.36047405421499878</v>
      </c>
      <c r="F28" s="283">
        <f t="shared" si="2"/>
        <v>0.36</v>
      </c>
      <c r="G28" s="283">
        <f t="shared" si="3"/>
        <v>0.01</v>
      </c>
      <c r="H28" s="284">
        <f t="shared" si="4"/>
        <v>0.36</v>
      </c>
      <c r="I28" s="279"/>
      <c r="J28" s="284">
        <f t="shared" si="0"/>
        <v>6.1200000000000004E-2</v>
      </c>
      <c r="K28" s="282">
        <f>IF(AND($B$13&lt;$F$2,$E$13&lt;$F$2),C6,IF($B$13&lt;$F$2,I6,F6))</f>
        <v>0.28935</v>
      </c>
      <c r="L28"/>
      <c r="M28"/>
      <c r="N28"/>
      <c r="O28" s="278"/>
      <c r="P28"/>
      <c r="Q28"/>
      <c r="R28"/>
      <c r="S28"/>
      <c r="T28"/>
      <c r="U28"/>
      <c r="V28"/>
      <c r="W28"/>
    </row>
    <row r="29" spans="1:30" s="239" customFormat="1" x14ac:dyDescent="0.3">
      <c r="A29" s="313">
        <v>0.65</v>
      </c>
      <c r="B29" s="279" t="s">
        <v>289</v>
      </c>
      <c r="C29" s="280" t="s">
        <v>2</v>
      </c>
      <c r="D29" s="283">
        <f>IF(D18&gt;0,30,0)</f>
        <v>30</v>
      </c>
      <c r="E29" s="282">
        <f t="shared" si="1"/>
        <v>0.12616591897524956</v>
      </c>
      <c r="F29" s="283">
        <f t="shared" si="2"/>
        <v>3.78</v>
      </c>
      <c r="G29" s="283">
        <f t="shared" si="3"/>
        <v>0.1</v>
      </c>
      <c r="H29" s="284">
        <f t="shared" si="4"/>
        <v>3.78</v>
      </c>
      <c r="J29" s="284">
        <f t="shared" si="0"/>
        <v>0.64260000000000006</v>
      </c>
      <c r="K29" s="282">
        <f>K32*(1-A29)</f>
        <v>0.10127249999999999</v>
      </c>
      <c r="L29"/>
      <c r="M29"/>
      <c r="N29"/>
      <c r="O29" s="278"/>
      <c r="P29"/>
      <c r="Q29" s="1"/>
      <c r="R29" s="1"/>
      <c r="S29" s="1"/>
      <c r="T29"/>
      <c r="U29"/>
      <c r="V29"/>
      <c r="W29"/>
    </row>
    <row r="30" spans="1:30" s="239" customFormat="1" x14ac:dyDescent="0.3">
      <c r="A30" s="313">
        <v>0.4</v>
      </c>
      <c r="B30" s="279" t="s">
        <v>290</v>
      </c>
      <c r="C30" s="280" t="s">
        <v>2</v>
      </c>
      <c r="D30" s="283">
        <f>IF(D18&gt;30,IF(D18&gt;100,70,D18-30),0)</f>
        <v>70</v>
      </c>
      <c r="E30" s="282">
        <f t="shared" si="1"/>
        <v>0.21628443252899926</v>
      </c>
      <c r="F30" s="283">
        <f t="shared" si="2"/>
        <v>15.14</v>
      </c>
      <c r="G30" s="283">
        <f t="shared" si="3"/>
        <v>0.41</v>
      </c>
      <c r="H30" s="284">
        <f t="shared" si="4"/>
        <v>15.14</v>
      </c>
      <c r="I30" s="279"/>
      <c r="J30" s="284">
        <f t="shared" si="0"/>
        <v>2.5738000000000003</v>
      </c>
      <c r="K30" s="282">
        <f>K32*(1-A30)</f>
        <v>0.17360999999999999</v>
      </c>
      <c r="L30"/>
      <c r="M30"/>
      <c r="N30"/>
      <c r="O30" s="278"/>
      <c r="P30"/>
      <c r="Q30"/>
      <c r="R30"/>
      <c r="S30"/>
      <c r="T30"/>
      <c r="U30"/>
      <c r="V30"/>
      <c r="W30"/>
    </row>
    <row r="31" spans="1:30" s="239" customFormat="1" x14ac:dyDescent="0.3">
      <c r="A31" s="313">
        <v>0.1</v>
      </c>
      <c r="B31" s="279" t="s">
        <v>291</v>
      </c>
      <c r="C31" s="280" t="s">
        <v>2</v>
      </c>
      <c r="D31" s="283">
        <f>IF(D18&gt;100,IF(D18&gt;220,220-100,D18-100),0)</f>
        <v>120</v>
      </c>
      <c r="E31" s="282">
        <f t="shared" si="1"/>
        <v>0.32442664879349892</v>
      </c>
      <c r="F31" s="283">
        <f t="shared" si="2"/>
        <v>38.93</v>
      </c>
      <c r="G31" s="283">
        <f t="shared" si="3"/>
        <v>1.06</v>
      </c>
      <c r="H31" s="284">
        <f t="shared" si="4"/>
        <v>38.93</v>
      </c>
      <c r="I31" s="279"/>
      <c r="J31" s="284">
        <f t="shared" si="0"/>
        <v>6.6181000000000001</v>
      </c>
      <c r="K31" s="282">
        <f>K32*(1-A31)</f>
        <v>0.26041500000000001</v>
      </c>
      <c r="O31" s="278"/>
      <c r="P31"/>
      <c r="Q31"/>
      <c r="R31"/>
      <c r="S31"/>
      <c r="T31"/>
      <c r="U31"/>
      <c r="V31"/>
      <c r="W31"/>
    </row>
    <row r="32" spans="1:30" s="239" customFormat="1" x14ac:dyDescent="0.3">
      <c r="A32" s="313">
        <v>0</v>
      </c>
      <c r="B32" s="279" t="s">
        <v>292</v>
      </c>
      <c r="C32" s="280" t="s">
        <v>2</v>
      </c>
      <c r="D32" s="283">
        <f>IF(D18&gt;220,D18-220,0)</f>
        <v>96</v>
      </c>
      <c r="E32" s="282">
        <f t="shared" si="1"/>
        <v>0.36047405421499878</v>
      </c>
      <c r="F32" s="283">
        <f t="shared" si="2"/>
        <v>34.61</v>
      </c>
      <c r="G32" s="283">
        <f t="shared" si="3"/>
        <v>0.94</v>
      </c>
      <c r="H32" s="284">
        <f t="shared" si="4"/>
        <v>34.61</v>
      </c>
      <c r="I32" s="279"/>
      <c r="J32" s="284">
        <f t="shared" si="0"/>
        <v>5.8837000000000002</v>
      </c>
      <c r="K32" s="282">
        <f>IF(AND($B$14&lt;$F$2,$E$14&lt;$F$2),C6,IF($B$14&lt;$F$2,I6,F6))</f>
        <v>0.28935</v>
      </c>
      <c r="L32"/>
      <c r="M32"/>
      <c r="N32"/>
      <c r="O32" s="278"/>
      <c r="P32"/>
      <c r="Q32"/>
      <c r="R32"/>
      <c r="S32"/>
      <c r="T32"/>
      <c r="U32"/>
      <c r="V32"/>
      <c r="W32"/>
    </row>
    <row r="33" spans="1:23" s="239" customFormat="1" x14ac:dyDescent="0.3">
      <c r="A33" s="325"/>
      <c r="B33" s="279"/>
      <c r="C33" s="280"/>
      <c r="D33" s="283"/>
      <c r="E33" s="282"/>
      <c r="F33" s="283"/>
      <c r="G33" s="283"/>
      <c r="H33" s="284"/>
      <c r="I33" s="279"/>
      <c r="J33" s="284"/>
      <c r="K33" s="282"/>
      <c r="L33"/>
      <c r="M33"/>
      <c r="N33"/>
      <c r="O33" s="278"/>
      <c r="P33"/>
      <c r="Q33"/>
      <c r="R33"/>
      <c r="S33"/>
      <c r="T33"/>
      <c r="U33"/>
      <c r="V33"/>
      <c r="W33"/>
    </row>
    <row r="34" spans="1:23" s="239" customFormat="1" x14ac:dyDescent="0.3">
      <c r="B34" s="279" t="s">
        <v>293</v>
      </c>
      <c r="C34" s="280" t="s">
        <v>2</v>
      </c>
      <c r="D34" s="283">
        <f t="shared" ref="D34:D41" si="5">D25</f>
        <v>30</v>
      </c>
      <c r="E34" s="282">
        <f t="shared" ref="E34:E41" si="6">K34/(1-$N$25-$N$26)/(1-$I$24)</f>
        <v>0.12790568747952208</v>
      </c>
      <c r="F34" s="283">
        <f t="shared" ref="F34:F41" si="7">ROUND(D34*E34,2)</f>
        <v>3.84</v>
      </c>
      <c r="G34" s="283">
        <f t="shared" ref="G34:G41" si="8">ROUND(((D34*K34)/(1-$N$25-$N$26))*($N$25+$N$26),2)</f>
        <v>0.1</v>
      </c>
      <c r="H34" s="284">
        <f t="shared" ref="H34:H41" si="9">ROUND((D34*K34)/(1-$N$25-$N$26)/(1-$I$24),2)</f>
        <v>3.84</v>
      </c>
      <c r="I34" s="279"/>
      <c r="J34" s="284">
        <f t="shared" ref="J34:J41" si="10">H34*$I$24</f>
        <v>0.65280000000000005</v>
      </c>
      <c r="K34" s="282">
        <f>K37*(1-A25)</f>
        <v>0.102669</v>
      </c>
      <c r="L34"/>
      <c r="M34"/>
      <c r="N34"/>
      <c r="O34" s="278"/>
      <c r="P34"/>
      <c r="Q34"/>
      <c r="R34"/>
      <c r="S34"/>
      <c r="T34"/>
      <c r="U34"/>
      <c r="V34"/>
      <c r="W34"/>
    </row>
    <row r="35" spans="1:23" s="239" customFormat="1" x14ac:dyDescent="0.3">
      <c r="B35" s="279" t="s">
        <v>294</v>
      </c>
      <c r="C35" s="280" t="s">
        <v>2</v>
      </c>
      <c r="D35" s="283">
        <f t="shared" si="5"/>
        <v>70</v>
      </c>
      <c r="E35" s="282">
        <f t="shared" si="6"/>
        <v>0.21926689282203782</v>
      </c>
      <c r="F35" s="283">
        <f t="shared" si="7"/>
        <v>15.35</v>
      </c>
      <c r="G35" s="283">
        <f t="shared" si="8"/>
        <v>0.42</v>
      </c>
      <c r="H35" s="284">
        <f t="shared" si="9"/>
        <v>15.35</v>
      </c>
      <c r="I35" s="279"/>
      <c r="J35" s="284">
        <f t="shared" si="10"/>
        <v>2.6095000000000002</v>
      </c>
      <c r="K35" s="282">
        <f>K37*(1-A26)</f>
        <v>0.17600399999999999</v>
      </c>
      <c r="L35"/>
      <c r="M35"/>
      <c r="N35"/>
      <c r="O35" s="278"/>
      <c r="P35"/>
      <c r="Q35"/>
      <c r="R35"/>
      <c r="S35"/>
      <c r="T35"/>
      <c r="U35"/>
      <c r="V35"/>
      <c r="W35"/>
    </row>
    <row r="36" spans="1:23" s="239" customFormat="1" x14ac:dyDescent="0.3">
      <c r="B36" s="279" t="s">
        <v>295</v>
      </c>
      <c r="C36" s="280" t="s">
        <v>2</v>
      </c>
      <c r="D36" s="283">
        <f t="shared" si="5"/>
        <v>120</v>
      </c>
      <c r="E36" s="282">
        <f t="shared" si="6"/>
        <v>0.32890033923305678</v>
      </c>
      <c r="F36" s="283">
        <f t="shared" si="7"/>
        <v>39.47</v>
      </c>
      <c r="G36" s="283">
        <f t="shared" si="8"/>
        <v>1.08</v>
      </c>
      <c r="H36" s="284">
        <f t="shared" si="9"/>
        <v>39.47</v>
      </c>
      <c r="I36" s="279"/>
      <c r="J36" s="284">
        <f t="shared" si="10"/>
        <v>6.7099000000000002</v>
      </c>
      <c r="K36" s="282">
        <f>K37*(1-A27)</f>
        <v>0.26400600000000002</v>
      </c>
      <c r="L36"/>
      <c r="M36"/>
      <c r="N36"/>
      <c r="O36" s="278"/>
      <c r="P36"/>
      <c r="Q36"/>
      <c r="R36"/>
      <c r="S36"/>
      <c r="T36"/>
      <c r="U36"/>
      <c r="V36"/>
      <c r="W36"/>
    </row>
    <row r="37" spans="1:23" s="239" customFormat="1" x14ac:dyDescent="0.3">
      <c r="B37" s="279" t="s">
        <v>296</v>
      </c>
      <c r="C37" s="280" t="s">
        <v>2</v>
      </c>
      <c r="D37" s="283">
        <f t="shared" si="5"/>
        <v>1</v>
      </c>
      <c r="E37" s="282">
        <f t="shared" si="6"/>
        <v>0.36544482137006307</v>
      </c>
      <c r="F37" s="283">
        <f t="shared" si="7"/>
        <v>0.37</v>
      </c>
      <c r="G37" s="283">
        <f t="shared" si="8"/>
        <v>0.01</v>
      </c>
      <c r="H37" s="284">
        <f t="shared" si="9"/>
        <v>0.37</v>
      </c>
      <c r="I37" s="279"/>
      <c r="J37" s="284">
        <f t="shared" si="10"/>
        <v>6.2899999999999998E-2</v>
      </c>
      <c r="K37" s="282">
        <f>IF(AND($B$14&lt;$F$2,$E$14&lt;$F$2),D6,IF($B$14&lt;$F$2,J6,G6))</f>
        <v>0.29333999999999999</v>
      </c>
      <c r="L37"/>
      <c r="M37"/>
      <c r="N37"/>
      <c r="O37" s="278"/>
      <c r="P37"/>
      <c r="Q37"/>
      <c r="R37"/>
      <c r="S37"/>
      <c r="T37"/>
      <c r="U37"/>
      <c r="V37"/>
      <c r="W37"/>
    </row>
    <row r="38" spans="1:23" s="239" customFormat="1" x14ac:dyDescent="0.3">
      <c r="B38" s="279" t="s">
        <v>297</v>
      </c>
      <c r="C38" s="280" t="s">
        <v>2</v>
      </c>
      <c r="D38" s="283">
        <f t="shared" si="5"/>
        <v>30</v>
      </c>
      <c r="E38" s="282">
        <f t="shared" si="6"/>
        <v>0.12790568747952208</v>
      </c>
      <c r="F38" s="283">
        <f t="shared" si="7"/>
        <v>3.84</v>
      </c>
      <c r="G38" s="283">
        <f t="shared" si="8"/>
        <v>0.1</v>
      </c>
      <c r="H38" s="284">
        <f t="shared" si="9"/>
        <v>3.84</v>
      </c>
      <c r="I38" s="279"/>
      <c r="J38" s="284">
        <f t="shared" si="10"/>
        <v>0.65280000000000005</v>
      </c>
      <c r="K38" s="282">
        <f>K41*(1-A29)</f>
        <v>0.102669</v>
      </c>
      <c r="L38"/>
      <c r="M38"/>
      <c r="N38"/>
      <c r="O38" s="278"/>
      <c r="P38"/>
      <c r="Q38"/>
      <c r="R38"/>
      <c r="S38"/>
      <c r="T38"/>
      <c r="U38"/>
      <c r="V38"/>
      <c r="W38"/>
    </row>
    <row r="39" spans="1:23" s="239" customFormat="1" x14ac:dyDescent="0.3">
      <c r="B39" s="279" t="s">
        <v>298</v>
      </c>
      <c r="C39" s="280" t="s">
        <v>2</v>
      </c>
      <c r="D39" s="283">
        <f t="shared" si="5"/>
        <v>70</v>
      </c>
      <c r="E39" s="282">
        <f t="shared" si="6"/>
        <v>0.21926689282203782</v>
      </c>
      <c r="F39" s="283">
        <f t="shared" si="7"/>
        <v>15.35</v>
      </c>
      <c r="G39" s="283">
        <f t="shared" si="8"/>
        <v>0.42</v>
      </c>
      <c r="H39" s="284">
        <f t="shared" si="9"/>
        <v>15.35</v>
      </c>
      <c r="I39" s="279"/>
      <c r="J39" s="284">
        <f t="shared" si="10"/>
        <v>2.6095000000000002</v>
      </c>
      <c r="K39" s="282">
        <f>K41*(1-A30)</f>
        <v>0.17600399999999999</v>
      </c>
      <c r="L39"/>
      <c r="M39"/>
      <c r="N39"/>
      <c r="O39" s="278"/>
      <c r="P39"/>
      <c r="Q39"/>
      <c r="R39"/>
      <c r="S39"/>
      <c r="T39"/>
      <c r="U39"/>
      <c r="V39"/>
      <c r="W39"/>
    </row>
    <row r="40" spans="1:23" s="239" customFormat="1" x14ac:dyDescent="0.3">
      <c r="B40" s="279" t="s">
        <v>299</v>
      </c>
      <c r="C40" s="280" t="s">
        <v>2</v>
      </c>
      <c r="D40" s="283">
        <f t="shared" si="5"/>
        <v>120</v>
      </c>
      <c r="E40" s="282">
        <f t="shared" si="6"/>
        <v>0.32890033923305678</v>
      </c>
      <c r="F40" s="283">
        <f t="shared" si="7"/>
        <v>39.47</v>
      </c>
      <c r="G40" s="283">
        <f t="shared" si="8"/>
        <v>1.08</v>
      </c>
      <c r="H40" s="284">
        <f t="shared" si="9"/>
        <v>39.47</v>
      </c>
      <c r="I40" s="279"/>
      <c r="J40" s="284">
        <f t="shared" si="10"/>
        <v>6.7099000000000002</v>
      </c>
      <c r="K40" s="282">
        <f>K41*(1-A31)</f>
        <v>0.26400600000000002</v>
      </c>
      <c r="L40"/>
      <c r="M40"/>
      <c r="N40"/>
      <c r="O40" s="278"/>
      <c r="P40"/>
      <c r="Q40"/>
      <c r="R40"/>
      <c r="S40"/>
      <c r="T40"/>
      <c r="U40"/>
      <c r="V40"/>
      <c r="W40"/>
    </row>
    <row r="41" spans="1:23" s="239" customFormat="1" x14ac:dyDescent="0.3">
      <c r="B41" s="279" t="s">
        <v>300</v>
      </c>
      <c r="C41" s="280" t="s">
        <v>2</v>
      </c>
      <c r="D41" s="283">
        <f t="shared" si="5"/>
        <v>96</v>
      </c>
      <c r="E41" s="282">
        <f t="shared" si="6"/>
        <v>0.36544482137006307</v>
      </c>
      <c r="F41" s="283">
        <f t="shared" si="7"/>
        <v>35.08</v>
      </c>
      <c r="G41" s="283">
        <f t="shared" si="8"/>
        <v>0.96</v>
      </c>
      <c r="H41" s="284">
        <f t="shared" si="9"/>
        <v>35.08</v>
      </c>
      <c r="I41" s="279"/>
      <c r="J41" s="284">
        <f t="shared" si="10"/>
        <v>5.9636000000000005</v>
      </c>
      <c r="K41" s="282">
        <f>IF(AND($B$14&lt;$F$2,$E$14&lt;$F$2),D6,IF($B$14&lt;$F$2,J6,G6))</f>
        <v>0.29333999999999999</v>
      </c>
      <c r="L41"/>
      <c r="M41"/>
      <c r="N41"/>
      <c r="O41" s="278"/>
      <c r="P41"/>
      <c r="Q41"/>
      <c r="R41"/>
      <c r="S41"/>
      <c r="T41"/>
      <c r="U41"/>
      <c r="V41"/>
      <c r="W41"/>
    </row>
    <row r="42" spans="1:23" s="239" customFormat="1" x14ac:dyDescent="0.3">
      <c r="B42" s="279"/>
      <c r="C42" s="280"/>
      <c r="D42" s="283"/>
      <c r="E42" s="282"/>
      <c r="F42" s="283"/>
      <c r="G42" s="283"/>
      <c r="H42" s="284"/>
      <c r="I42" s="279"/>
      <c r="J42" s="284"/>
      <c r="K42" s="282"/>
      <c r="L42"/>
      <c r="M42"/>
      <c r="N42"/>
      <c r="O42" s="278"/>
      <c r="P42"/>
      <c r="Q42"/>
      <c r="R42"/>
      <c r="S42"/>
      <c r="T42"/>
      <c r="U42"/>
      <c r="V42"/>
      <c r="W42"/>
    </row>
    <row r="43" spans="1:23" s="239" customFormat="1" x14ac:dyDescent="0.3">
      <c r="B43" s="279" t="s">
        <v>43</v>
      </c>
      <c r="C43" s="280"/>
      <c r="D43" s="283">
        <f>C175+C212</f>
        <v>0</v>
      </c>
      <c r="E43" s="282"/>
      <c r="F43" s="283">
        <f>(O175+O212)/(1-$N$25-$N$26)/(1-$I$24)</f>
        <v>0</v>
      </c>
      <c r="G43" s="283">
        <f t="shared" ref="G43:G58" si="11">ROUND(((D43*K43)/(1-$N$25-$N$26))*($N$25+$N$26),2)</f>
        <v>0</v>
      </c>
      <c r="H43" s="284">
        <f t="shared" ref="H43:H58" si="12">F43</f>
        <v>0</v>
      </c>
      <c r="I43" s="279"/>
      <c r="J43" s="284">
        <f t="shared" ref="J43:J58" si="13">H43*$I$24</f>
        <v>0</v>
      </c>
      <c r="K43" s="282">
        <f>K175</f>
        <v>6.5974999999999992E-3</v>
      </c>
      <c r="O43" s="278"/>
      <c r="P43"/>
      <c r="Q43"/>
      <c r="R43"/>
      <c r="S43"/>
      <c r="T43"/>
      <c r="U43"/>
      <c r="V43"/>
      <c r="W43"/>
    </row>
    <row r="44" spans="1:23" s="239" customFormat="1" x14ac:dyDescent="0.3">
      <c r="B44" s="279" t="s">
        <v>43</v>
      </c>
      <c r="C44" s="280"/>
      <c r="D44" s="283">
        <f>C176+C213</f>
        <v>0</v>
      </c>
      <c r="E44" s="282"/>
      <c r="F44" s="283">
        <f>(O176+O213)/(1-$N$25-$N$26)/(1-$I$24)</f>
        <v>0</v>
      </c>
      <c r="G44" s="283">
        <f t="shared" si="11"/>
        <v>0</v>
      </c>
      <c r="H44" s="284">
        <f t="shared" si="12"/>
        <v>0</v>
      </c>
      <c r="I44" s="279"/>
      <c r="J44" s="284">
        <f t="shared" si="13"/>
        <v>0</v>
      </c>
      <c r="K44" s="282">
        <f>K176</f>
        <v>1.1309999999999999E-2</v>
      </c>
      <c r="L44" s="19"/>
      <c r="M44" s="19"/>
      <c r="N44" s="19"/>
      <c r="O44" s="278"/>
      <c r="P44"/>
      <c r="Q44" s="314"/>
      <c r="R44"/>
      <c r="S44"/>
      <c r="T44"/>
      <c r="U44"/>
      <c r="V44"/>
      <c r="W44"/>
    </row>
    <row r="45" spans="1:23" s="239" customFormat="1" x14ac:dyDescent="0.3">
      <c r="B45" s="279" t="s">
        <v>43</v>
      </c>
      <c r="C45" s="280"/>
      <c r="D45" s="283">
        <f>C177+C214</f>
        <v>0</v>
      </c>
      <c r="E45" s="282"/>
      <c r="F45" s="283">
        <f>(O177+O214)/(1-$N$25-$N$26)/(1-$I$24)</f>
        <v>0</v>
      </c>
      <c r="G45" s="283">
        <f t="shared" si="11"/>
        <v>0</v>
      </c>
      <c r="H45" s="284">
        <f t="shared" si="12"/>
        <v>0</v>
      </c>
      <c r="I45" s="279"/>
      <c r="J45" s="284">
        <f t="shared" si="13"/>
        <v>0</v>
      </c>
      <c r="K45" s="282">
        <f>K177</f>
        <v>1.6965000000000001E-2</v>
      </c>
      <c r="L45" s="19"/>
      <c r="M45" s="19"/>
      <c r="N45" s="19"/>
      <c r="O45" s="278"/>
      <c r="P45" s="315"/>
      <c r="Q45" s="314"/>
      <c r="R45"/>
      <c r="S45"/>
      <c r="T45"/>
      <c r="U45"/>
      <c r="V45"/>
      <c r="W45"/>
    </row>
    <row r="46" spans="1:23" s="239" customFormat="1" x14ac:dyDescent="0.3">
      <c r="B46" s="279" t="s">
        <v>43</v>
      </c>
      <c r="C46" s="280"/>
      <c r="D46" s="283">
        <f>C178+C215</f>
        <v>0</v>
      </c>
      <c r="E46" s="282"/>
      <c r="F46" s="283">
        <f>(O178+O215)/(1-$N$25-$N$26)/(1-$I$24)</f>
        <v>0</v>
      </c>
      <c r="G46" s="283">
        <f t="shared" si="11"/>
        <v>0</v>
      </c>
      <c r="H46" s="284">
        <f t="shared" si="12"/>
        <v>0</v>
      </c>
      <c r="I46" s="279"/>
      <c r="J46" s="284">
        <f t="shared" si="13"/>
        <v>0</v>
      </c>
      <c r="K46" s="282">
        <f>K178</f>
        <v>1.8849999999999999E-2</v>
      </c>
      <c r="L46" s="19"/>
      <c r="M46" s="19"/>
      <c r="N46" s="19"/>
      <c r="O46" s="278"/>
      <c r="P46"/>
      <c r="Q46" s="316"/>
      <c r="R46"/>
      <c r="S46"/>
      <c r="T46"/>
      <c r="U46"/>
      <c r="V46"/>
      <c r="W46"/>
    </row>
    <row r="47" spans="1:23" s="239" customFormat="1" x14ac:dyDescent="0.3">
      <c r="B47" s="279" t="s">
        <v>258</v>
      </c>
      <c r="C47" s="280"/>
      <c r="D47" s="283">
        <f>C184+C221</f>
        <v>20.689655172413794</v>
      </c>
      <c r="E47" s="282"/>
      <c r="F47" s="283">
        <f>(O184+O221)/(1-$N$25-$N$26)/(1-$I$24)</f>
        <v>0.39865801744876311</v>
      </c>
      <c r="G47" s="283">
        <f t="shared" si="11"/>
        <v>0.01</v>
      </c>
      <c r="H47" s="284">
        <f t="shared" si="12"/>
        <v>0.39865801744876311</v>
      </c>
      <c r="I47" s="279"/>
      <c r="J47" s="284">
        <f t="shared" si="13"/>
        <v>6.7771862966289731E-2</v>
      </c>
      <c r="K47" s="282">
        <f>K184</f>
        <v>1.5620500000000001E-2</v>
      </c>
      <c r="O47" s="278"/>
      <c r="P47"/>
      <c r="Q47"/>
      <c r="R47"/>
      <c r="S47"/>
      <c r="T47"/>
      <c r="U47"/>
      <c r="V47"/>
      <c r="W47"/>
    </row>
    <row r="48" spans="1:23" s="239" customFormat="1" x14ac:dyDescent="0.3">
      <c r="B48" s="279" t="s">
        <v>258</v>
      </c>
      <c r="C48" s="280"/>
      <c r="D48" s="283">
        <f>C185+C222</f>
        <v>48.275862068965516</v>
      </c>
      <c r="E48" s="282"/>
      <c r="F48" s="283">
        <f>(O185+O222)/(1-$N$25-$N$26)/(1-$I$24)</f>
        <v>1.6195481958856004</v>
      </c>
      <c r="G48" s="283">
        <f t="shared" si="11"/>
        <v>0.04</v>
      </c>
      <c r="H48" s="284">
        <f t="shared" si="12"/>
        <v>1.6195481958856004</v>
      </c>
      <c r="I48" s="279"/>
      <c r="J48" s="284">
        <f t="shared" si="13"/>
        <v>0.2753231933005521</v>
      </c>
      <c r="K48" s="282">
        <f>K185</f>
        <v>2.6778E-2</v>
      </c>
      <c r="L48" s="19"/>
      <c r="M48" s="19"/>
      <c r="N48" s="19"/>
      <c r="O48" s="278"/>
      <c r="P48"/>
      <c r="Q48" s="314"/>
      <c r="R48"/>
      <c r="S48"/>
      <c r="T48"/>
      <c r="U48"/>
      <c r="V48"/>
      <c r="W48"/>
    </row>
    <row r="49" spans="1:23" s="239" customFormat="1" x14ac:dyDescent="0.3">
      <c r="B49" s="279" t="s">
        <v>258</v>
      </c>
      <c r="C49" s="280"/>
      <c r="D49" s="283">
        <f>C186+C223</f>
        <v>82.758620689655174</v>
      </c>
      <c r="E49" s="282"/>
      <c r="F49" s="283">
        <f>(O186+O223)/(1-$N$25-$N$26)/(1-$I$24)</f>
        <v>4.1360769310309173</v>
      </c>
      <c r="G49" s="283">
        <f t="shared" si="11"/>
        <v>0.11</v>
      </c>
      <c r="H49" s="284">
        <f t="shared" si="12"/>
        <v>4.1360769310309173</v>
      </c>
      <c r="I49" s="279"/>
      <c r="J49" s="284">
        <f t="shared" si="13"/>
        <v>0.70313307827525595</v>
      </c>
      <c r="K49" s="282">
        <f>K186</f>
        <v>4.0167000000000001E-2</v>
      </c>
      <c r="L49" s="19"/>
      <c r="M49" s="19"/>
      <c r="N49" s="19"/>
      <c r="O49" s="278"/>
      <c r="P49" s="315"/>
      <c r="Q49" s="314"/>
      <c r="R49"/>
      <c r="S49"/>
      <c r="T49"/>
      <c r="U49"/>
      <c r="V49"/>
      <c r="W49"/>
    </row>
    <row r="50" spans="1:23" s="239" customFormat="1" x14ac:dyDescent="0.3">
      <c r="B50" s="279" t="s">
        <v>258</v>
      </c>
      <c r="C50" s="280"/>
      <c r="D50" s="283">
        <f>C187+C224</f>
        <v>33.448275862068968</v>
      </c>
      <c r="E50" s="282"/>
      <c r="F50" s="283">
        <f>(O187+O224)/(1-$N$25-$N$26)/(1-$I$24)</f>
        <v>1.8687094567910771</v>
      </c>
      <c r="G50" s="283">
        <f t="shared" si="11"/>
        <v>0.05</v>
      </c>
      <c r="H50" s="284">
        <f t="shared" si="12"/>
        <v>1.8687094567910771</v>
      </c>
      <c r="I50" s="279"/>
      <c r="J50" s="284">
        <f t="shared" si="13"/>
        <v>0.31768060765448314</v>
      </c>
      <c r="K50" s="282">
        <f>K187</f>
        <v>4.4630000000000003E-2</v>
      </c>
      <c r="L50" s="19"/>
      <c r="M50" s="19"/>
      <c r="N50" s="19"/>
      <c r="O50" s="278"/>
      <c r="P50"/>
      <c r="Q50" s="316"/>
      <c r="R50"/>
      <c r="S50"/>
      <c r="T50"/>
      <c r="U50"/>
      <c r="V50"/>
      <c r="W50"/>
    </row>
    <row r="51" spans="1:23" s="239" customFormat="1" x14ac:dyDescent="0.3">
      <c r="B51" s="279" t="s">
        <v>259</v>
      </c>
      <c r="C51" s="280"/>
      <c r="D51" s="283">
        <f>C193+C230</f>
        <v>39.310344827586206</v>
      </c>
      <c r="E51" s="282"/>
      <c r="F51" s="283">
        <f>(O193+O230)/(1-$N$25-$N$26)/(1-$I$24)</f>
        <v>1.3454708088895757</v>
      </c>
      <c r="G51" s="283">
        <f t="shared" si="11"/>
        <v>0.04</v>
      </c>
      <c r="H51" s="284">
        <f t="shared" si="12"/>
        <v>1.3454708088895757</v>
      </c>
      <c r="I51" s="279"/>
      <c r="J51" s="284">
        <f t="shared" si="13"/>
        <v>0.22873003751122789</v>
      </c>
      <c r="K51" s="282">
        <f>K193</f>
        <v>2.75695E-2</v>
      </c>
      <c r="O51" s="278"/>
      <c r="P51"/>
      <c r="Q51"/>
      <c r="R51"/>
      <c r="S51"/>
      <c r="T51"/>
      <c r="U51"/>
      <c r="V51"/>
      <c r="W51"/>
    </row>
    <row r="52" spans="1:23" s="239" customFormat="1" x14ac:dyDescent="0.3">
      <c r="B52" s="279" t="s">
        <v>259</v>
      </c>
      <c r="C52" s="280"/>
      <c r="D52" s="283">
        <f>C194+C231</f>
        <v>91.724137931034477</v>
      </c>
      <c r="E52" s="282"/>
      <c r="F52" s="283">
        <f>(O194+O231)/(1-$N$25-$N$26)/(1-$I$24)</f>
        <v>5.4067993616488499</v>
      </c>
      <c r="G52" s="283">
        <f t="shared" si="11"/>
        <v>0.15</v>
      </c>
      <c r="H52" s="284">
        <f t="shared" si="12"/>
        <v>5.4067993616488499</v>
      </c>
      <c r="I52" s="279"/>
      <c r="J52" s="284">
        <f t="shared" si="13"/>
        <v>0.91915589148030452</v>
      </c>
      <c r="K52" s="282">
        <f>K194</f>
        <v>4.7262000000000005E-2</v>
      </c>
      <c r="L52" s="19"/>
      <c r="M52" s="19"/>
      <c r="N52" s="19"/>
      <c r="O52" s="278"/>
      <c r="P52"/>
      <c r="Q52" s="314"/>
      <c r="R52"/>
      <c r="S52"/>
      <c r="T52"/>
      <c r="U52"/>
      <c r="V52"/>
      <c r="W52"/>
    </row>
    <row r="53" spans="1:23" s="239" customFormat="1" x14ac:dyDescent="0.3">
      <c r="B53" s="279" t="s">
        <v>259</v>
      </c>
      <c r="C53" s="280"/>
      <c r="D53" s="283">
        <f>C195+C232</f>
        <v>157.24137931034483</v>
      </c>
      <c r="E53" s="282"/>
      <c r="F53" s="283">
        <f>(O195+O232)/(1-$N$25-$N$26)/(1-$I$24)</f>
        <v>13.878282232435067</v>
      </c>
      <c r="G53" s="283">
        <f t="shared" si="11"/>
        <v>0.38</v>
      </c>
      <c r="H53" s="284">
        <f t="shared" si="12"/>
        <v>13.878282232435067</v>
      </c>
      <c r="I53" s="279"/>
      <c r="J53" s="284">
        <f t="shared" si="13"/>
        <v>2.3593079795139618</v>
      </c>
      <c r="K53" s="282">
        <f>K195</f>
        <v>7.0893000000000012E-2</v>
      </c>
      <c r="L53" s="19"/>
      <c r="M53" s="19"/>
      <c r="N53" s="19"/>
      <c r="O53" s="278"/>
      <c r="P53" s="315"/>
      <c r="Q53" s="314"/>
      <c r="R53"/>
      <c r="S53"/>
      <c r="T53"/>
      <c r="U53"/>
      <c r="V53"/>
      <c r="W53"/>
    </row>
    <row r="54" spans="1:23" s="239" customFormat="1" x14ac:dyDescent="0.3">
      <c r="B54" s="279" t="s">
        <v>259</v>
      </c>
      <c r="C54" s="280"/>
      <c r="D54" s="283">
        <f>C196+C233</f>
        <v>63.551724137931032</v>
      </c>
      <c r="E54" s="282"/>
      <c r="F54" s="283">
        <f>(O196+O233)/(1-$N$25-$N$26)/(1-$I$24)</f>
        <v>6.2290315226369239</v>
      </c>
      <c r="G54" s="283">
        <f t="shared" si="11"/>
        <v>0.17</v>
      </c>
      <c r="H54" s="284">
        <f t="shared" si="12"/>
        <v>6.2290315226369239</v>
      </c>
      <c r="I54" s="279"/>
      <c r="J54" s="284">
        <f t="shared" si="13"/>
        <v>1.0589353588482771</v>
      </c>
      <c r="K54" s="282">
        <f>K196</f>
        <v>7.8770000000000007E-2</v>
      </c>
      <c r="L54" s="19"/>
      <c r="M54" s="19"/>
      <c r="N54" s="19"/>
      <c r="O54" s="278"/>
      <c r="P54"/>
      <c r="Q54" s="316"/>
      <c r="R54"/>
      <c r="S54"/>
      <c r="T54"/>
      <c r="U54"/>
      <c r="V54"/>
      <c r="W54"/>
    </row>
    <row r="55" spans="1:23" s="239" customFormat="1" x14ac:dyDescent="0.3">
      <c r="B55" s="279" t="s">
        <v>264</v>
      </c>
      <c r="C55" s="280"/>
      <c r="D55" s="283">
        <f>C202+C239</f>
        <v>0</v>
      </c>
      <c r="E55" s="282"/>
      <c r="F55" s="283">
        <f>(O202+O239)/(1-$N$25-$N$26)/(1-$I$24)</f>
        <v>0</v>
      </c>
      <c r="G55" s="283">
        <f t="shared" si="11"/>
        <v>0</v>
      </c>
      <c r="H55" s="284">
        <f t="shared" si="12"/>
        <v>0</v>
      </c>
      <c r="I55" s="279"/>
      <c r="J55" s="284">
        <f t="shared" si="13"/>
        <v>0</v>
      </c>
      <c r="K55" s="282">
        <f>K202</f>
        <v>4.9699999999999994E-2</v>
      </c>
      <c r="O55" s="278"/>
      <c r="P55"/>
      <c r="Q55"/>
      <c r="R55"/>
      <c r="S55"/>
      <c r="T55"/>
      <c r="U55"/>
      <c r="V55"/>
      <c r="W55"/>
    </row>
    <row r="56" spans="1:23" s="239" customFormat="1" x14ac:dyDescent="0.3">
      <c r="B56" s="279" t="s">
        <v>264</v>
      </c>
      <c r="C56" s="280"/>
      <c r="D56" s="283">
        <f>C203+C240</f>
        <v>0</v>
      </c>
      <c r="E56" s="282"/>
      <c r="F56" s="283">
        <f>(O203+O240)/(1-$N$25-$N$26)/(1-$I$24)</f>
        <v>0</v>
      </c>
      <c r="G56" s="283">
        <f t="shared" si="11"/>
        <v>0</v>
      </c>
      <c r="H56" s="284">
        <f t="shared" si="12"/>
        <v>0</v>
      </c>
      <c r="I56" s="279"/>
      <c r="J56" s="284">
        <f t="shared" si="13"/>
        <v>0</v>
      </c>
      <c r="K56" s="282">
        <f>K203</f>
        <v>8.5199999999999984E-2</v>
      </c>
      <c r="L56" s="19"/>
      <c r="M56" s="19"/>
      <c r="N56" s="19"/>
      <c r="O56" s="278"/>
      <c r="P56"/>
      <c r="Q56" s="314"/>
      <c r="R56"/>
      <c r="S56"/>
      <c r="T56"/>
      <c r="U56"/>
      <c r="V56"/>
      <c r="W56"/>
    </row>
    <row r="57" spans="1:23" s="239" customFormat="1" x14ac:dyDescent="0.3">
      <c r="B57" s="279" t="s">
        <v>264</v>
      </c>
      <c r="C57" s="280"/>
      <c r="D57" s="283">
        <f>C204+C241</f>
        <v>0</v>
      </c>
      <c r="E57" s="282"/>
      <c r="F57" s="283">
        <f>(O204+O241)/(1-$N$25-$N$26)/(1-$I$24)</f>
        <v>0</v>
      </c>
      <c r="G57" s="283">
        <f t="shared" si="11"/>
        <v>0</v>
      </c>
      <c r="H57" s="284">
        <f t="shared" si="12"/>
        <v>0</v>
      </c>
      <c r="I57" s="279"/>
      <c r="J57" s="284">
        <f t="shared" si="13"/>
        <v>0</v>
      </c>
      <c r="K57" s="282">
        <f>K204</f>
        <v>0.1278</v>
      </c>
      <c r="L57" s="19"/>
      <c r="M57" s="19"/>
      <c r="N57" s="19"/>
      <c r="O57" s="278"/>
      <c r="P57" s="315"/>
      <c r="Q57" s="314"/>
      <c r="R57"/>
      <c r="S57"/>
      <c r="T57"/>
      <c r="U57"/>
      <c r="V57"/>
      <c r="W57"/>
    </row>
    <row r="58" spans="1:23" s="239" customFormat="1" x14ac:dyDescent="0.3">
      <c r="B58" s="279" t="s">
        <v>264</v>
      </c>
      <c r="C58" s="280"/>
      <c r="D58" s="283">
        <f>C205+C242</f>
        <v>0</v>
      </c>
      <c r="E58" s="282"/>
      <c r="F58" s="283">
        <f>(O205+O242)/(1-$N$25-$N$26)/(1-$I$24)</f>
        <v>0</v>
      </c>
      <c r="G58" s="283">
        <f t="shared" si="11"/>
        <v>0</v>
      </c>
      <c r="H58" s="284">
        <f t="shared" si="12"/>
        <v>0</v>
      </c>
      <c r="I58" s="279"/>
      <c r="J58" s="284">
        <f t="shared" si="13"/>
        <v>0</v>
      </c>
      <c r="K58" s="282">
        <f>K205</f>
        <v>0.14199999999999999</v>
      </c>
      <c r="L58" s="19"/>
      <c r="M58" s="19"/>
      <c r="N58" s="19"/>
      <c r="O58" s="278"/>
      <c r="P58"/>
      <c r="Q58" s="316"/>
      <c r="R58"/>
      <c r="S58"/>
      <c r="T58"/>
      <c r="U58"/>
      <c r="V58"/>
      <c r="W58"/>
    </row>
    <row r="59" spans="1:23" s="239" customFormat="1" x14ac:dyDescent="0.3">
      <c r="B59" s="279"/>
      <c r="C59" s="280"/>
      <c r="D59" s="283"/>
      <c r="E59" s="282"/>
      <c r="F59" s="283"/>
      <c r="G59" s="283"/>
      <c r="H59" s="284"/>
      <c r="I59" s="279"/>
      <c r="J59" s="284"/>
      <c r="K59" s="282"/>
      <c r="L59" s="347"/>
      <c r="M59" s="348"/>
      <c r="N59" s="347"/>
      <c r="O59" s="349"/>
      <c r="P59"/>
      <c r="Q59" s="316"/>
      <c r="R59"/>
      <c r="S59"/>
      <c r="T59"/>
      <c r="U59"/>
      <c r="V59"/>
      <c r="W59"/>
    </row>
    <row r="60" spans="1:23" s="239" customFormat="1" x14ac:dyDescent="0.3">
      <c r="A60" s="313">
        <v>0.65</v>
      </c>
      <c r="B60" s="279" t="s">
        <v>301</v>
      </c>
      <c r="C60" s="280" t="s">
        <v>2</v>
      </c>
      <c r="D60" s="283">
        <f>-(IF(D17&gt;0,30,0))</f>
        <v>-30</v>
      </c>
      <c r="E60" s="282">
        <f>K60/(1-$N$25-$N$26)/(1-$I$60)</f>
        <v>0.10471771274945713</v>
      </c>
      <c r="F60" s="283">
        <f>ROUND(D60*E60,2)</f>
        <v>-3.14</v>
      </c>
      <c r="G60" s="283">
        <f>ROUND(((D60*K60)/(1-$N$25-$N$26))*($N$25+$N$26),2)</f>
        <v>-0.1</v>
      </c>
      <c r="H60" s="284">
        <f>ROUND((D60*K60)/(1-$N$25-$N$26)/(1-$I$24),2)</f>
        <v>-3.78</v>
      </c>
      <c r="J60" s="284">
        <f>H60*$I$24</f>
        <v>-0.64260000000000006</v>
      </c>
      <c r="K60" s="282">
        <f>K63*(1-A60)</f>
        <v>0.10127249999999999</v>
      </c>
      <c r="L60" s="47" t="s">
        <v>235</v>
      </c>
      <c r="M60" s="283">
        <f>D139</f>
        <v>-108.48929790094095</v>
      </c>
      <c r="N60" s="286">
        <f>N25</f>
        <v>5.8999999999999999E-3</v>
      </c>
      <c r="O60" s="287">
        <f>ROUND(M60*N60,2)</f>
        <v>-0.64</v>
      </c>
      <c r="P60"/>
      <c r="Q60" s="1"/>
      <c r="R60" s="1"/>
      <c r="S60" s="1"/>
      <c r="T60"/>
      <c r="U60"/>
      <c r="V60"/>
      <c r="W60"/>
    </row>
    <row r="61" spans="1:23" s="239" customFormat="1" x14ac:dyDescent="0.3">
      <c r="A61" s="313">
        <v>0.4</v>
      </c>
      <c r="B61" s="279" t="s">
        <v>301</v>
      </c>
      <c r="C61" s="280" t="s">
        <v>2</v>
      </c>
      <c r="D61" s="283">
        <f>-(IF(D17&gt;30,IF(D17&gt;100,70,D17-30),0))</f>
        <v>-70</v>
      </c>
      <c r="E61" s="282">
        <f>K61/(1-$N$25-$N$26)/(1-$I$60)</f>
        <v>0.17951607899906938</v>
      </c>
      <c r="F61" s="283">
        <f>ROUND(D61*E61,2)</f>
        <v>-12.57</v>
      </c>
      <c r="G61" s="283">
        <f>ROUND(((D61*K61)/(1-$N$25-$N$26))*($N$25+$N$26),2)</f>
        <v>-0.41</v>
      </c>
      <c r="H61" s="284">
        <f>ROUND((D61*K61)/(1-$N$25-$N$26)/(1-$I$24),2)</f>
        <v>-15.14</v>
      </c>
      <c r="I61" s="279"/>
      <c r="J61" s="284">
        <f>H61*$I$24</f>
        <v>-2.5738000000000003</v>
      </c>
      <c r="K61" s="282">
        <f>K63*(1-A61)</f>
        <v>0.17360999999999999</v>
      </c>
      <c r="L61" s="47" t="s">
        <v>236</v>
      </c>
      <c r="M61" s="283">
        <f>M60</f>
        <v>-108.48929790094095</v>
      </c>
      <c r="N61" s="286">
        <f>N26</f>
        <v>2.7E-2</v>
      </c>
      <c r="O61" s="287">
        <f>ROUND(M61*N61,2)</f>
        <v>-2.93</v>
      </c>
      <c r="P61"/>
      <c r="Q61"/>
      <c r="R61"/>
      <c r="S61"/>
      <c r="T61"/>
      <c r="U61"/>
      <c r="V61"/>
      <c r="W61"/>
    </row>
    <row r="62" spans="1:23" s="239" customFormat="1" x14ac:dyDescent="0.3">
      <c r="A62" s="313">
        <v>0.1</v>
      </c>
      <c r="B62" s="279" t="s">
        <v>301</v>
      </c>
      <c r="C62" s="280" t="s">
        <v>2</v>
      </c>
      <c r="D62" s="283">
        <f>-(IF(D17&gt;100,IF(D17&gt;220,220-100,D17-100),0))</f>
        <v>-120</v>
      </c>
      <c r="E62" s="282">
        <f>K62/(1-$N$25-$N$26)/(1-$I$60)</f>
        <v>0.26927411849860411</v>
      </c>
      <c r="F62" s="283">
        <f>ROUND(D62*E62,2)</f>
        <v>-32.31</v>
      </c>
      <c r="G62" s="283">
        <f>ROUND(((D62*K62)/(1-$N$25-$N$26))*($N$25+$N$26),2)</f>
        <v>-1.06</v>
      </c>
      <c r="H62" s="284">
        <f>ROUND((D62*K62)/(1-$N$25-$N$26)/(1-$I$24),2)</f>
        <v>-38.93</v>
      </c>
      <c r="I62" s="279"/>
      <c r="J62" s="284">
        <f>H62*$I$24</f>
        <v>-6.6181000000000001</v>
      </c>
      <c r="K62" s="282">
        <f>K63*(1-A62)</f>
        <v>0.26041500000000001</v>
      </c>
      <c r="L62" s="19"/>
      <c r="M62" s="19"/>
      <c r="N62" s="19"/>
      <c r="O62" s="278"/>
      <c r="P62"/>
      <c r="Q62"/>
      <c r="R62"/>
      <c r="S62"/>
      <c r="T62"/>
      <c r="U62"/>
      <c r="V62"/>
      <c r="W62"/>
    </row>
    <row r="63" spans="1:23" s="239" customFormat="1" x14ac:dyDescent="0.3">
      <c r="A63" s="313">
        <v>0</v>
      </c>
      <c r="B63" s="279" t="s">
        <v>301</v>
      </c>
      <c r="C63" s="280" t="s">
        <v>2</v>
      </c>
      <c r="D63" s="283">
        <f>-(IF(D17&gt;220,D17-220,0))</f>
        <v>-1</v>
      </c>
      <c r="E63" s="282">
        <f>K63/(1-$N$25-$N$26)/(1-$I$60)</f>
        <v>0.29919346499844895</v>
      </c>
      <c r="F63" s="283">
        <f>ROUND(D63*E63,2)</f>
        <v>-0.3</v>
      </c>
      <c r="G63" s="283">
        <f>ROUND(((D63*K63)/(1-$N$25-$N$26))*($N$25+$N$26),2)</f>
        <v>-0.01</v>
      </c>
      <c r="H63" s="284">
        <f>ROUND((D63*K63)/(1-$N$25-$N$26)/(1-$I$24),2)</f>
        <v>-0.36</v>
      </c>
      <c r="I63" s="279"/>
      <c r="J63" s="284">
        <f>H63*$I$24</f>
        <v>-6.1200000000000004E-2</v>
      </c>
      <c r="K63" s="282">
        <f>IF(AND($B$14&lt;$F$2,$E$14&lt;$F$2),C6,IF($B$14&lt;$F$2,I6,F6))</f>
        <v>0.28935</v>
      </c>
      <c r="L63" s="19"/>
      <c r="M63" s="19"/>
      <c r="N63" s="19"/>
      <c r="O63" s="278"/>
      <c r="P63"/>
      <c r="Q63"/>
      <c r="R63"/>
      <c r="S63"/>
      <c r="T63"/>
      <c r="U63"/>
      <c r="V63"/>
      <c r="W63"/>
    </row>
    <row r="64" spans="1:23" s="239" customFormat="1" x14ac:dyDescent="0.3">
      <c r="A64" s="325"/>
      <c r="B64" s="279"/>
      <c r="C64" s="280"/>
      <c r="D64" s="283"/>
      <c r="E64" s="282"/>
      <c r="F64" s="283"/>
      <c r="G64" s="283"/>
      <c r="H64" s="284"/>
      <c r="I64" s="279"/>
      <c r="J64" s="284"/>
      <c r="K64" s="282"/>
      <c r="L64" s="19"/>
      <c r="M64" s="19"/>
      <c r="N64" s="19"/>
      <c r="O64" s="278"/>
      <c r="P64"/>
      <c r="Q64"/>
      <c r="R64"/>
      <c r="S64"/>
      <c r="T64"/>
      <c r="U64"/>
      <c r="V64"/>
      <c r="W64"/>
    </row>
    <row r="65" spans="2:23" s="239" customFormat="1" x14ac:dyDescent="0.3">
      <c r="B65" s="279" t="s">
        <v>302</v>
      </c>
      <c r="C65" s="280" t="s">
        <v>2</v>
      </c>
      <c r="D65" s="283">
        <f>D60</f>
        <v>-30</v>
      </c>
      <c r="E65" s="282">
        <f>K65/(1-$N$25-$N$26)/(1-$I$24)</f>
        <v>0.12790568747952208</v>
      </c>
      <c r="F65" s="283">
        <f>ROUND(D65*E65,2)</f>
        <v>-3.84</v>
      </c>
      <c r="G65" s="283">
        <f>ROUND(((D65*K65)/(1-$N$25-$N$26))*($N$25+$N$26),2)</f>
        <v>-0.1</v>
      </c>
      <c r="H65" s="284">
        <f>ROUND((D65*K65)/(1-$N$25-$N$26)/(1-$I$24),2)</f>
        <v>-3.84</v>
      </c>
      <c r="I65" s="279"/>
      <c r="J65" s="284">
        <f>H65*$I$24</f>
        <v>-0.65280000000000005</v>
      </c>
      <c r="K65" s="282">
        <f>$K$68*(1-A60)</f>
        <v>0.102669</v>
      </c>
      <c r="L65"/>
      <c r="M65"/>
      <c r="N65"/>
      <c r="O65" s="278"/>
      <c r="P65"/>
      <c r="Q65"/>
      <c r="R65"/>
      <c r="S65"/>
      <c r="T65"/>
      <c r="U65"/>
      <c r="V65"/>
      <c r="W65"/>
    </row>
    <row r="66" spans="2:23" s="239" customFormat="1" x14ac:dyDescent="0.3">
      <c r="B66" s="279" t="s">
        <v>302</v>
      </c>
      <c r="C66" s="280" t="s">
        <v>2</v>
      </c>
      <c r="D66" s="283">
        <f>D61</f>
        <v>-70</v>
      </c>
      <c r="E66" s="282">
        <f>K66/(1-$N$25-$N$26)/(1-$I$24)</f>
        <v>0.21926689282203782</v>
      </c>
      <c r="F66" s="283">
        <f>ROUND(D66*E66,2)</f>
        <v>-15.35</v>
      </c>
      <c r="G66" s="283">
        <f>ROUND(((D66*K66)/(1-$N$25-$N$26))*($N$25+$N$26),2)</f>
        <v>-0.42</v>
      </c>
      <c r="H66" s="284">
        <f>ROUND((D66*K66)/(1-$N$25-$N$26)/(1-$I$24),2)</f>
        <v>-15.35</v>
      </c>
      <c r="I66" s="279"/>
      <c r="J66" s="284">
        <f>H66*$I$24</f>
        <v>-2.6095000000000002</v>
      </c>
      <c r="K66" s="282">
        <f>$K$68*(1-A61)</f>
        <v>0.17600399999999999</v>
      </c>
      <c r="L66"/>
      <c r="M66"/>
      <c r="N66"/>
      <c r="O66" s="278"/>
      <c r="P66"/>
      <c r="Q66"/>
      <c r="R66"/>
      <c r="S66"/>
      <c r="T66"/>
      <c r="U66"/>
      <c r="V66"/>
      <c r="W66"/>
    </row>
    <row r="67" spans="2:23" s="239" customFormat="1" x14ac:dyDescent="0.3">
      <c r="B67" s="279" t="s">
        <v>302</v>
      </c>
      <c r="C67" s="280" t="s">
        <v>2</v>
      </c>
      <c r="D67" s="283">
        <f>D62</f>
        <v>-120</v>
      </c>
      <c r="E67" s="282">
        <f>K67/(1-$N$25-$N$26)/(1-$I$24)</f>
        <v>0.32890033923305678</v>
      </c>
      <c r="F67" s="283">
        <f>ROUND(D67*E67,2)</f>
        <v>-39.47</v>
      </c>
      <c r="G67" s="283">
        <f>ROUND(((D67*K67)/(1-$N$25-$N$26))*($N$25+$N$26),2)</f>
        <v>-1.08</v>
      </c>
      <c r="H67" s="284">
        <f>ROUND((D67*K67)/(1-$N$25-$N$26)/(1-$I$24),2)</f>
        <v>-39.47</v>
      </c>
      <c r="I67" s="279"/>
      <c r="J67" s="284">
        <f>H67*$I$24</f>
        <v>-6.7099000000000002</v>
      </c>
      <c r="K67" s="282">
        <f>$K$68*(1-A62)</f>
        <v>0.26400600000000002</v>
      </c>
      <c r="L67"/>
      <c r="M67"/>
      <c r="N67"/>
      <c r="O67" s="278"/>
      <c r="P67"/>
      <c r="Q67"/>
      <c r="R67"/>
      <c r="S67"/>
      <c r="T67"/>
      <c r="U67"/>
      <c r="V67"/>
      <c r="W67"/>
    </row>
    <row r="68" spans="2:23" s="239" customFormat="1" x14ac:dyDescent="0.3">
      <c r="B68" s="279" t="s">
        <v>302</v>
      </c>
      <c r="C68" s="280" t="s">
        <v>2</v>
      </c>
      <c r="D68" s="283">
        <f>D63</f>
        <v>-1</v>
      </c>
      <c r="E68" s="282">
        <f>K68/(1-$N$25-$N$26)/(1-$I$24)</f>
        <v>0.36544482137006307</v>
      </c>
      <c r="F68" s="283">
        <f>ROUND(D68*E68,2)</f>
        <v>-0.37</v>
      </c>
      <c r="G68" s="283">
        <f>ROUND(((D68*K68)/(1-$N$25-$N$26))*($N$25+$N$26),2)</f>
        <v>-0.01</v>
      </c>
      <c r="H68" s="284">
        <f>ROUND((D68*K68)/(1-$N$25-$N$26)/(1-$I$24),2)</f>
        <v>-0.37</v>
      </c>
      <c r="I68" s="279"/>
      <c r="J68" s="284">
        <f>H68*$I$24</f>
        <v>-6.2899999999999998E-2</v>
      </c>
      <c r="K68" s="282">
        <f>IF(AND($B$14&lt;$F$2,$E$14&lt;$F$2),D6,IF($B$14&lt;$F$2,J6,G6))</f>
        <v>0.29333999999999999</v>
      </c>
      <c r="L68"/>
      <c r="M68"/>
      <c r="N68"/>
      <c r="O68" s="278"/>
      <c r="P68"/>
      <c r="Q68"/>
      <c r="R68"/>
      <c r="S68"/>
      <c r="T68"/>
      <c r="U68"/>
      <c r="V68"/>
      <c r="W68"/>
    </row>
    <row r="69" spans="2:23" s="239" customFormat="1" x14ac:dyDescent="0.3">
      <c r="B69" s="279"/>
      <c r="C69" s="280"/>
      <c r="D69" s="283"/>
      <c r="E69" s="282"/>
      <c r="F69" s="283"/>
      <c r="G69" s="283"/>
      <c r="H69" s="284"/>
      <c r="I69" s="279"/>
      <c r="J69" s="284"/>
      <c r="K69" s="282"/>
      <c r="L69"/>
      <c r="M69"/>
      <c r="N69"/>
      <c r="O69" s="278"/>
      <c r="P69"/>
      <c r="Q69"/>
      <c r="R69"/>
      <c r="S69"/>
      <c r="T69"/>
      <c r="U69"/>
      <c r="V69"/>
      <c r="W69"/>
    </row>
    <row r="70" spans="2:23" s="239" customFormat="1" x14ac:dyDescent="0.3">
      <c r="B70" s="279" t="s">
        <v>208</v>
      </c>
      <c r="C70" s="280"/>
      <c r="D70" s="283">
        <f>C251</f>
        <v>0</v>
      </c>
      <c r="E70" s="282"/>
      <c r="F70" s="283">
        <f>O251/(1-$N$25-$N$26)/(1-$I$24)</f>
        <v>0</v>
      </c>
      <c r="G70" s="283">
        <f t="shared" ref="G70:G85" si="14">ROUND(((D70*K70)/(1-$N$25-$N$26))*($N$25+$N$26),2)</f>
        <v>0</v>
      </c>
      <c r="H70" s="284">
        <f t="shared" ref="H70:H85" si="15">F70</f>
        <v>0</v>
      </c>
      <c r="I70" s="279"/>
      <c r="J70" s="284">
        <f t="shared" ref="J70:J85" si="16">H70*$I$24</f>
        <v>0</v>
      </c>
      <c r="K70" s="282">
        <f t="shared" ref="K70:K85" si="17">K43</f>
        <v>6.5974999999999992E-3</v>
      </c>
      <c r="O70" s="278"/>
      <c r="P70"/>
      <c r="Q70"/>
      <c r="R70"/>
      <c r="S70"/>
      <c r="T70"/>
      <c r="U70"/>
      <c r="V70"/>
      <c r="W70"/>
    </row>
    <row r="71" spans="2:23" s="239" customFormat="1" x14ac:dyDescent="0.3">
      <c r="B71" s="279" t="s">
        <v>208</v>
      </c>
      <c r="C71" s="280"/>
      <c r="D71" s="283">
        <f>C252</f>
        <v>0</v>
      </c>
      <c r="E71" s="282"/>
      <c r="F71" s="283">
        <f>O252/(1-$N$25-$N$26)/(1-$I$24)</f>
        <v>0</v>
      </c>
      <c r="G71" s="283">
        <f t="shared" si="14"/>
        <v>0</v>
      </c>
      <c r="H71" s="284">
        <f t="shared" si="15"/>
        <v>0</v>
      </c>
      <c r="I71" s="279"/>
      <c r="J71" s="284">
        <f t="shared" si="16"/>
        <v>0</v>
      </c>
      <c r="K71" s="282">
        <f t="shared" si="17"/>
        <v>1.1309999999999999E-2</v>
      </c>
      <c r="L71" s="19"/>
      <c r="M71" s="19"/>
      <c r="N71" s="19"/>
      <c r="O71" s="278"/>
      <c r="P71"/>
      <c r="Q71" s="314"/>
      <c r="R71"/>
      <c r="S71"/>
      <c r="T71"/>
      <c r="U71"/>
      <c r="V71"/>
      <c r="W71"/>
    </row>
    <row r="72" spans="2:23" s="239" customFormat="1" x14ac:dyDescent="0.3">
      <c r="B72" s="279" t="s">
        <v>208</v>
      </c>
      <c r="C72" s="280"/>
      <c r="D72" s="283">
        <f>C253</f>
        <v>0</v>
      </c>
      <c r="E72" s="282"/>
      <c r="F72" s="283">
        <f>O253/(1-$N$25-$N$26)/(1-$I$24)</f>
        <v>0</v>
      </c>
      <c r="G72" s="283">
        <f t="shared" si="14"/>
        <v>0</v>
      </c>
      <c r="H72" s="284">
        <f t="shared" si="15"/>
        <v>0</v>
      </c>
      <c r="I72" s="279"/>
      <c r="J72" s="284">
        <f t="shared" si="16"/>
        <v>0</v>
      </c>
      <c r="K72" s="282">
        <f t="shared" si="17"/>
        <v>1.6965000000000001E-2</v>
      </c>
      <c r="L72" s="19"/>
      <c r="M72" s="19"/>
      <c r="N72" s="19"/>
      <c r="O72" s="278"/>
      <c r="P72" s="315"/>
      <c r="Q72" s="314"/>
      <c r="R72"/>
      <c r="S72"/>
      <c r="T72"/>
      <c r="U72"/>
      <c r="V72"/>
      <c r="W72"/>
    </row>
    <row r="73" spans="2:23" s="239" customFormat="1" x14ac:dyDescent="0.3">
      <c r="B73" s="279" t="s">
        <v>208</v>
      </c>
      <c r="C73" s="280"/>
      <c r="D73" s="283">
        <f>C254</f>
        <v>0</v>
      </c>
      <c r="E73" s="282"/>
      <c r="F73" s="283">
        <f>O254/(1-$N$25-$N$26)/(1-$I$24)</f>
        <v>0</v>
      </c>
      <c r="G73" s="283">
        <f t="shared" si="14"/>
        <v>0</v>
      </c>
      <c r="H73" s="284">
        <f t="shared" si="15"/>
        <v>0</v>
      </c>
      <c r="I73" s="279"/>
      <c r="J73" s="284">
        <f t="shared" si="16"/>
        <v>0</v>
      </c>
      <c r="K73" s="282">
        <f t="shared" si="17"/>
        <v>1.8849999999999999E-2</v>
      </c>
      <c r="L73" s="19"/>
      <c r="M73" s="19"/>
      <c r="N73" s="19"/>
      <c r="O73" s="278"/>
      <c r="P73"/>
      <c r="Q73" s="316"/>
      <c r="R73"/>
      <c r="S73"/>
      <c r="T73"/>
      <c r="U73"/>
      <c r="V73"/>
      <c r="W73"/>
    </row>
    <row r="74" spans="2:23" s="239" customFormat="1" x14ac:dyDescent="0.3">
      <c r="B74" s="279" t="s">
        <v>303</v>
      </c>
      <c r="C74" s="280"/>
      <c r="D74" s="283">
        <f>C260</f>
        <v>-10.344827586206897</v>
      </c>
      <c r="E74" s="282"/>
      <c r="F74" s="283">
        <f>O260/(1-$N$25-$N$26)/(1-$I$24)</f>
        <v>-0.19932900872438156</v>
      </c>
      <c r="G74" s="283">
        <f t="shared" si="14"/>
        <v>-0.01</v>
      </c>
      <c r="H74" s="284">
        <f t="shared" si="15"/>
        <v>-0.19932900872438156</v>
      </c>
      <c r="I74" s="279"/>
      <c r="J74" s="284">
        <f t="shared" si="16"/>
        <v>-3.3885931483144865E-2</v>
      </c>
      <c r="K74" s="282">
        <f t="shared" si="17"/>
        <v>1.5620500000000001E-2</v>
      </c>
      <c r="O74" s="278"/>
      <c r="P74"/>
      <c r="Q74"/>
      <c r="R74"/>
      <c r="S74"/>
      <c r="T74"/>
      <c r="U74"/>
      <c r="V74"/>
      <c r="W74"/>
    </row>
    <row r="75" spans="2:23" s="239" customFormat="1" x14ac:dyDescent="0.3">
      <c r="B75" s="279" t="s">
        <v>303</v>
      </c>
      <c r="C75" s="280"/>
      <c r="D75" s="283">
        <f>C261</f>
        <v>-24.137931034482758</v>
      </c>
      <c r="E75" s="282"/>
      <c r="F75" s="283">
        <f>O261/(1-$N$25-$N$26)/(1-$I$24)</f>
        <v>-0.8097740979428002</v>
      </c>
      <c r="G75" s="283">
        <f t="shared" si="14"/>
        <v>-0.02</v>
      </c>
      <c r="H75" s="284">
        <f t="shared" si="15"/>
        <v>-0.8097740979428002</v>
      </c>
      <c r="I75" s="279"/>
      <c r="J75" s="284">
        <f t="shared" si="16"/>
        <v>-0.13766159665027605</v>
      </c>
      <c r="K75" s="282">
        <f t="shared" si="17"/>
        <v>2.6778E-2</v>
      </c>
      <c r="L75" s="19"/>
      <c r="M75" s="19"/>
      <c r="N75" s="19"/>
      <c r="O75" s="278"/>
      <c r="P75"/>
      <c r="Q75" s="314"/>
      <c r="R75"/>
      <c r="S75"/>
      <c r="T75"/>
      <c r="U75"/>
      <c r="V75"/>
      <c r="W75"/>
    </row>
    <row r="76" spans="2:23" s="239" customFormat="1" x14ac:dyDescent="0.3">
      <c r="B76" s="279" t="s">
        <v>303</v>
      </c>
      <c r="C76" s="280"/>
      <c r="D76" s="283">
        <f>C262</f>
        <v>-41.379310344827587</v>
      </c>
      <c r="E76" s="282"/>
      <c r="F76" s="283">
        <f>O262/(1-$N$25-$N$26)/(1-$I$24)</f>
        <v>-2.0680384655154587</v>
      </c>
      <c r="G76" s="283">
        <f t="shared" si="14"/>
        <v>-0.06</v>
      </c>
      <c r="H76" s="284">
        <f t="shared" si="15"/>
        <v>-2.0680384655154587</v>
      </c>
      <c r="I76" s="279"/>
      <c r="J76" s="284">
        <f t="shared" si="16"/>
        <v>-0.35156653913762798</v>
      </c>
      <c r="K76" s="282">
        <f t="shared" si="17"/>
        <v>4.0167000000000001E-2</v>
      </c>
      <c r="L76" s="19"/>
      <c r="M76" s="19"/>
      <c r="N76" s="19"/>
      <c r="O76" s="278"/>
      <c r="P76" s="315"/>
      <c r="Q76" s="314"/>
      <c r="R76"/>
      <c r="S76"/>
      <c r="T76"/>
      <c r="U76"/>
      <c r="V76"/>
      <c r="W76"/>
    </row>
    <row r="77" spans="2:23" s="239" customFormat="1" x14ac:dyDescent="0.3">
      <c r="B77" s="279" t="s">
        <v>303</v>
      </c>
      <c r="C77" s="280"/>
      <c r="D77" s="283">
        <f>C263</f>
        <v>-0.34482758620689657</v>
      </c>
      <c r="E77" s="282"/>
      <c r="F77" s="283">
        <f>O263/(1-$N$25-$N$26)/(1-$I$24)</f>
        <v>-2.4916126090547695E-2</v>
      </c>
      <c r="G77" s="283">
        <f t="shared" si="14"/>
        <v>0</v>
      </c>
      <c r="H77" s="284">
        <f t="shared" si="15"/>
        <v>-2.4916126090547695E-2</v>
      </c>
      <c r="I77" s="279"/>
      <c r="J77" s="284">
        <f t="shared" si="16"/>
        <v>-4.2357414353931082E-3</v>
      </c>
      <c r="K77" s="282">
        <f t="shared" si="17"/>
        <v>4.4630000000000003E-2</v>
      </c>
      <c r="L77" s="19"/>
      <c r="M77" s="19"/>
      <c r="N77" s="19"/>
      <c r="O77" s="278"/>
      <c r="P77"/>
      <c r="Q77" s="316"/>
      <c r="R77"/>
      <c r="S77"/>
      <c r="T77"/>
      <c r="U77"/>
      <c r="V77"/>
      <c r="W77"/>
    </row>
    <row r="78" spans="2:23" s="239" customFormat="1" x14ac:dyDescent="0.3">
      <c r="B78" s="279" t="s">
        <v>304</v>
      </c>
      <c r="C78" s="280"/>
      <c r="D78" s="283">
        <f>C269</f>
        <v>-19.655172413793103</v>
      </c>
      <c r="E78" s="282"/>
      <c r="F78" s="283">
        <f>O269/(1-$N$25-$N$26)/(1-$I$24)</f>
        <v>-0.67273540444478785</v>
      </c>
      <c r="G78" s="283">
        <f t="shared" si="14"/>
        <v>-0.02</v>
      </c>
      <c r="H78" s="284">
        <f t="shared" si="15"/>
        <v>-0.67273540444478785</v>
      </c>
      <c r="I78" s="279"/>
      <c r="J78" s="284">
        <f t="shared" si="16"/>
        <v>-0.11436501875561395</v>
      </c>
      <c r="K78" s="282">
        <f t="shared" si="17"/>
        <v>2.75695E-2</v>
      </c>
      <c r="O78" s="278"/>
      <c r="P78"/>
      <c r="Q78"/>
      <c r="R78"/>
      <c r="S78"/>
      <c r="T78"/>
      <c r="U78"/>
      <c r="V78"/>
      <c r="W78"/>
    </row>
    <row r="79" spans="2:23" s="239" customFormat="1" x14ac:dyDescent="0.3">
      <c r="B79" s="279" t="s">
        <v>304</v>
      </c>
      <c r="C79" s="280"/>
      <c r="D79" s="283">
        <f>C270</f>
        <v>-45.862068965517238</v>
      </c>
      <c r="E79" s="282"/>
      <c r="F79" s="283">
        <f>O270/(1-$N$25-$N$26)/(1-$I$24)</f>
        <v>-2.7033996808244249</v>
      </c>
      <c r="G79" s="283">
        <f t="shared" si="14"/>
        <v>-7.0000000000000007E-2</v>
      </c>
      <c r="H79" s="284">
        <f t="shared" si="15"/>
        <v>-2.7033996808244249</v>
      </c>
      <c r="I79" s="279"/>
      <c r="J79" s="284">
        <f t="shared" si="16"/>
        <v>-0.45957794574015226</v>
      </c>
      <c r="K79" s="282">
        <f t="shared" si="17"/>
        <v>4.7262000000000005E-2</v>
      </c>
      <c r="L79" s="19"/>
      <c r="M79" s="19"/>
      <c r="N79" s="19"/>
      <c r="O79" s="278"/>
      <c r="P79"/>
      <c r="Q79" s="314"/>
      <c r="R79"/>
      <c r="S79"/>
      <c r="T79"/>
      <c r="U79"/>
      <c r="V79"/>
      <c r="W79"/>
    </row>
    <row r="80" spans="2:23" s="239" customFormat="1" x14ac:dyDescent="0.3">
      <c r="B80" s="279" t="s">
        <v>304</v>
      </c>
      <c r="C80" s="280"/>
      <c r="D80" s="283">
        <f>C271</f>
        <v>-78.620689655172413</v>
      </c>
      <c r="E80" s="282"/>
      <c r="F80" s="283">
        <f>O271/(1-$N$25-$N$26)/(1-$I$24)</f>
        <v>-6.9391411162175336</v>
      </c>
      <c r="G80" s="283">
        <f t="shared" si="14"/>
        <v>-0.19</v>
      </c>
      <c r="H80" s="284">
        <f t="shared" si="15"/>
        <v>-6.9391411162175336</v>
      </c>
      <c r="I80" s="279"/>
      <c r="J80" s="284">
        <f t="shared" si="16"/>
        <v>-1.1796539897569809</v>
      </c>
      <c r="K80" s="282">
        <f t="shared" si="17"/>
        <v>7.0893000000000012E-2</v>
      </c>
      <c r="L80" s="19"/>
      <c r="M80" s="19"/>
      <c r="N80" s="19"/>
      <c r="O80" s="278"/>
      <c r="P80" s="315"/>
      <c r="Q80" s="314"/>
      <c r="R80"/>
      <c r="S80"/>
      <c r="T80"/>
      <c r="U80"/>
      <c r="V80"/>
      <c r="W80"/>
    </row>
    <row r="81" spans="2:23" s="239" customFormat="1" x14ac:dyDescent="0.3">
      <c r="B81" s="279" t="s">
        <v>304</v>
      </c>
      <c r="C81" s="280"/>
      <c r="D81" s="283">
        <f>C272</f>
        <v>-0.65517241379310343</v>
      </c>
      <c r="E81" s="282"/>
      <c r="F81" s="283">
        <f>O272/(1-$N$25-$N$26)/(1-$I$24)</f>
        <v>-6.2290315226369242E-2</v>
      </c>
      <c r="G81" s="283">
        <f t="shared" si="14"/>
        <v>0</v>
      </c>
      <c r="H81" s="284">
        <f t="shared" si="15"/>
        <v>-6.2290315226369242E-2</v>
      </c>
      <c r="I81" s="279"/>
      <c r="J81" s="284">
        <f t="shared" si="16"/>
        <v>-1.0589353588482772E-2</v>
      </c>
      <c r="K81" s="282">
        <f t="shared" si="17"/>
        <v>7.8770000000000007E-2</v>
      </c>
      <c r="L81" s="19"/>
      <c r="M81" s="19"/>
      <c r="N81" s="19"/>
      <c r="O81" s="278"/>
      <c r="P81"/>
      <c r="Q81" s="316"/>
      <c r="R81"/>
      <c r="S81"/>
      <c r="T81"/>
      <c r="U81"/>
      <c r="V81"/>
      <c r="W81"/>
    </row>
    <row r="82" spans="2:23" s="239" customFormat="1" x14ac:dyDescent="0.3">
      <c r="B82" s="279" t="s">
        <v>305</v>
      </c>
      <c r="C82" s="280"/>
      <c r="D82" s="283">
        <f>C278</f>
        <v>0</v>
      </c>
      <c r="E82" s="282"/>
      <c r="F82" s="283">
        <f>O278/(1-$N$25-$N$26)/(1-$I$24)</f>
        <v>0</v>
      </c>
      <c r="G82" s="283">
        <f t="shared" si="14"/>
        <v>0</v>
      </c>
      <c r="H82" s="284">
        <f t="shared" si="15"/>
        <v>0</v>
      </c>
      <c r="I82" s="279"/>
      <c r="J82" s="284">
        <f t="shared" si="16"/>
        <v>0</v>
      </c>
      <c r="K82" s="282">
        <f t="shared" si="17"/>
        <v>4.9699999999999994E-2</v>
      </c>
      <c r="O82" s="278"/>
      <c r="P82"/>
      <c r="Q82"/>
      <c r="R82"/>
      <c r="S82"/>
      <c r="T82"/>
      <c r="U82"/>
      <c r="V82"/>
      <c r="W82"/>
    </row>
    <row r="83" spans="2:23" s="239" customFormat="1" x14ac:dyDescent="0.3">
      <c r="B83" s="279" t="s">
        <v>305</v>
      </c>
      <c r="C83" s="280"/>
      <c r="D83" s="283">
        <f>C279</f>
        <v>0</v>
      </c>
      <c r="E83" s="282"/>
      <c r="F83" s="283">
        <f>O279/(1-$N$25-$N$26)/(1-$I$24)</f>
        <v>0</v>
      </c>
      <c r="G83" s="283">
        <f t="shared" si="14"/>
        <v>0</v>
      </c>
      <c r="H83" s="284">
        <f t="shared" si="15"/>
        <v>0</v>
      </c>
      <c r="I83" s="279"/>
      <c r="J83" s="284">
        <f t="shared" si="16"/>
        <v>0</v>
      </c>
      <c r="K83" s="282">
        <f t="shared" si="17"/>
        <v>8.5199999999999984E-2</v>
      </c>
      <c r="L83" s="19"/>
      <c r="M83" s="19"/>
      <c r="N83" s="19"/>
      <c r="O83" s="278"/>
      <c r="P83"/>
      <c r="Q83" s="314"/>
      <c r="R83"/>
      <c r="S83"/>
      <c r="T83"/>
      <c r="U83"/>
      <c r="V83"/>
      <c r="W83"/>
    </row>
    <row r="84" spans="2:23" s="239" customFormat="1" x14ac:dyDescent="0.3">
      <c r="B84" s="279" t="s">
        <v>305</v>
      </c>
      <c r="C84" s="280"/>
      <c r="D84" s="283">
        <f>C280</f>
        <v>0</v>
      </c>
      <c r="E84" s="282"/>
      <c r="F84" s="283">
        <f>O280/(1-$N$25-$N$26)/(1-$I$24)</f>
        <v>0</v>
      </c>
      <c r="G84" s="283">
        <f t="shared" si="14"/>
        <v>0</v>
      </c>
      <c r="H84" s="284">
        <f t="shared" si="15"/>
        <v>0</v>
      </c>
      <c r="I84" s="279"/>
      <c r="J84" s="284">
        <f t="shared" si="16"/>
        <v>0</v>
      </c>
      <c r="K84" s="282">
        <f t="shared" si="17"/>
        <v>0.1278</v>
      </c>
      <c r="L84" s="19"/>
      <c r="M84" s="19"/>
      <c r="N84" s="19"/>
      <c r="O84" s="278"/>
      <c r="P84" s="315"/>
      <c r="Q84" s="314"/>
      <c r="R84"/>
      <c r="S84"/>
      <c r="T84"/>
      <c r="U84"/>
      <c r="V84"/>
      <c r="W84"/>
    </row>
    <row r="85" spans="2:23" s="239" customFormat="1" x14ac:dyDescent="0.3">
      <c r="B85" s="279" t="s">
        <v>305</v>
      </c>
      <c r="C85" s="280"/>
      <c r="D85" s="283">
        <f>C281</f>
        <v>0</v>
      </c>
      <c r="E85" s="282"/>
      <c r="F85" s="283">
        <f>O281/(1-$N$25-$N$26)/(1-$I$24)</f>
        <v>0</v>
      </c>
      <c r="G85" s="283">
        <f t="shared" si="14"/>
        <v>0</v>
      </c>
      <c r="H85" s="284">
        <f t="shared" si="15"/>
        <v>0</v>
      </c>
      <c r="I85" s="279"/>
      <c r="J85" s="284">
        <f t="shared" si="16"/>
        <v>0</v>
      </c>
      <c r="K85" s="282">
        <f t="shared" si="17"/>
        <v>0.14199999999999999</v>
      </c>
      <c r="L85" s="19"/>
      <c r="M85" s="19"/>
      <c r="N85" s="19"/>
      <c r="O85" s="278"/>
      <c r="P85"/>
      <c r="Q85" s="316"/>
      <c r="R85"/>
      <c r="S85"/>
      <c r="T85"/>
      <c r="U85"/>
      <c r="V85"/>
      <c r="W85"/>
    </row>
    <row r="86" spans="2:23" s="239" customFormat="1" x14ac:dyDescent="0.3">
      <c r="B86" s="317"/>
      <c r="C86" s="318"/>
      <c r="D86" s="319"/>
      <c r="E86" s="320"/>
      <c r="F86" s="319"/>
      <c r="G86" s="319"/>
      <c r="H86" s="321"/>
      <c r="I86" s="317"/>
      <c r="J86" s="319"/>
      <c r="K86" s="320"/>
      <c r="L86" s="19"/>
      <c r="M86" s="19"/>
      <c r="N86" s="19"/>
      <c r="O86" s="278"/>
      <c r="P86"/>
      <c r="Q86"/>
      <c r="R86"/>
      <c r="S86"/>
      <c r="T86"/>
      <c r="U86"/>
      <c r="V86"/>
      <c r="W86"/>
    </row>
    <row r="87" spans="2:23" s="239" customFormat="1" x14ac:dyDescent="0.3">
      <c r="B87" s="279" t="s">
        <v>228</v>
      </c>
      <c r="C87" s="279"/>
      <c r="D87" s="279"/>
      <c r="E87" s="279"/>
      <c r="F87" s="292">
        <v>0.46</v>
      </c>
      <c r="G87" s="279"/>
      <c r="H87" s="279"/>
      <c r="I87" s="279"/>
      <c r="J87" s="279"/>
      <c r="K87" s="279"/>
      <c r="L87" s="19"/>
      <c r="M87" s="19"/>
      <c r="N87" s="19"/>
      <c r="O87" s="278"/>
      <c r="P87" s="322"/>
      <c r="Q87"/>
      <c r="R87"/>
      <c r="S87"/>
      <c r="T87"/>
      <c r="U87"/>
      <c r="V87"/>
      <c r="W87"/>
    </row>
    <row r="88" spans="2:23" s="239" customFormat="1" x14ac:dyDescent="0.3">
      <c r="B88" s="279" t="s">
        <v>229</v>
      </c>
      <c r="C88" s="279"/>
      <c r="D88" s="279"/>
      <c r="E88" s="279"/>
      <c r="F88" s="292">
        <v>4.55</v>
      </c>
      <c r="G88" s="279"/>
      <c r="H88" s="279"/>
      <c r="I88" s="279"/>
      <c r="J88" s="279"/>
      <c r="K88" s="279"/>
      <c r="L88" s="19"/>
      <c r="M88" s="19"/>
      <c r="N88" s="19"/>
      <c r="O88" s="278"/>
      <c r="P88"/>
      <c r="Q88"/>
      <c r="R88"/>
      <c r="S88"/>
      <c r="T88"/>
      <c r="U88"/>
      <c r="V88"/>
      <c r="W88"/>
    </row>
    <row r="89" spans="2:23" s="239" customFormat="1" x14ac:dyDescent="0.3">
      <c r="B89" s="279" t="s">
        <v>230</v>
      </c>
      <c r="C89" s="279"/>
      <c r="D89" s="279"/>
      <c r="E89" s="279"/>
      <c r="F89" s="292"/>
      <c r="G89" s="279"/>
      <c r="H89" s="279"/>
      <c r="I89" s="279"/>
      <c r="J89" s="279"/>
      <c r="K89" s="279"/>
      <c r="L89" s="19"/>
      <c r="M89" s="19"/>
      <c r="N89" s="19"/>
      <c r="O89" s="278"/>
      <c r="P89"/>
      <c r="Q89" s="323"/>
      <c r="R89"/>
      <c r="S89"/>
      <c r="T89"/>
      <c r="U89"/>
      <c r="V89"/>
      <c r="W89"/>
    </row>
    <row r="90" spans="2:23" s="239" customFormat="1" x14ac:dyDescent="0.3"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19"/>
      <c r="M90" s="19"/>
      <c r="N90" s="19"/>
      <c r="O90" s="278"/>
      <c r="P90"/>
      <c r="Q90"/>
      <c r="R90"/>
      <c r="S90"/>
      <c r="T90"/>
      <c r="U90"/>
      <c r="V90"/>
      <c r="W90"/>
    </row>
    <row r="91" spans="2:23" s="239" customFormat="1" x14ac:dyDescent="0.3"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19"/>
      <c r="M91" s="19"/>
      <c r="N91" s="19"/>
      <c r="O91" s="278"/>
      <c r="P91"/>
      <c r="Q91" s="323"/>
      <c r="R91"/>
      <c r="S91"/>
      <c r="T91"/>
      <c r="U91"/>
      <c r="V91"/>
      <c r="W91"/>
    </row>
    <row r="92" spans="2:23" s="239" customFormat="1" x14ac:dyDescent="0.3"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19"/>
      <c r="M92" s="19"/>
      <c r="N92" s="19"/>
      <c r="O92" s="278"/>
      <c r="P92"/>
      <c r="Q92"/>
      <c r="R92"/>
      <c r="S92"/>
      <c r="T92"/>
      <c r="U92"/>
      <c r="V92"/>
      <c r="W92"/>
    </row>
    <row r="93" spans="2:23" s="239" customFormat="1" x14ac:dyDescent="0.3">
      <c r="B93" s="293" t="s">
        <v>135</v>
      </c>
      <c r="C93" s="289"/>
      <c r="D93" s="289"/>
      <c r="E93" s="289"/>
      <c r="F93" s="295">
        <f>SUM(F23:F92)</f>
        <v>233.1058523117805</v>
      </c>
      <c r="G93" s="296">
        <f>SUM(G25:G92)</f>
        <v>5.6499999999999986</v>
      </c>
      <c r="H93" s="297">
        <f>SUM(H23:H92)</f>
        <v>269.97295231178055</v>
      </c>
      <c r="I93" s="289"/>
      <c r="J93" s="297">
        <f>SUM(J23:J92)</f>
        <v>45.895401893002649</v>
      </c>
      <c r="K93" s="289"/>
      <c r="L93" s="75"/>
      <c r="M93" s="75"/>
      <c r="N93" s="75"/>
      <c r="O93" s="261"/>
      <c r="P93"/>
      <c r="Q93"/>
      <c r="R93"/>
      <c r="S93"/>
      <c r="T93"/>
      <c r="U93"/>
      <c r="V93"/>
      <c r="W93"/>
    </row>
    <row r="94" spans="2:23" s="239" customFormat="1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/>
      <c r="Q94"/>
      <c r="R94"/>
      <c r="S94"/>
      <c r="T94"/>
      <c r="U94"/>
      <c r="V94"/>
      <c r="W94"/>
    </row>
    <row r="95" spans="2:23" s="239" customFormat="1" x14ac:dyDescent="0.3">
      <c r="B95" s="298" t="s">
        <v>231</v>
      </c>
      <c r="C95" s="299"/>
      <c r="D95" s="300"/>
      <c r="E95" s="300"/>
      <c r="F95" s="298">
        <f>(D25*AK12)+(D26*AK13)+(D27*AK14)+(D28*AK15)</f>
        <v>0</v>
      </c>
      <c r="G95" s="19"/>
      <c r="H95" s="19"/>
      <c r="I95" s="19"/>
      <c r="J95" s="19"/>
      <c r="K95" s="19"/>
      <c r="L95" s="19"/>
      <c r="M95" s="19"/>
      <c r="N95" s="19"/>
      <c r="O95" s="19"/>
      <c r="P95"/>
      <c r="Q95"/>
      <c r="R95"/>
      <c r="S95"/>
      <c r="T95"/>
      <c r="U95"/>
      <c r="V95"/>
      <c r="W95"/>
    </row>
    <row r="96" spans="2:23" x14ac:dyDescent="0.3">
      <c r="B96" s="5"/>
    </row>
    <row r="97" spans="1:32" x14ac:dyDescent="0.3">
      <c r="B97" s="88" t="s">
        <v>1</v>
      </c>
      <c r="C97" s="88"/>
      <c r="D97" s="88"/>
      <c r="E97" s="88"/>
      <c r="F97" s="88"/>
      <c r="G97" s="89">
        <f>D16</f>
        <v>537</v>
      </c>
      <c r="H97" s="3" t="s">
        <v>2</v>
      </c>
    </row>
    <row r="98" spans="1:32" ht="15.6" x14ac:dyDescent="0.3">
      <c r="B98" s="88" t="s">
        <v>3</v>
      </c>
      <c r="C98" s="88"/>
      <c r="D98" s="88"/>
      <c r="E98" s="88"/>
      <c r="F98" s="88"/>
      <c r="G98" s="89">
        <f>D17</f>
        <v>221</v>
      </c>
      <c r="H98" s="3" t="s">
        <v>2</v>
      </c>
      <c r="I98" s="91"/>
      <c r="J98" s="333" t="s">
        <v>237</v>
      </c>
      <c r="K98" s="418">
        <f>O19</f>
        <v>241002228329</v>
      </c>
    </row>
    <row r="99" spans="1:32" x14ac:dyDescent="0.3">
      <c r="B99" s="1"/>
      <c r="F99" s="248"/>
      <c r="G99" s="238">
        <f>G98</f>
        <v>221</v>
      </c>
      <c r="H99" s="184">
        <f>G97-G99</f>
        <v>316</v>
      </c>
    </row>
    <row r="100" spans="1:32" x14ac:dyDescent="0.3">
      <c r="B100" s="5" t="s">
        <v>55</v>
      </c>
      <c r="E100" s="26" t="s">
        <v>10</v>
      </c>
      <c r="F100" s="85">
        <v>1</v>
      </c>
      <c r="G100" s="86" t="s">
        <v>9</v>
      </c>
      <c r="H100" s="85">
        <v>1</v>
      </c>
    </row>
    <row r="102" spans="1:32" x14ac:dyDescent="0.3">
      <c r="B102" s="459" t="s">
        <v>110</v>
      </c>
      <c r="C102" s="460"/>
      <c r="D102" s="460"/>
      <c r="E102" s="460"/>
      <c r="F102" s="460"/>
      <c r="G102" s="460"/>
      <c r="H102" s="461"/>
      <c r="I102" s="1"/>
      <c r="J102" s="1"/>
      <c r="K102" s="1"/>
      <c r="L102" s="1"/>
      <c r="M102" s="1"/>
      <c r="N102" s="1"/>
      <c r="O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2" x14ac:dyDescent="0.3">
      <c r="B103" s="41"/>
      <c r="D103" s="46" t="s">
        <v>40</v>
      </c>
      <c r="E103" s="46" t="s">
        <v>10</v>
      </c>
      <c r="F103" s="46" t="s">
        <v>9</v>
      </c>
      <c r="G103" s="46" t="s">
        <v>34</v>
      </c>
      <c r="H103" s="47" t="s">
        <v>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2" x14ac:dyDescent="0.3">
      <c r="A104" s="19" t="s">
        <v>8</v>
      </c>
      <c r="B104" s="48" t="s">
        <v>41</v>
      </c>
      <c r="C104" s="49"/>
      <c r="D104" s="50"/>
      <c r="E104" s="50"/>
      <c r="F104" s="50"/>
      <c r="G104" s="50"/>
      <c r="H104" s="51">
        <f>SUM(H106:H135)+SUM(H138:H143)</f>
        <v>207.60116258644337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3">
      <c r="A105" s="19" t="s">
        <v>8</v>
      </c>
      <c r="B105" s="41"/>
      <c r="D105" s="46"/>
      <c r="E105" s="46"/>
      <c r="F105" s="46"/>
      <c r="G105" s="46"/>
      <c r="H105" s="52"/>
      <c r="I105" s="1"/>
      <c r="J105" s="273" t="s">
        <v>380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3">
      <c r="A106" s="161">
        <v>0.65</v>
      </c>
      <c r="B106" s="41" t="s">
        <v>157</v>
      </c>
      <c r="D106" s="93">
        <f>D25</f>
        <v>30</v>
      </c>
      <c r="E106" s="53">
        <f>$E$119*(1-A106)</f>
        <v>0.10127249999999999</v>
      </c>
      <c r="F106" s="53">
        <f>$F$119*(1-A106)</f>
        <v>0.102669</v>
      </c>
      <c r="G106" s="53">
        <f>E106+F106</f>
        <v>0.2039415</v>
      </c>
      <c r="H106" s="54">
        <f>ROUND((D106*E106),2)+ROUND((D106*F106),2)</f>
        <v>6.12</v>
      </c>
      <c r="I106" s="1"/>
      <c r="J106" s="350">
        <f>IF(D16&gt;0,30,0)</f>
        <v>30</v>
      </c>
      <c r="K106" s="1"/>
      <c r="L106" s="1"/>
      <c r="M106" s="9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3">
      <c r="A107" s="161">
        <v>0.4</v>
      </c>
      <c r="B107" s="41" t="s">
        <v>158</v>
      </c>
      <c r="D107" s="93">
        <f>D26</f>
        <v>70</v>
      </c>
      <c r="E107" s="53">
        <f>$E$119*(1-A107)</f>
        <v>0.17360999999999999</v>
      </c>
      <c r="F107" s="53">
        <f>$F$119*(1-A107)</f>
        <v>0.17600399999999999</v>
      </c>
      <c r="G107" s="53">
        <f>E107+F107</f>
        <v>0.34961399999999998</v>
      </c>
      <c r="H107" s="54">
        <f>ROUND((D107*E107),2)+ROUND((D107*F107),2)</f>
        <v>24.47</v>
      </c>
      <c r="I107" s="1"/>
      <c r="J107" s="350">
        <f>IF(D16&gt;30,IF(D16&gt;100,70,D16-30),0)</f>
        <v>70</v>
      </c>
      <c r="K107" s="1"/>
      <c r="L107" s="1"/>
      <c r="M107" s="9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3">
      <c r="A108" s="161">
        <v>0.1</v>
      </c>
      <c r="B108" s="41" t="s">
        <v>159</v>
      </c>
      <c r="D108" s="93">
        <f>D27</f>
        <v>120</v>
      </c>
      <c r="E108" s="53">
        <f>$E$119*(1-A108)</f>
        <v>0.26041500000000001</v>
      </c>
      <c r="F108" s="53">
        <f>$F$119*(1-A108)</f>
        <v>0.26400600000000002</v>
      </c>
      <c r="G108" s="53">
        <f>E108+F108</f>
        <v>0.52442100000000003</v>
      </c>
      <c r="H108" s="54">
        <f>ROUND((D108*E108),2)+ROUND((D108*F108),2)</f>
        <v>62.93</v>
      </c>
      <c r="I108" s="1"/>
      <c r="J108" s="350">
        <f>IF(D16&gt;100,IF(D16&gt;220,220-100,D16-100),0)</f>
        <v>120</v>
      </c>
      <c r="K108" s="1"/>
      <c r="L108" s="1"/>
      <c r="M108" s="9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3">
      <c r="A109" s="161">
        <v>0</v>
      </c>
      <c r="B109" s="41" t="s">
        <v>160</v>
      </c>
      <c r="D109" s="93">
        <f>D28</f>
        <v>1</v>
      </c>
      <c r="E109" s="53">
        <f>$E$119*(1-A109)</f>
        <v>0.28935</v>
      </c>
      <c r="F109" s="53">
        <f>$F$119*(1-A109)</f>
        <v>0.29333999999999999</v>
      </c>
      <c r="G109" s="53">
        <f>E109+F109</f>
        <v>0.58268999999999993</v>
      </c>
      <c r="H109" s="54">
        <f>ROUND((D109*E109),2)+ROUND((D109*F109),2)</f>
        <v>0.57999999999999996</v>
      </c>
      <c r="I109" s="1"/>
      <c r="J109" s="350">
        <f>IF(D16&gt;220,D16-220,0)</f>
        <v>317</v>
      </c>
      <c r="K109" s="1"/>
      <c r="L109" s="1"/>
      <c r="M109" s="9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3">
      <c r="B110" s="41"/>
      <c r="D110" s="55"/>
      <c r="E110" s="56"/>
      <c r="F110" s="57"/>
      <c r="G110" s="57"/>
      <c r="H110" s="5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3">
      <c r="B111" s="41" t="s">
        <v>43</v>
      </c>
      <c r="D111" s="58"/>
      <c r="F111" s="59"/>
      <c r="G111" s="59"/>
      <c r="H111" s="54">
        <f>O179</f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3">
      <c r="B112" s="41" t="s">
        <v>44</v>
      </c>
      <c r="D112" s="58"/>
      <c r="F112" s="59"/>
      <c r="G112" s="59"/>
      <c r="H112" s="54">
        <f>O188</f>
        <v>2.4899999999999998</v>
      </c>
      <c r="I112" s="1"/>
      <c r="J112" s="1"/>
      <c r="K112" s="1"/>
      <c r="L112" s="41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3">
      <c r="B113" s="41" t="s">
        <v>45</v>
      </c>
      <c r="D113" s="58"/>
      <c r="F113" s="59"/>
      <c r="G113" s="59"/>
      <c r="H113" s="54">
        <f>O197</f>
        <v>8.3300000000000018</v>
      </c>
      <c r="I113" s="1"/>
      <c r="J113" s="1"/>
      <c r="K113" s="1"/>
      <c r="L113" s="1"/>
      <c r="M113" s="1"/>
      <c r="N113" s="1"/>
      <c r="O113" s="1"/>
      <c r="AF113" s="1"/>
    </row>
    <row r="114" spans="1:32" x14ac:dyDescent="0.3">
      <c r="B114" s="41" t="s">
        <v>46</v>
      </c>
      <c r="D114" s="58"/>
      <c r="F114" s="59"/>
      <c r="G114" s="59"/>
      <c r="H114" s="54">
        <f>O206</f>
        <v>0</v>
      </c>
      <c r="I114" s="1"/>
      <c r="J114" s="1"/>
      <c r="K114" s="1"/>
      <c r="L114" s="1"/>
      <c r="M114" s="1"/>
      <c r="N114" s="1"/>
      <c r="O114" s="1"/>
      <c r="AF114" s="1"/>
    </row>
    <row r="115" spans="1:32" ht="14.25" customHeight="1" x14ac:dyDescent="0.3">
      <c r="B115" s="41"/>
      <c r="D115" s="60"/>
      <c r="H115" s="54"/>
      <c r="I115" s="1"/>
      <c r="J115" s="1" t="s">
        <v>8</v>
      </c>
      <c r="K115" s="90"/>
      <c r="L115" s="1"/>
      <c r="M115" s="1"/>
      <c r="N115" s="1"/>
      <c r="O115" s="1"/>
      <c r="AF115" s="1"/>
    </row>
    <row r="116" spans="1:32" x14ac:dyDescent="0.3">
      <c r="A116" s="161">
        <v>0.65</v>
      </c>
      <c r="B116" s="41" t="s">
        <v>121</v>
      </c>
      <c r="D116" s="93">
        <f>D29</f>
        <v>30</v>
      </c>
      <c r="E116" s="53">
        <f>$E$119*(1-A116)</f>
        <v>0.10127249999999999</v>
      </c>
      <c r="F116" s="53">
        <f>$F$119*(1-A116)</f>
        <v>0.102669</v>
      </c>
      <c r="G116" s="53">
        <f>E116+F116</f>
        <v>0.2039415</v>
      </c>
      <c r="H116" s="54">
        <f>ROUND((D116*E116),2)+ROUND((D116*F116),2)</f>
        <v>6.12</v>
      </c>
      <c r="I116" s="1"/>
      <c r="J116" s="1"/>
      <c r="K116" s="1"/>
      <c r="L116" s="1"/>
      <c r="M116" s="9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3">
      <c r="A117" s="161">
        <v>0.4</v>
      </c>
      <c r="B117" s="41" t="s">
        <v>122</v>
      </c>
      <c r="D117" s="93">
        <f>D30</f>
        <v>70</v>
      </c>
      <c r="E117" s="53">
        <f>$E$119*(1-A117)</f>
        <v>0.17360999999999999</v>
      </c>
      <c r="F117" s="53">
        <f>$F$119*(1-A117)</f>
        <v>0.17600399999999999</v>
      </c>
      <c r="G117" s="53">
        <f>E117+F117</f>
        <v>0.34961399999999998</v>
      </c>
      <c r="H117" s="54">
        <f>ROUND((D117*E117),2)+ROUND((D117*F117),2)</f>
        <v>24.47</v>
      </c>
      <c r="I117" s="1"/>
      <c r="J117" s="1"/>
      <c r="K117" s="1"/>
      <c r="L117" s="1"/>
      <c r="M117" s="9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3">
      <c r="A118" s="161">
        <v>0.1</v>
      </c>
      <c r="B118" s="41" t="s">
        <v>124</v>
      </c>
      <c r="D118" s="93">
        <f>D31</f>
        <v>120</v>
      </c>
      <c r="E118" s="53">
        <f>$E$119*(1-A118)</f>
        <v>0.26041500000000001</v>
      </c>
      <c r="F118" s="53">
        <f>$F$119*(1-A118)</f>
        <v>0.26400600000000002</v>
      </c>
      <c r="G118" s="53">
        <f>E118+F118</f>
        <v>0.52442100000000003</v>
      </c>
      <c r="H118" s="54">
        <f>ROUND((D118*E118),2)+ROUND((D118*F118),2)</f>
        <v>62.93</v>
      </c>
      <c r="I118" s="1"/>
      <c r="J118" s="1"/>
      <c r="K118" s="1"/>
      <c r="L118" s="1"/>
      <c r="M118" s="9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3">
      <c r="A119" s="161">
        <v>0</v>
      </c>
      <c r="B119" s="41" t="s">
        <v>123</v>
      </c>
      <c r="D119" s="93">
        <f>D32</f>
        <v>96</v>
      </c>
      <c r="E119" s="53">
        <f>IF(AND($B$14&lt;$F$2,$E$14&lt;$F$2),C6,IF($B$14&lt;$F$2,I6,F6))</f>
        <v>0.28935</v>
      </c>
      <c r="F119" s="53">
        <f>IF(AND($B$14&lt;$F$2,$E$14&lt;$F$2),D6,IF($B$14&lt;$F$2,J6,G6))</f>
        <v>0.29333999999999999</v>
      </c>
      <c r="G119" s="53">
        <f>E119+F119</f>
        <v>0.58268999999999993</v>
      </c>
      <c r="H119" s="54">
        <f>ROUND((D119*E119),2)+ROUND((D119*F119),2)</f>
        <v>55.94</v>
      </c>
      <c r="I119" s="1"/>
      <c r="J119" s="1"/>
      <c r="K119" s="1"/>
      <c r="L119" s="1"/>
      <c r="M119" s="9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3">
      <c r="B120" s="41"/>
      <c r="D120" s="55"/>
      <c r="E120" s="56"/>
      <c r="F120" s="57"/>
      <c r="G120" s="57"/>
      <c r="H120" s="5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3">
      <c r="B121" s="41" t="s">
        <v>43</v>
      </c>
      <c r="D121" s="58"/>
      <c r="F121" s="59"/>
      <c r="G121" s="59"/>
      <c r="H121" s="54">
        <f>O216</f>
        <v>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3">
      <c r="B122" s="41" t="s">
        <v>44</v>
      </c>
      <c r="D122" s="58"/>
      <c r="F122" s="59"/>
      <c r="G122" s="59"/>
      <c r="H122" s="54">
        <f>O225</f>
        <v>3.9499999999999997</v>
      </c>
      <c r="I122" s="1"/>
      <c r="J122" s="1"/>
      <c r="K122" s="1"/>
      <c r="L122" s="41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3">
      <c r="B123" s="41" t="s">
        <v>45</v>
      </c>
      <c r="D123" s="58"/>
      <c r="F123" s="59"/>
      <c r="G123" s="59"/>
      <c r="H123" s="54">
        <f>O234</f>
        <v>13.23</v>
      </c>
      <c r="I123" s="1"/>
      <c r="J123" s="1"/>
      <c r="K123" s="1"/>
      <c r="L123" s="1"/>
      <c r="M123" s="1"/>
      <c r="N123" s="1"/>
      <c r="O123" s="1"/>
      <c r="AF123" s="1"/>
    </row>
    <row r="124" spans="1:32" x14ac:dyDescent="0.3">
      <c r="B124" s="41" t="s">
        <v>46</v>
      </c>
      <c r="D124" s="58"/>
      <c r="F124" s="59"/>
      <c r="G124" s="59"/>
      <c r="H124" s="54">
        <f>O243</f>
        <v>0</v>
      </c>
      <c r="I124" s="1"/>
      <c r="J124" s="1"/>
      <c r="K124" s="1"/>
      <c r="L124" s="1"/>
      <c r="M124" s="1"/>
      <c r="N124" s="1"/>
      <c r="O124" s="1"/>
      <c r="AF124" s="1"/>
    </row>
    <row r="125" spans="1:32" ht="14.25" customHeight="1" x14ac:dyDescent="0.3">
      <c r="B125" s="41"/>
      <c r="D125" s="60"/>
      <c r="H125" s="54"/>
      <c r="I125" s="1"/>
      <c r="J125" s="1"/>
      <c r="K125" s="90"/>
      <c r="L125" s="1"/>
      <c r="M125" s="1"/>
      <c r="N125" s="1"/>
      <c r="O125" s="1"/>
      <c r="AF125" s="1"/>
    </row>
    <row r="126" spans="1:32" x14ac:dyDescent="0.3">
      <c r="A126" s="161">
        <v>0.65</v>
      </c>
      <c r="B126" s="41" t="s">
        <v>136</v>
      </c>
      <c r="D126" s="92">
        <f>D60</f>
        <v>-30</v>
      </c>
      <c r="E126" s="53">
        <f>$E$129*(1-A126)</f>
        <v>0.10127249999999999</v>
      </c>
      <c r="F126" s="53">
        <f>F116</f>
        <v>0.102669</v>
      </c>
      <c r="G126" s="53">
        <f>E126+F126</f>
        <v>0.2039415</v>
      </c>
      <c r="H126" s="54">
        <f>ROUND((D126*E126),2)+ROUND((D126*F126),2)</f>
        <v>-6.12</v>
      </c>
      <c r="J126" s="93">
        <f>-(IF(D17&gt;0,30,0))</f>
        <v>-30</v>
      </c>
      <c r="K126" s="90"/>
      <c r="L126" s="1"/>
      <c r="M126" s="90"/>
      <c r="N126" s="1"/>
      <c r="O126" s="1"/>
      <c r="AF126" s="1"/>
    </row>
    <row r="127" spans="1:32" x14ac:dyDescent="0.3">
      <c r="A127" s="161">
        <v>0.4</v>
      </c>
      <c r="B127" s="41" t="s">
        <v>137</v>
      </c>
      <c r="D127" s="92">
        <f>D61</f>
        <v>-70</v>
      </c>
      <c r="E127" s="53">
        <f>$E$129*(1-A127)</f>
        <v>0.17360999999999999</v>
      </c>
      <c r="F127" s="53">
        <f>F117</f>
        <v>0.17600399999999999</v>
      </c>
      <c r="G127" s="53">
        <f>E127+F127</f>
        <v>0.34961399999999998</v>
      </c>
      <c r="H127" s="54">
        <f>ROUND((D127*E127),2)+ROUND((D127*F127),2)</f>
        <v>-24.47</v>
      </c>
      <c r="J127" s="93">
        <f>-(IF(D17&gt;30,IF(D17&gt;100,70,D17-30),0))</f>
        <v>-70</v>
      </c>
      <c r="K127" s="90"/>
      <c r="L127" s="1"/>
      <c r="M127" s="1"/>
      <c r="N127" s="1"/>
      <c r="O127" s="1"/>
      <c r="AF127" s="1"/>
    </row>
    <row r="128" spans="1:32" x14ac:dyDescent="0.3">
      <c r="A128" s="161">
        <v>0.1</v>
      </c>
      <c r="B128" s="41" t="s">
        <v>138</v>
      </c>
      <c r="D128" s="92">
        <f>D62</f>
        <v>-120</v>
      </c>
      <c r="E128" s="53">
        <f>$E$129*(1-A128)</f>
        <v>0.26041500000000001</v>
      </c>
      <c r="F128" s="53">
        <f>F118</f>
        <v>0.26400600000000002</v>
      </c>
      <c r="G128" s="53">
        <f>E128+F128</f>
        <v>0.52442100000000003</v>
      </c>
      <c r="H128" s="54">
        <f>ROUND((D128*E128),2)+ROUND((D128*F128),2)</f>
        <v>-62.93</v>
      </c>
      <c r="J128" s="93">
        <f>-(IF(D17&gt;100,IF(D17&gt;220,220-100,D17-100),0))</f>
        <v>-120</v>
      </c>
      <c r="K128" s="1"/>
      <c r="L128" s="1"/>
      <c r="M128" s="1"/>
      <c r="N128" s="1"/>
      <c r="O128" s="1"/>
      <c r="AF128" s="1"/>
    </row>
    <row r="129" spans="1:32" x14ac:dyDescent="0.3">
      <c r="A129" s="161">
        <v>0</v>
      </c>
      <c r="B129" s="41" t="s">
        <v>139</v>
      </c>
      <c r="D129" s="92">
        <f>D63</f>
        <v>-1</v>
      </c>
      <c r="E129" s="53">
        <f>IF(AND($B$14&lt;$F$2,$E$14&lt;$F$2),C6,IF($B$14&lt;$F$2,I6,F6))*F100</f>
        <v>0.28935</v>
      </c>
      <c r="F129" s="53">
        <f>F119</f>
        <v>0.29333999999999999</v>
      </c>
      <c r="G129" s="53">
        <f>E129+F129</f>
        <v>0.58268999999999993</v>
      </c>
      <c r="H129" s="54">
        <f>ROUND((D129*E129),2)+ROUND((D129*F129),2)</f>
        <v>-0.57999999999999996</v>
      </c>
      <c r="J129" s="93">
        <f>-(IF(D17&gt;220,D17-220,0))</f>
        <v>-1</v>
      </c>
      <c r="K129" s="1"/>
      <c r="L129" s="1"/>
      <c r="M129" s="1"/>
      <c r="N129" s="1"/>
      <c r="O129" s="1"/>
      <c r="AF129" s="1"/>
    </row>
    <row r="130" spans="1:32" x14ac:dyDescent="0.3">
      <c r="B130" s="41"/>
      <c r="D130" s="55"/>
      <c r="E130" s="56"/>
      <c r="F130" s="57"/>
      <c r="G130" s="57"/>
      <c r="H130" s="54"/>
      <c r="J130" s="1"/>
      <c r="K130" s="1"/>
      <c r="L130" s="1"/>
      <c r="M130" s="1"/>
      <c r="N130" s="1"/>
      <c r="O130" s="1"/>
      <c r="AF130" s="1"/>
    </row>
    <row r="131" spans="1:32" x14ac:dyDescent="0.3">
      <c r="B131" s="41" t="s">
        <v>43</v>
      </c>
      <c r="D131" s="58"/>
      <c r="F131" s="59"/>
      <c r="G131" s="59"/>
      <c r="H131" s="54">
        <f>O255</f>
        <v>0</v>
      </c>
      <c r="J131" s="1"/>
      <c r="K131" s="1"/>
      <c r="L131" s="1"/>
      <c r="M131" s="1"/>
      <c r="N131" s="1"/>
      <c r="O131" s="1"/>
      <c r="AF131" s="1"/>
    </row>
    <row r="132" spans="1:32" x14ac:dyDescent="0.3">
      <c r="B132" s="41" t="s">
        <v>44</v>
      </c>
      <c r="D132" s="58"/>
      <c r="F132" s="59"/>
      <c r="G132" s="59"/>
      <c r="H132" s="54">
        <f>O264</f>
        <v>-2.4899999999999998</v>
      </c>
      <c r="I132" s="1"/>
      <c r="J132" s="1"/>
      <c r="K132" s="1"/>
      <c r="L132" s="1"/>
      <c r="M132" s="1"/>
      <c r="N132" s="1"/>
      <c r="O132" s="1"/>
      <c r="AF132" s="1"/>
    </row>
    <row r="133" spans="1:32" x14ac:dyDescent="0.3">
      <c r="B133" s="41" t="s">
        <v>45</v>
      </c>
      <c r="D133" s="58"/>
      <c r="F133" s="59"/>
      <c r="G133" s="59"/>
      <c r="H133" s="54">
        <f>O273</f>
        <v>-8.3300000000000018</v>
      </c>
      <c r="I133" s="1"/>
      <c r="J133" s="1"/>
      <c r="K133" s="1"/>
      <c r="L133" s="1"/>
      <c r="M133" s="1"/>
      <c r="N133" s="1"/>
      <c r="O133" s="1"/>
      <c r="AF133" s="1"/>
    </row>
    <row r="134" spans="1:32" x14ac:dyDescent="0.3">
      <c r="B134" s="41" t="s">
        <v>46</v>
      </c>
      <c r="D134" s="58"/>
      <c r="F134" s="59"/>
      <c r="G134" s="59"/>
      <c r="H134" s="54">
        <f>O282</f>
        <v>0</v>
      </c>
      <c r="I134" s="97"/>
      <c r="J134" s="1"/>
      <c r="K134" s="1"/>
      <c r="L134" s="1"/>
      <c r="M134" s="1"/>
      <c r="N134" s="1"/>
      <c r="O134" s="1"/>
      <c r="AF134" s="1"/>
    </row>
    <row r="135" spans="1:32" x14ac:dyDescent="0.3">
      <c r="B135" s="61"/>
      <c r="C135" s="24"/>
      <c r="D135" s="24"/>
      <c r="E135" s="24"/>
      <c r="F135" s="24"/>
      <c r="G135" s="24"/>
      <c r="H135" s="62"/>
      <c r="I135" s="1"/>
      <c r="J135" s="1"/>
      <c r="K135" s="1"/>
      <c r="L135" s="1"/>
      <c r="M135" s="1"/>
      <c r="N135" s="1"/>
      <c r="O135" s="1"/>
      <c r="AF135" s="1"/>
    </row>
    <row r="136" spans="1:32" x14ac:dyDescent="0.3">
      <c r="B136" s="34"/>
      <c r="C136" s="35"/>
      <c r="D136" s="35"/>
      <c r="E136" s="35"/>
      <c r="F136" s="35"/>
      <c r="G136" s="35"/>
      <c r="H136" s="65"/>
      <c r="I136" s="67"/>
      <c r="L136" s="1"/>
      <c r="M136" s="1"/>
      <c r="N136" s="1"/>
      <c r="O136" s="1"/>
      <c r="AF136" s="1"/>
    </row>
    <row r="137" spans="1:32" x14ac:dyDescent="0.3">
      <c r="B137" s="41"/>
      <c r="D137" s="63" t="s">
        <v>48</v>
      </c>
      <c r="E137" s="64"/>
      <c r="F137" s="64"/>
      <c r="G137" s="64"/>
      <c r="H137" s="65"/>
      <c r="I137" s="67"/>
      <c r="L137" s="1"/>
      <c r="M137" s="1"/>
      <c r="N137" s="1"/>
      <c r="O137" s="1"/>
      <c r="AF137" s="1"/>
    </row>
    <row r="138" spans="1:32" x14ac:dyDescent="0.3">
      <c r="B138" s="41" t="s">
        <v>49</v>
      </c>
      <c r="D138" s="68">
        <f>SUM(H106:H124)/(1-E138-E140)</f>
        <v>280.79826284768899</v>
      </c>
      <c r="E138" s="69">
        <f>N25</f>
        <v>5.8999999999999999E-3</v>
      </c>
      <c r="H138" s="70">
        <f t="shared" ref="H138:H144" si="18">D138*E138</f>
        <v>1.6567097508013651</v>
      </c>
      <c r="I138" s="67"/>
      <c r="L138" s="1"/>
      <c r="M138" s="1"/>
      <c r="N138" s="1"/>
      <c r="O138" s="1"/>
      <c r="AF138" s="1"/>
    </row>
    <row r="139" spans="1:32" x14ac:dyDescent="0.3">
      <c r="B139" s="41" t="s">
        <v>50</v>
      </c>
      <c r="D139" s="68">
        <f>SUM(H126:H134)/(1-E138-E140)</f>
        <v>-108.48929790094095</v>
      </c>
      <c r="E139" s="71">
        <f>E138</f>
        <v>5.8999999999999999E-3</v>
      </c>
      <c r="H139" s="70">
        <f t="shared" si="18"/>
        <v>-0.64008685761555162</v>
      </c>
      <c r="L139" s="1"/>
      <c r="M139" s="1"/>
      <c r="N139" s="1"/>
      <c r="O139" s="1"/>
      <c r="AF139" s="1"/>
    </row>
    <row r="140" spans="1:32" x14ac:dyDescent="0.3">
      <c r="B140" s="41" t="s">
        <v>51</v>
      </c>
      <c r="D140" s="68">
        <f>D138</f>
        <v>280.79826284768899</v>
      </c>
      <c r="E140" s="69">
        <f>N26</f>
        <v>2.7E-2</v>
      </c>
      <c r="H140" s="70">
        <f t="shared" si="18"/>
        <v>7.5815530968876024</v>
      </c>
      <c r="L140" s="1"/>
      <c r="M140" s="1"/>
      <c r="N140" s="1"/>
      <c r="O140" s="1"/>
      <c r="AF140" s="1"/>
    </row>
    <row r="141" spans="1:32" x14ac:dyDescent="0.3">
      <c r="B141" s="41" t="s">
        <v>52</v>
      </c>
      <c r="D141" s="68">
        <f>D139</f>
        <v>-108.48929790094095</v>
      </c>
      <c r="E141" s="71">
        <f>E140</f>
        <v>2.7E-2</v>
      </c>
      <c r="H141" s="70">
        <f t="shared" si="18"/>
        <v>-2.9292110433254059</v>
      </c>
      <c r="L141" s="1"/>
      <c r="M141" s="1"/>
      <c r="N141" s="1"/>
      <c r="O141" s="1"/>
      <c r="AF141" s="1"/>
    </row>
    <row r="142" spans="1:32" x14ac:dyDescent="0.3">
      <c r="B142" s="41" t="s">
        <v>11</v>
      </c>
      <c r="D142" s="72">
        <f>D138/(1-E142)</f>
        <v>338.31116005745662</v>
      </c>
      <c r="E142" s="73">
        <v>0.17</v>
      </c>
      <c r="H142" s="70">
        <f t="shared" si="18"/>
        <v>57.51289720976763</v>
      </c>
      <c r="AF142" s="1"/>
    </row>
    <row r="143" spans="1:32" x14ac:dyDescent="0.3">
      <c r="B143" s="74" t="s">
        <v>53</v>
      </c>
      <c r="C143" s="75"/>
      <c r="D143" s="76">
        <f>D139/(1-E143)</f>
        <v>-130.7099974710132</v>
      </c>
      <c r="E143" s="77">
        <f>E142</f>
        <v>0.17</v>
      </c>
      <c r="F143" s="75"/>
      <c r="G143" s="75"/>
      <c r="H143" s="78">
        <f t="shared" si="18"/>
        <v>-22.220699570072245</v>
      </c>
      <c r="AF143" s="1"/>
    </row>
    <row r="144" spans="1:32" x14ac:dyDescent="0.3">
      <c r="B144" s="213" t="s">
        <v>156</v>
      </c>
      <c r="C144" s="214"/>
      <c r="D144" s="334">
        <f>K169</f>
        <v>67.34124851357052</v>
      </c>
      <c r="E144" s="335">
        <f>E143</f>
        <v>0.17</v>
      </c>
      <c r="F144" s="336"/>
      <c r="G144" s="336"/>
      <c r="H144" s="337">
        <f t="shared" si="18"/>
        <v>11.448012247306989</v>
      </c>
      <c r="I144" s="331" t="s">
        <v>257</v>
      </c>
      <c r="J144" s="27"/>
      <c r="K144" s="27"/>
      <c r="L144" s="27"/>
      <c r="AF144" s="1"/>
    </row>
    <row r="145" spans="1:32" x14ac:dyDescent="0.3">
      <c r="B145" s="219" t="s">
        <v>166</v>
      </c>
      <c r="C145" s="130"/>
      <c r="D145" s="220"/>
      <c r="E145" s="221"/>
      <c r="F145" s="221"/>
      <c r="G145" s="130"/>
      <c r="H145" s="219">
        <f>IF(AND($B$14&lt;$F$2,$E$14&lt;$F$2),(D106*U12)+(D107*U13)+(D108*U14)+(D109*U15)+(D116*U12)+(D117*U13)+(D118*U14)+(D119*U15)+(D126*U12)+(D127*U13)+(D128*U14)+(D129*U15),(D106*W12)+(D107*W13)+(D108*W14)+(D109*W15)+(D116*W12)+(D117*W13)+(D118*W14)+(D119*W15)+(D126*W12)+(D127*W13)+(D128*W14)+(D129*W15))</f>
        <v>1.0311300000000001</v>
      </c>
      <c r="AF145" s="1"/>
    </row>
    <row r="146" spans="1:32" x14ac:dyDescent="0.3">
      <c r="AF146" s="1"/>
    </row>
    <row r="147" spans="1:32" x14ac:dyDescent="0.3">
      <c r="B147" s="166" t="s">
        <v>140</v>
      </c>
      <c r="C147" s="167"/>
      <c r="D147" s="167"/>
      <c r="E147" s="167"/>
      <c r="F147" s="167"/>
      <c r="G147" s="167"/>
      <c r="H147" s="168">
        <f>K168</f>
        <v>50.066644999999994</v>
      </c>
      <c r="I147" s="169" t="s">
        <v>141</v>
      </c>
      <c r="J147" s="170"/>
      <c r="K147" s="171"/>
      <c r="L147" s="172"/>
      <c r="M147" s="172"/>
      <c r="N147" s="172"/>
      <c r="O147" s="172"/>
      <c r="AF147" s="1"/>
    </row>
    <row r="148" spans="1:32" x14ac:dyDescent="0.3">
      <c r="L148" s="1"/>
      <c r="M148" s="1"/>
      <c r="N148" s="173"/>
      <c r="O148" s="1"/>
      <c r="AF148" s="1"/>
    </row>
    <row r="149" spans="1:32" x14ac:dyDescent="0.3">
      <c r="F149" s="127" t="s">
        <v>164</v>
      </c>
      <c r="G149" s="1"/>
      <c r="H149" s="1"/>
      <c r="L149" s="1"/>
      <c r="M149" s="1"/>
      <c r="N149" s="173"/>
      <c r="O149" s="1"/>
      <c r="AF149" s="1"/>
    </row>
    <row r="150" spans="1:32" x14ac:dyDescent="0.3">
      <c r="G150" s="1"/>
      <c r="H150" s="1"/>
      <c r="I150" s="174" t="s">
        <v>142</v>
      </c>
      <c r="J150" s="174" t="s">
        <v>143</v>
      </c>
      <c r="K150" s="115"/>
      <c r="L150" s="1"/>
      <c r="N150" s="19" t="s">
        <v>387</v>
      </c>
      <c r="O150" s="1"/>
      <c r="AF150" s="1"/>
    </row>
    <row r="151" spans="1:32" x14ac:dyDescent="0.3">
      <c r="A151" s="1"/>
      <c r="B151" s="205" t="s">
        <v>381</v>
      </c>
      <c r="C151" s="350" t="s">
        <v>14</v>
      </c>
      <c r="D151" s="351">
        <f>O179</f>
        <v>0</v>
      </c>
      <c r="F151" s="19" t="s">
        <v>382</v>
      </c>
      <c r="G151" s="186" t="s">
        <v>144</v>
      </c>
      <c r="H151" s="187">
        <f>D16</f>
        <v>537</v>
      </c>
      <c r="I151" s="188">
        <f>E109</f>
        <v>0.28935</v>
      </c>
      <c r="J151" s="188">
        <f>F109</f>
        <v>0.29333999999999999</v>
      </c>
      <c r="K151" s="189">
        <f>H151*(I151+J151)</f>
        <v>312.90452999999997</v>
      </c>
      <c r="N151" s="353">
        <f>D60</f>
        <v>-30</v>
      </c>
      <c r="O151" s="354">
        <f t="shared" ref="O151:P154" si="19">E126</f>
        <v>0.10127249999999999</v>
      </c>
      <c r="P151" s="354">
        <f t="shared" si="19"/>
        <v>0.102669</v>
      </c>
      <c r="Q151" s="355">
        <f>N151*(O151+P151)</f>
        <v>-6.1182449999999999</v>
      </c>
      <c r="R151" s="352">
        <f>K166+Q155</f>
        <v>149.45998499999996</v>
      </c>
      <c r="AE151" s="1"/>
    </row>
    <row r="152" spans="1:32" x14ac:dyDescent="0.3">
      <c r="B152" s="291"/>
      <c r="C152" s="332" t="s">
        <v>15</v>
      </c>
      <c r="D152" s="356">
        <f>O188</f>
        <v>2.4899999999999998</v>
      </c>
      <c r="G152" s="190" t="s">
        <v>14</v>
      </c>
      <c r="H152" s="187">
        <f>IF($K$12=M4,($H$151*($K$14)/($K$14+$L$14)),0)+IF($L$12=M4,($H$151*($L$14)/($K$14+$L$14)),0)</f>
        <v>0</v>
      </c>
      <c r="I152" s="1"/>
      <c r="J152" s="188">
        <f>N4</f>
        <v>1.8849999999999999E-2</v>
      </c>
      <c r="K152" s="191">
        <f>H152*(I152+J152)</f>
        <v>0</v>
      </c>
      <c r="N152" s="353">
        <f>D61</f>
        <v>-70</v>
      </c>
      <c r="O152" s="354">
        <f t="shared" si="19"/>
        <v>0.17360999999999999</v>
      </c>
      <c r="P152" s="354">
        <f t="shared" si="19"/>
        <v>0.17600399999999999</v>
      </c>
      <c r="Q152" s="355">
        <f>N152*(O152+P152)</f>
        <v>-24.47298</v>
      </c>
      <c r="R152" s="205">
        <f>D151+D161+D156</f>
        <v>0</v>
      </c>
    </row>
    <row r="153" spans="1:32" x14ac:dyDescent="0.3">
      <c r="B153" s="291"/>
      <c r="C153" s="332" t="s">
        <v>16</v>
      </c>
      <c r="D153" s="356">
        <f>O197</f>
        <v>8.3300000000000018</v>
      </c>
      <c r="G153" s="190" t="s">
        <v>15</v>
      </c>
      <c r="H153" s="187">
        <f>IF($K$12=M5,($H$151*($K$14)/($K$14+$L$14)),0)+IF($L$12=M5,($H$151*($L$14)/($K$14+$L$14)),0)</f>
        <v>185.17241379310346</v>
      </c>
      <c r="I153" s="1"/>
      <c r="J153" s="188">
        <f>N5</f>
        <v>4.4630000000000003E-2</v>
      </c>
      <c r="K153" s="191">
        <f>H153*(I153+J153)</f>
        <v>8.2642448275862073</v>
      </c>
      <c r="N153" s="353">
        <f>D62</f>
        <v>-120</v>
      </c>
      <c r="O153" s="354">
        <f t="shared" si="19"/>
        <v>0.26041500000000001</v>
      </c>
      <c r="P153" s="354">
        <f t="shared" si="19"/>
        <v>0.26400600000000002</v>
      </c>
      <c r="Q153" s="355">
        <f>N153*(O153+P153)</f>
        <v>-62.930520000000001</v>
      </c>
      <c r="R153" s="205">
        <f>D152+D162+D157</f>
        <v>3.9499999999999997</v>
      </c>
    </row>
    <row r="154" spans="1:32" x14ac:dyDescent="0.3">
      <c r="B154" s="291"/>
      <c r="C154" s="332" t="s">
        <v>306</v>
      </c>
      <c r="D154" s="356">
        <f>O206</f>
        <v>0</v>
      </c>
      <c r="G154" s="190" t="s">
        <v>16</v>
      </c>
      <c r="H154" s="187">
        <f>IF($K$12=M6,($H$151*($K$14)/($K$14+$L$14)),0)+IF($L$12=M6,($H$151*($L$14)/($K$14+$L$14)),0)</f>
        <v>351.82758620689657</v>
      </c>
      <c r="J154" s="188">
        <f>N6</f>
        <v>7.8770000000000007E-2</v>
      </c>
      <c r="K154" s="191">
        <f>H154*(I154+J154)</f>
        <v>27.713458965517244</v>
      </c>
      <c r="N154" s="353">
        <f>D63</f>
        <v>-1</v>
      </c>
      <c r="O154" s="354">
        <f t="shared" si="19"/>
        <v>0.28935</v>
      </c>
      <c r="P154" s="354">
        <f t="shared" si="19"/>
        <v>0.29333999999999999</v>
      </c>
      <c r="Q154" s="355">
        <f>N154*(O154+P154)</f>
        <v>-0.58268999999999993</v>
      </c>
      <c r="R154" s="205">
        <f>D153+D163+D158</f>
        <v>13.23</v>
      </c>
    </row>
    <row r="155" spans="1:32" x14ac:dyDescent="0.3">
      <c r="G155" s="190" t="s">
        <v>17</v>
      </c>
      <c r="H155" s="187">
        <f>IF($K$12=M8,($H$151*($K$14)/($K$14+$L$14)),0)+IF($L$12=M8,($H$151*($L$14)/($K$14+$L$14)),0)</f>
        <v>0</v>
      </c>
      <c r="J155" s="188">
        <f>N8</f>
        <v>0.14199999999999999</v>
      </c>
      <c r="K155" s="191">
        <f>H155*(I155+J155)</f>
        <v>0</v>
      </c>
      <c r="N155" s="1"/>
      <c r="O155" s="1"/>
      <c r="Q155" s="355">
        <f>SUM(Q151:Q154)</f>
        <v>-94.104435000000009</v>
      </c>
      <c r="R155" s="205">
        <f>D154+D164+D159</f>
        <v>0</v>
      </c>
    </row>
    <row r="156" spans="1:32" s="1" customFormat="1" x14ac:dyDescent="0.3">
      <c r="B156" s="1" t="s">
        <v>383</v>
      </c>
      <c r="C156" s="350" t="s">
        <v>14</v>
      </c>
      <c r="D156" s="356">
        <f>O216</f>
        <v>0</v>
      </c>
      <c r="K156" s="420">
        <f>SUM(K151:K155)</f>
        <v>348.88223379310341</v>
      </c>
      <c r="L156" s="205"/>
      <c r="Q156" s="420">
        <f>Q155+SUM(D161:D164)</f>
        <v>-104.92443500000002</v>
      </c>
      <c r="R156" s="205">
        <f>SUM(R151:R155)</f>
        <v>166.63998499999994</v>
      </c>
    </row>
    <row r="157" spans="1:32" s="1" customFormat="1" x14ac:dyDescent="0.3">
      <c r="C157" s="332" t="s">
        <v>15</v>
      </c>
      <c r="D157" s="356">
        <f>O225</f>
        <v>3.9499999999999997</v>
      </c>
      <c r="F157" s="1" t="s">
        <v>388</v>
      </c>
      <c r="G157" s="421">
        <v>0.65</v>
      </c>
      <c r="H157" s="187">
        <f>D25</f>
        <v>30</v>
      </c>
      <c r="I157" s="188">
        <f>E106</f>
        <v>0.10127249999999999</v>
      </c>
      <c r="J157" s="188">
        <f>F106</f>
        <v>0.102669</v>
      </c>
      <c r="K157" s="189">
        <f>H157*(I157+J157)</f>
        <v>6.1182449999999999</v>
      </c>
      <c r="L157" s="205"/>
      <c r="N157" s="1" t="s">
        <v>389</v>
      </c>
    </row>
    <row r="158" spans="1:32" s="1" customFormat="1" x14ac:dyDescent="0.3">
      <c r="C158" s="332" t="s">
        <v>16</v>
      </c>
      <c r="D158" s="356">
        <f>O234</f>
        <v>13.23</v>
      </c>
      <c r="G158" s="421">
        <v>0.4</v>
      </c>
      <c r="H158" s="187">
        <f t="shared" ref="H158:H160" si="20">D26</f>
        <v>70</v>
      </c>
      <c r="I158" s="188">
        <f t="shared" ref="I158:J160" si="21">E107</f>
        <v>0.17360999999999999</v>
      </c>
      <c r="J158" s="188">
        <f t="shared" si="21"/>
        <v>0.17600399999999999</v>
      </c>
      <c r="K158" s="189">
        <f t="shared" ref="K158:K160" si="22">H158*(I158+J158)</f>
        <v>24.47298</v>
      </c>
      <c r="L158" s="205"/>
      <c r="M158" s="421"/>
      <c r="N158" s="187">
        <f>-D17</f>
        <v>-221</v>
      </c>
      <c r="O158" s="188">
        <f>I151</f>
        <v>0.28935</v>
      </c>
      <c r="P158" s="188">
        <f>J151</f>
        <v>0.29333999999999999</v>
      </c>
      <c r="Q158" s="189">
        <f>N158*(O158+P158)</f>
        <v>-128.77448999999999</v>
      </c>
    </row>
    <row r="159" spans="1:32" s="1" customFormat="1" x14ac:dyDescent="0.3">
      <c r="C159" s="332" t="s">
        <v>306</v>
      </c>
      <c r="D159" s="356">
        <f>O243</f>
        <v>0</v>
      </c>
      <c r="G159" s="421">
        <v>0.1</v>
      </c>
      <c r="H159" s="187">
        <f t="shared" si="20"/>
        <v>120</v>
      </c>
      <c r="I159" s="188">
        <f t="shared" si="21"/>
        <v>0.26041500000000001</v>
      </c>
      <c r="J159" s="188">
        <f t="shared" si="21"/>
        <v>0.26400600000000002</v>
      </c>
      <c r="K159" s="189">
        <f t="shared" si="22"/>
        <v>62.930520000000001</v>
      </c>
      <c r="L159" s="205"/>
      <c r="M159" s="190" t="s">
        <v>14</v>
      </c>
      <c r="N159" s="187">
        <f>IF($K$12=M4,($N$158*($K$14)/($K$14+$L$14)),0)+IF($L$12=M4,($N$158*($L$14)/($K$14+$L$14)),0)</f>
        <v>0</v>
      </c>
      <c r="P159" s="188">
        <v>1.8849999999999999E-2</v>
      </c>
      <c r="Q159" s="191">
        <f>N159*(O159+P159)</f>
        <v>0</v>
      </c>
    </row>
    <row r="160" spans="1:32" s="1" customFormat="1" x14ac:dyDescent="0.3">
      <c r="G160" s="421">
        <v>0</v>
      </c>
      <c r="H160" s="187">
        <f t="shared" si="20"/>
        <v>1</v>
      </c>
      <c r="I160" s="188">
        <f t="shared" si="21"/>
        <v>0.28935</v>
      </c>
      <c r="J160" s="188">
        <f t="shared" si="21"/>
        <v>0.29333999999999999</v>
      </c>
      <c r="K160" s="189">
        <f t="shared" si="22"/>
        <v>0.58268999999999993</v>
      </c>
      <c r="L160" s="205"/>
      <c r="M160" s="190" t="s">
        <v>15</v>
      </c>
      <c r="N160" s="187">
        <f>IF($K$12=M5,($N$158*($K$14)/($K$14+$L$14)),0)+IF($L$12=M5,($N$158*($L$14)/($K$14+$L$14)),0)</f>
        <v>-76.206896551724142</v>
      </c>
      <c r="P160" s="188">
        <v>4.4630000000000003E-2</v>
      </c>
      <c r="Q160" s="191">
        <f>N160*(O160+P160)</f>
        <v>-3.4011137931034487</v>
      </c>
    </row>
    <row r="161" spans="2:34" s="1" customFormat="1" x14ac:dyDescent="0.3">
      <c r="B161" s="1" t="s">
        <v>47</v>
      </c>
      <c r="C161" s="350" t="s">
        <v>14</v>
      </c>
      <c r="D161" s="356">
        <f>O255</f>
        <v>0</v>
      </c>
      <c r="L161" s="205"/>
      <c r="M161" s="190" t="s">
        <v>16</v>
      </c>
      <c r="N161" s="187">
        <f t="shared" ref="N161" si="23">IF($K$12=M6,($N$158*($K$14)/($K$14+$L$14)),0)+IF($L$12=M6,($N$158*($L$14)/($K$14+$L$14)),0)</f>
        <v>-144.79310344827587</v>
      </c>
      <c r="O161" s="19"/>
      <c r="P161" s="188">
        <v>7.8770000000000007E-2</v>
      </c>
      <c r="Q161" s="191">
        <f>N161*(O161+P161)</f>
        <v>-11.405352758620692</v>
      </c>
    </row>
    <row r="162" spans="2:34" x14ac:dyDescent="0.3">
      <c r="C162" s="332" t="s">
        <v>15</v>
      </c>
      <c r="D162" s="356">
        <f>O264</f>
        <v>-2.4899999999999998</v>
      </c>
      <c r="F162" s="127" t="s">
        <v>384</v>
      </c>
      <c r="G162" s="421">
        <v>0.65</v>
      </c>
      <c r="H162" s="187">
        <f>D29</f>
        <v>30</v>
      </c>
      <c r="I162" s="188">
        <f>E116</f>
        <v>0.10127249999999999</v>
      </c>
      <c r="J162" s="188">
        <f>F116</f>
        <v>0.102669</v>
      </c>
      <c r="K162" s="189">
        <f>H162*(I162+J162)</f>
        <v>6.1182449999999999</v>
      </c>
      <c r="L162" s="205"/>
      <c r="M162" s="190" t="s">
        <v>17</v>
      </c>
      <c r="N162" s="187">
        <f>IF($K$12=M8,($N$158*($K$14)/($K$14+$L$14)),0)+IF($L$12=M8,($N$158*($L$14)/($K$14+$L$14)),0)</f>
        <v>0</v>
      </c>
      <c r="P162" s="188">
        <v>0.14199999999999999</v>
      </c>
      <c r="Q162" s="191">
        <f>N162*(O162+P162)</f>
        <v>0</v>
      </c>
    </row>
    <row r="163" spans="2:34" x14ac:dyDescent="0.3">
      <c r="C163" s="332" t="s">
        <v>16</v>
      </c>
      <c r="D163" s="356">
        <f>O273</f>
        <v>-8.3300000000000018</v>
      </c>
      <c r="G163" s="421">
        <v>0.4</v>
      </c>
      <c r="H163" s="187">
        <f t="shared" ref="H163:H165" si="24">D30</f>
        <v>70</v>
      </c>
      <c r="I163" s="188">
        <f t="shared" ref="I163:J165" si="25">E117</f>
        <v>0.17360999999999999</v>
      </c>
      <c r="J163" s="188">
        <f t="shared" si="25"/>
        <v>0.17600399999999999</v>
      </c>
      <c r="K163" s="189">
        <f t="shared" ref="K163:K165" si="26">H163*(I163+J163)</f>
        <v>24.47298</v>
      </c>
      <c r="L163" s="205"/>
      <c r="M163" s="1"/>
      <c r="Q163" s="420">
        <f>SUM(Q158:Q160)</f>
        <v>-132.17560379310345</v>
      </c>
    </row>
    <row r="164" spans="2:34" x14ac:dyDescent="0.3">
      <c r="C164" s="332" t="s">
        <v>306</v>
      </c>
      <c r="D164" s="356">
        <f>O282</f>
        <v>0</v>
      </c>
      <c r="G164" s="421">
        <v>0.1</v>
      </c>
      <c r="H164" s="187">
        <f t="shared" si="24"/>
        <v>120</v>
      </c>
      <c r="I164" s="188">
        <f t="shared" si="25"/>
        <v>0.26041500000000001</v>
      </c>
      <c r="J164" s="188">
        <f t="shared" si="25"/>
        <v>0.26400600000000002</v>
      </c>
      <c r="K164" s="189">
        <f t="shared" si="26"/>
        <v>62.930520000000001</v>
      </c>
      <c r="L164" s="205"/>
      <c r="M164" s="1"/>
    </row>
    <row r="165" spans="2:34" x14ac:dyDescent="0.3">
      <c r="G165" s="421">
        <v>0</v>
      </c>
      <c r="H165" s="187">
        <f t="shared" si="24"/>
        <v>96</v>
      </c>
      <c r="I165" s="188">
        <f t="shared" si="25"/>
        <v>0.28935</v>
      </c>
      <c r="J165" s="188">
        <f t="shared" si="25"/>
        <v>0.29333999999999999</v>
      </c>
      <c r="K165" s="189">
        <f t="shared" si="26"/>
        <v>55.938239999999993</v>
      </c>
      <c r="L165" s="205"/>
      <c r="M165" s="1"/>
      <c r="N165" s="291"/>
    </row>
    <row r="166" spans="2:34" x14ac:dyDescent="0.3">
      <c r="B166" s="19" t="s">
        <v>385</v>
      </c>
      <c r="C166" s="350" t="s">
        <v>14</v>
      </c>
      <c r="D166" s="356">
        <f>AF179</f>
        <v>0</v>
      </c>
      <c r="G166" s="190"/>
      <c r="K166" s="189">
        <f>SUM(K157:K165)</f>
        <v>243.56441999999998</v>
      </c>
      <c r="L166" s="420">
        <f>K166+SUM(D151:D159)</f>
        <v>271.56441999999998</v>
      </c>
      <c r="M166" s="1"/>
    </row>
    <row r="167" spans="2:34" x14ac:dyDescent="0.3">
      <c r="C167" s="332" t="s">
        <v>15</v>
      </c>
      <c r="D167" s="356">
        <f>AF188</f>
        <v>7.35</v>
      </c>
      <c r="G167" s="190"/>
      <c r="L167" s="1"/>
      <c r="M167" s="1"/>
      <c r="N167" s="1"/>
    </row>
    <row r="168" spans="2:34" x14ac:dyDescent="0.3">
      <c r="C168" s="332" t="s">
        <v>16</v>
      </c>
      <c r="D168" s="356">
        <f>AF197</f>
        <v>24.64</v>
      </c>
      <c r="G168" s="19" t="s">
        <v>68</v>
      </c>
      <c r="H168" s="68">
        <f>(K168+K152+K153+K154+K155-D166-D167-D168-D169)/(1-E138-E140)</f>
        <v>55.893236266263528</v>
      </c>
      <c r="J168" s="197" t="s">
        <v>140</v>
      </c>
      <c r="K168" s="189">
        <f>(K156-L166)+(Q163-Q156)</f>
        <v>50.066644999999994</v>
      </c>
      <c r="L168" s="176" t="s">
        <v>145</v>
      </c>
      <c r="M168" s="1"/>
      <c r="N168" s="1"/>
      <c r="O168" s="1"/>
    </row>
    <row r="169" spans="2:34" x14ac:dyDescent="0.3">
      <c r="C169" s="332" t="s">
        <v>306</v>
      </c>
      <c r="D169" s="356">
        <f>AF206</f>
        <v>0</v>
      </c>
      <c r="G169" s="19" t="s">
        <v>51</v>
      </c>
      <c r="H169" s="68">
        <f>H168</f>
        <v>55.893236266263528</v>
      </c>
      <c r="J169" s="198" t="s">
        <v>67</v>
      </c>
      <c r="K169" s="212">
        <f>H170</f>
        <v>67.34124851357052</v>
      </c>
      <c r="L169" s="176" t="s">
        <v>146</v>
      </c>
      <c r="M169" s="1"/>
      <c r="N169" s="1"/>
      <c r="O169" s="1"/>
    </row>
    <row r="170" spans="2:34" x14ac:dyDescent="0.3">
      <c r="G170" s="19" t="s">
        <v>11</v>
      </c>
      <c r="H170" s="68">
        <f>H168/(1-E142)</f>
        <v>67.34124851357052</v>
      </c>
    </row>
    <row r="171" spans="2:34" x14ac:dyDescent="0.3">
      <c r="B171" s="1" t="s">
        <v>128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S171" s="1" t="s">
        <v>307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2:34" x14ac:dyDescent="0.3">
      <c r="B172" s="102" t="s">
        <v>14</v>
      </c>
      <c r="C172" s="102"/>
      <c r="D172" s="102"/>
      <c r="E172" s="102"/>
      <c r="F172" s="102"/>
      <c r="G172" s="102"/>
      <c r="H172" s="113"/>
      <c r="I172" s="113"/>
      <c r="J172" s="114"/>
      <c r="K172" s="199">
        <f>N4</f>
        <v>1.8849999999999999E-2</v>
      </c>
      <c r="L172" s="200"/>
      <c r="M172" s="103"/>
      <c r="N172" s="103"/>
      <c r="O172" s="115"/>
      <c r="P172" s="1"/>
      <c r="Q172" s="1"/>
      <c r="S172" s="102" t="s">
        <v>14</v>
      </c>
      <c r="T172" s="102"/>
      <c r="U172" s="102"/>
      <c r="V172" s="102"/>
      <c r="W172" s="102"/>
      <c r="X172" s="102"/>
      <c r="Y172" s="113"/>
      <c r="Z172" s="113"/>
      <c r="AA172" s="114"/>
      <c r="AB172" s="199">
        <f>K172</f>
        <v>1.8849999999999999E-2</v>
      </c>
      <c r="AC172" s="200"/>
      <c r="AD172" s="103"/>
      <c r="AE172" s="103"/>
      <c r="AF172" s="115"/>
      <c r="AG172" s="1"/>
      <c r="AH172" s="1"/>
    </row>
    <row r="173" spans="2:34" ht="27.6" x14ac:dyDescent="0.3">
      <c r="B173" s="1"/>
      <c r="C173" s="357" t="s">
        <v>129</v>
      </c>
      <c r="D173" s="504"/>
      <c r="E173" s="505"/>
      <c r="F173" s="358"/>
      <c r="G173" s="504"/>
      <c r="H173" s="505"/>
      <c r="I173" s="358"/>
      <c r="J173" s="504" t="s">
        <v>130</v>
      </c>
      <c r="K173" s="505"/>
      <c r="L173" s="358"/>
      <c r="M173" s="504" t="s">
        <v>131</v>
      </c>
      <c r="N173" s="505"/>
      <c r="O173" s="359" t="s">
        <v>132</v>
      </c>
      <c r="P173" s="1"/>
      <c r="Q173" s="46"/>
      <c r="S173" s="1"/>
      <c r="T173" s="360" t="s">
        <v>129</v>
      </c>
      <c r="U173" s="502"/>
      <c r="V173" s="503"/>
      <c r="W173" s="361"/>
      <c r="X173" s="502"/>
      <c r="Y173" s="503"/>
      <c r="Z173" s="361"/>
      <c r="AA173" s="502" t="s">
        <v>130</v>
      </c>
      <c r="AB173" s="503"/>
      <c r="AC173" s="361"/>
      <c r="AD173" s="502" t="s">
        <v>131</v>
      </c>
      <c r="AE173" s="503"/>
      <c r="AF173" s="362" t="s">
        <v>132</v>
      </c>
      <c r="AG173" s="1"/>
      <c r="AH173" s="46"/>
    </row>
    <row r="174" spans="2:34" x14ac:dyDescent="0.3">
      <c r="B174" s="1"/>
      <c r="C174" s="363" t="s">
        <v>133</v>
      </c>
      <c r="D174" s="363"/>
      <c r="E174" s="363"/>
      <c r="F174" s="363"/>
      <c r="G174" s="363"/>
      <c r="H174" s="363"/>
      <c r="I174" s="363"/>
      <c r="J174" s="363"/>
      <c r="K174" s="363" t="s">
        <v>9</v>
      </c>
      <c r="L174" s="363"/>
      <c r="M174" s="363" t="s">
        <v>33</v>
      </c>
      <c r="N174" s="363" t="s">
        <v>9</v>
      </c>
      <c r="O174" s="363" t="s">
        <v>134</v>
      </c>
      <c r="P174" s="1"/>
      <c r="S174" s="1"/>
      <c r="T174" s="364" t="s">
        <v>133</v>
      </c>
      <c r="U174" s="364"/>
      <c r="V174" s="364"/>
      <c r="W174" s="364"/>
      <c r="X174" s="364"/>
      <c r="Y174" s="364"/>
      <c r="Z174" s="364"/>
      <c r="AA174" s="364"/>
      <c r="AB174" s="364" t="s">
        <v>9</v>
      </c>
      <c r="AC174" s="364"/>
      <c r="AD174" s="364" t="s">
        <v>33</v>
      </c>
      <c r="AE174" s="364" t="s">
        <v>9</v>
      </c>
      <c r="AF174" s="364" t="s">
        <v>134</v>
      </c>
      <c r="AG174" s="1"/>
    </row>
    <row r="175" spans="2:34" x14ac:dyDescent="0.3">
      <c r="B175" s="1"/>
      <c r="C175" s="202">
        <f>IF($K$12=$B$172,(D106*($K$14)/($K$14+$L$14)),0)+IF($L$12=$B$172,(D106*($L$14)/($K$14+$L$14)),0)</f>
        <v>0</v>
      </c>
      <c r="D175" s="203"/>
      <c r="E175" s="203"/>
      <c r="F175" s="203"/>
      <c r="G175" s="188"/>
      <c r="H175" s="188"/>
      <c r="I175" s="188"/>
      <c r="J175" s="188"/>
      <c r="K175" s="188">
        <f>$K$209*(1-Q175)</f>
        <v>6.5974999999999992E-3</v>
      </c>
      <c r="L175" s="188"/>
      <c r="M175" s="204"/>
      <c r="N175" s="204">
        <f>ROUND((C175*K175),2)</f>
        <v>0</v>
      </c>
      <c r="O175" s="189">
        <f>M175+N175</f>
        <v>0</v>
      </c>
      <c r="P175" s="205"/>
      <c r="Q175" s="165">
        <v>0.65</v>
      </c>
      <c r="S175" s="1"/>
      <c r="T175" s="202">
        <f>IF($K$12=$B$172,(J106*($K$14)/($K$14+$L$14)),0)+IF($L$12=$B$172,(J106*($L$14)/($K$14+$L$14)),0)</f>
        <v>0</v>
      </c>
      <c r="U175" s="203"/>
      <c r="V175" s="203"/>
      <c r="W175" s="203"/>
      <c r="X175" s="188"/>
      <c r="Y175" s="188"/>
      <c r="Z175" s="188"/>
      <c r="AA175" s="188"/>
      <c r="AB175" s="188">
        <f>$K$209*(1-AH175)</f>
        <v>6.5974999999999992E-3</v>
      </c>
      <c r="AC175" s="188"/>
      <c r="AD175" s="204"/>
      <c r="AE175" s="204">
        <f>ROUND((T175*AB175),2)</f>
        <v>0</v>
      </c>
      <c r="AF175" s="189">
        <f>AD175+AE175</f>
        <v>0</v>
      </c>
      <c r="AG175" s="205"/>
      <c r="AH175" s="165">
        <v>0.65</v>
      </c>
    </row>
    <row r="176" spans="2:34" x14ac:dyDescent="0.3">
      <c r="B176" s="1"/>
      <c r="C176" s="202">
        <f>IF($K$12=$B$172,(D107*($K$14)/($K$14+$L$14)),0)+IF($L$12=$B$172,(D107*($L$14)/($K$14+$L$14)),0)</f>
        <v>0</v>
      </c>
      <c r="D176" s="203"/>
      <c r="E176" s="203"/>
      <c r="F176" s="203"/>
      <c r="G176" s="188"/>
      <c r="H176" s="188"/>
      <c r="I176" s="188"/>
      <c r="J176" s="188"/>
      <c r="K176" s="188">
        <f>$K$209*(1-Q176)</f>
        <v>1.1309999999999999E-2</v>
      </c>
      <c r="L176" s="188"/>
      <c r="M176" s="204"/>
      <c r="N176" s="204">
        <f>ROUND((C176*K176),2)</f>
        <v>0</v>
      </c>
      <c r="O176" s="189">
        <f>M176+N176</f>
        <v>0</v>
      </c>
      <c r="P176" s="205"/>
      <c r="Q176" s="165">
        <v>0.4</v>
      </c>
      <c r="S176" s="1"/>
      <c r="T176" s="202">
        <f>IF($K$12=$B$172,(J107*($K$14)/($K$14+$L$14)),0)+IF($L$12=$B$172,(J107*($L$14)/($K$14+$L$14)),0)</f>
        <v>0</v>
      </c>
      <c r="U176" s="203"/>
      <c r="V176" s="203"/>
      <c r="W176" s="203"/>
      <c r="X176" s="188"/>
      <c r="Y176" s="188"/>
      <c r="Z176" s="188"/>
      <c r="AA176" s="188"/>
      <c r="AB176" s="188">
        <f>$K$209*(1-AH176)</f>
        <v>1.1309999999999999E-2</v>
      </c>
      <c r="AC176" s="188"/>
      <c r="AD176" s="204"/>
      <c r="AE176" s="204">
        <f>ROUND((T176*AB176),2)</f>
        <v>0</v>
      </c>
      <c r="AF176" s="189">
        <f>AD176+AE176</f>
        <v>0</v>
      </c>
      <c r="AG176" s="205"/>
      <c r="AH176" s="165">
        <v>0.4</v>
      </c>
    </row>
    <row r="177" spans="2:34" x14ac:dyDescent="0.3">
      <c r="B177" s="1"/>
      <c r="C177" s="202">
        <f>IF($K$12=$B$172,(D108*($K$14)/($K$14+$L$14)),0)+IF($L$12=$B$172,(D108*($L$14)/($K$14+$L$14)),0)</f>
        <v>0</v>
      </c>
      <c r="D177" s="203"/>
      <c r="E177" s="203"/>
      <c r="F177" s="203"/>
      <c r="G177" s="188"/>
      <c r="H177" s="188"/>
      <c r="I177" s="188"/>
      <c r="J177" s="188"/>
      <c r="K177" s="188">
        <f>$K$209*(1-Q177)</f>
        <v>1.6965000000000001E-2</v>
      </c>
      <c r="L177" s="188"/>
      <c r="M177" s="204"/>
      <c r="N177" s="204">
        <f>ROUND((C177*K177),2)</f>
        <v>0</v>
      </c>
      <c r="O177" s="189">
        <f>M177+N177</f>
        <v>0</v>
      </c>
      <c r="P177" s="205"/>
      <c r="Q177" s="165">
        <v>0.1</v>
      </c>
      <c r="S177" s="1"/>
      <c r="T177" s="202">
        <f>IF($K$12=$B$172,(J108*($K$14)/($K$14+$L$14)),0)+IF($L$12=$B$172,(J108*($L$14)/($K$14+$L$14)),0)</f>
        <v>0</v>
      </c>
      <c r="U177" s="203"/>
      <c r="V177" s="203"/>
      <c r="W177" s="203"/>
      <c r="X177" s="188"/>
      <c r="Y177" s="188"/>
      <c r="Z177" s="188"/>
      <c r="AA177" s="188"/>
      <c r="AB177" s="188">
        <f>$K$209*(1-AH177)</f>
        <v>1.6965000000000001E-2</v>
      </c>
      <c r="AC177" s="188"/>
      <c r="AD177" s="204"/>
      <c r="AE177" s="204">
        <f>ROUND((T177*AB177),2)</f>
        <v>0</v>
      </c>
      <c r="AF177" s="189">
        <f>AD177+AE177</f>
        <v>0</v>
      </c>
      <c r="AG177" s="205"/>
      <c r="AH177" s="165">
        <v>0.1</v>
      </c>
    </row>
    <row r="178" spans="2:34" x14ac:dyDescent="0.3">
      <c r="B178" s="1"/>
      <c r="C178" s="202">
        <f>IF($K$12=$B$172,(D109*($K$14)/($K$14+$L$14)),0)+IF($L$12=$B$172,(D109*($L$14)/($K$14+$L$14)),0)</f>
        <v>0</v>
      </c>
      <c r="D178" s="203"/>
      <c r="E178" s="203"/>
      <c r="F178" s="203"/>
      <c r="G178" s="188"/>
      <c r="H178" s="188"/>
      <c r="I178" s="188"/>
      <c r="J178" s="188"/>
      <c r="K178" s="188">
        <f>$K$209*(1-Q178)</f>
        <v>1.8849999999999999E-2</v>
      </c>
      <c r="L178" s="188"/>
      <c r="M178" s="204"/>
      <c r="N178" s="204">
        <f>ROUND((C178*K178),2)</f>
        <v>0</v>
      </c>
      <c r="O178" s="189">
        <f>M178+N178</f>
        <v>0</v>
      </c>
      <c r="P178" s="205"/>
      <c r="Q178" s="165">
        <v>0</v>
      </c>
      <c r="S178" s="1"/>
      <c r="T178" s="202">
        <f>IF($K$12=$B$172,(J109*($K$14)/($K$14+$L$14)),0)+IF($L$12=$B$172,(J109*($L$14)/($K$14+$L$14)),0)</f>
        <v>0</v>
      </c>
      <c r="U178" s="203"/>
      <c r="V178" s="203"/>
      <c r="W178" s="203"/>
      <c r="X178" s="188"/>
      <c r="Y178" s="188"/>
      <c r="Z178" s="188"/>
      <c r="AA178" s="188"/>
      <c r="AB178" s="188">
        <f>$K$209*(1-AH178)</f>
        <v>1.8849999999999999E-2</v>
      </c>
      <c r="AC178" s="188"/>
      <c r="AD178" s="204"/>
      <c r="AE178" s="204">
        <f>ROUND((T178*AB178),2)</f>
        <v>0</v>
      </c>
      <c r="AF178" s="189">
        <f>AD178+AE178</f>
        <v>0</v>
      </c>
      <c r="AG178" s="205"/>
      <c r="AH178" s="165">
        <v>0</v>
      </c>
    </row>
    <row r="179" spans="2:34" x14ac:dyDescent="0.3">
      <c r="B179" s="1"/>
      <c r="C179" s="206" t="s">
        <v>135</v>
      </c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8"/>
      <c r="O179" s="209">
        <f>SUM(O175:O178)</f>
        <v>0</v>
      </c>
      <c r="P179" s="1"/>
      <c r="Q179" s="1"/>
      <c r="S179" s="1"/>
      <c r="T179" s="206" t="s">
        <v>135</v>
      </c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8"/>
      <c r="AF179" s="209">
        <f>SUM(AF175:AF178)</f>
        <v>0</v>
      </c>
      <c r="AG179" s="1"/>
      <c r="AH179" s="1"/>
    </row>
    <row r="180" spans="2:34" x14ac:dyDescent="0.3">
      <c r="B180" s="102"/>
      <c r="C180" s="102"/>
      <c r="D180" s="102"/>
      <c r="E180" s="102"/>
      <c r="F180" s="102"/>
      <c r="G180" s="102"/>
      <c r="H180" s="113"/>
      <c r="I180" s="113"/>
      <c r="J180" s="114"/>
      <c r="K180" s="114"/>
      <c r="L180" s="114"/>
      <c r="M180" s="103"/>
      <c r="N180" s="103"/>
      <c r="O180" s="210"/>
      <c r="P180" s="1"/>
      <c r="Q180" s="1"/>
      <c r="S180" s="102"/>
      <c r="T180" s="102"/>
      <c r="U180" s="102"/>
      <c r="V180" s="102"/>
      <c r="W180" s="102"/>
      <c r="X180" s="102"/>
      <c r="Y180" s="113"/>
      <c r="Z180" s="113"/>
      <c r="AA180" s="114"/>
      <c r="AB180" s="114"/>
      <c r="AC180" s="114"/>
      <c r="AD180" s="103"/>
      <c r="AE180" s="103"/>
      <c r="AF180" s="210"/>
      <c r="AG180" s="1"/>
      <c r="AH180" s="1"/>
    </row>
    <row r="181" spans="2:34" x14ac:dyDescent="0.3">
      <c r="B181" s="102" t="s">
        <v>15</v>
      </c>
      <c r="C181" s="102"/>
      <c r="D181" s="102"/>
      <c r="E181" s="102"/>
      <c r="F181" s="102"/>
      <c r="G181" s="102"/>
      <c r="H181" s="113"/>
      <c r="I181" s="113"/>
      <c r="J181" s="114"/>
      <c r="K181" s="199">
        <f>N5</f>
        <v>4.4630000000000003E-2</v>
      </c>
      <c r="L181" s="200"/>
      <c r="M181" s="103"/>
      <c r="N181" s="103"/>
      <c r="O181" s="115"/>
      <c r="P181" s="1"/>
      <c r="Q181" s="1"/>
      <c r="S181" s="102" t="s">
        <v>15</v>
      </c>
      <c r="T181" s="102"/>
      <c r="U181" s="102"/>
      <c r="V181" s="102"/>
      <c r="W181" s="102"/>
      <c r="X181" s="102"/>
      <c r="Y181" s="113"/>
      <c r="Z181" s="113"/>
      <c r="AA181" s="114"/>
      <c r="AB181" s="199">
        <f>K181</f>
        <v>4.4630000000000003E-2</v>
      </c>
      <c r="AC181" s="200"/>
      <c r="AD181" s="103"/>
      <c r="AE181" s="103"/>
      <c r="AF181" s="115"/>
      <c r="AG181" s="1"/>
      <c r="AH181" s="1"/>
    </row>
    <row r="182" spans="2:34" ht="27.6" x14ac:dyDescent="0.3">
      <c r="B182" s="1"/>
      <c r="C182" s="357" t="s">
        <v>129</v>
      </c>
      <c r="D182" s="504"/>
      <c r="E182" s="505"/>
      <c r="F182" s="358"/>
      <c r="G182" s="504"/>
      <c r="H182" s="505"/>
      <c r="I182" s="358"/>
      <c r="J182" s="504" t="s">
        <v>32</v>
      </c>
      <c r="K182" s="505"/>
      <c r="L182" s="358"/>
      <c r="M182" s="504" t="s">
        <v>131</v>
      </c>
      <c r="N182" s="505"/>
      <c r="O182" s="359" t="s">
        <v>132</v>
      </c>
      <c r="P182" s="1"/>
      <c r="Q182" s="46"/>
      <c r="S182" s="1"/>
      <c r="T182" s="360" t="s">
        <v>129</v>
      </c>
      <c r="U182" s="502"/>
      <c r="V182" s="503"/>
      <c r="W182" s="361"/>
      <c r="X182" s="502"/>
      <c r="Y182" s="503"/>
      <c r="Z182" s="361"/>
      <c r="AA182" s="502" t="s">
        <v>32</v>
      </c>
      <c r="AB182" s="503"/>
      <c r="AC182" s="361"/>
      <c r="AD182" s="502" t="s">
        <v>131</v>
      </c>
      <c r="AE182" s="503"/>
      <c r="AF182" s="362" t="s">
        <v>132</v>
      </c>
      <c r="AG182" s="1"/>
      <c r="AH182" s="46"/>
    </row>
    <row r="183" spans="2:34" x14ac:dyDescent="0.3">
      <c r="B183" s="1"/>
      <c r="C183" s="363" t="s">
        <v>133</v>
      </c>
      <c r="D183" s="363"/>
      <c r="E183" s="363"/>
      <c r="F183" s="363"/>
      <c r="G183" s="363" t="s">
        <v>33</v>
      </c>
      <c r="H183" s="363" t="s">
        <v>9</v>
      </c>
      <c r="I183" s="363"/>
      <c r="J183" s="363" t="s">
        <v>33</v>
      </c>
      <c r="K183" s="363" t="s">
        <v>9</v>
      </c>
      <c r="L183" s="363"/>
      <c r="M183" s="363" t="s">
        <v>33</v>
      </c>
      <c r="N183" s="363" t="s">
        <v>9</v>
      </c>
      <c r="O183" s="363" t="s">
        <v>134</v>
      </c>
      <c r="P183" s="1"/>
      <c r="S183" s="1"/>
      <c r="T183" s="364" t="s">
        <v>133</v>
      </c>
      <c r="U183" s="364"/>
      <c r="V183" s="364"/>
      <c r="W183" s="364"/>
      <c r="X183" s="364" t="s">
        <v>33</v>
      </c>
      <c r="Y183" s="364" t="s">
        <v>9</v>
      </c>
      <c r="Z183" s="364"/>
      <c r="AA183" s="364" t="s">
        <v>33</v>
      </c>
      <c r="AB183" s="364" t="s">
        <v>9</v>
      </c>
      <c r="AC183" s="364"/>
      <c r="AD183" s="364" t="s">
        <v>33</v>
      </c>
      <c r="AE183" s="364" t="s">
        <v>9</v>
      </c>
      <c r="AF183" s="364" t="s">
        <v>134</v>
      </c>
      <c r="AG183" s="1"/>
    </row>
    <row r="184" spans="2:34" x14ac:dyDescent="0.3">
      <c r="B184" s="1"/>
      <c r="C184" s="202">
        <f>IF($K$12=$B$181,(D106*($K$14)/($K$14+$L$14)),0)+IF($L$12=$B$181,(D106*($L$14)/($K$14+$L$14)),0)</f>
        <v>10.344827586206897</v>
      </c>
      <c r="D184" s="203"/>
      <c r="E184" s="203"/>
      <c r="F184" s="203"/>
      <c r="G184" s="188"/>
      <c r="H184" s="188"/>
      <c r="I184" s="188"/>
      <c r="J184" s="188"/>
      <c r="K184" s="188">
        <f>$K$218*(1-Q184)</f>
        <v>1.5620500000000001E-2</v>
      </c>
      <c r="L184" s="188"/>
      <c r="M184" s="204"/>
      <c r="N184" s="204">
        <f>ROUND((C184*K184),2)</f>
        <v>0.16</v>
      </c>
      <c r="O184" s="189">
        <f>M184+N184</f>
        <v>0.16</v>
      </c>
      <c r="P184" s="205"/>
      <c r="Q184" s="165">
        <v>0.65</v>
      </c>
      <c r="S184" s="1"/>
      <c r="T184" s="202">
        <f>IF($K$12=$B$181,(J106*($K$14)/($K$14+$L$14)),0)+IF($L$12=$B$181,(J106*($L$14)/($K$14+$L$14)),0)</f>
        <v>10.344827586206897</v>
      </c>
      <c r="U184" s="203"/>
      <c r="V184" s="203"/>
      <c r="W184" s="203"/>
      <c r="X184" s="188"/>
      <c r="Y184" s="188"/>
      <c r="Z184" s="188"/>
      <c r="AA184" s="188"/>
      <c r="AB184" s="188">
        <f>$K$218*(1-AH184)</f>
        <v>1.5620500000000001E-2</v>
      </c>
      <c r="AC184" s="188"/>
      <c r="AD184" s="204"/>
      <c r="AE184" s="204">
        <f>ROUND((T184*AB184),2)</f>
        <v>0.16</v>
      </c>
      <c r="AF184" s="189">
        <f>AD184+AE184</f>
        <v>0.16</v>
      </c>
      <c r="AG184" s="205"/>
      <c r="AH184" s="165">
        <v>0.65</v>
      </c>
    </row>
    <row r="185" spans="2:34" x14ac:dyDescent="0.3">
      <c r="B185" s="1"/>
      <c r="C185" s="202">
        <f>IF($K$12=$B$181,(D107*($K$14)/($K$14+$L$14)),0)+IF($L$12=$B$181,(D107*($L$14)/($K$14+$L$14)),0)</f>
        <v>24.137931034482758</v>
      </c>
      <c r="D185" s="203"/>
      <c r="E185" s="203"/>
      <c r="F185" s="203"/>
      <c r="G185" s="188"/>
      <c r="H185" s="188"/>
      <c r="I185" s="188"/>
      <c r="J185" s="188"/>
      <c r="K185" s="188">
        <f>$K$218*(1-Q185)</f>
        <v>2.6778E-2</v>
      </c>
      <c r="L185" s="188"/>
      <c r="M185" s="204"/>
      <c r="N185" s="204">
        <f>ROUND((C185*K185),2)</f>
        <v>0.65</v>
      </c>
      <c r="O185" s="189">
        <f>M185+N185</f>
        <v>0.65</v>
      </c>
      <c r="P185" s="205"/>
      <c r="Q185" s="165">
        <v>0.4</v>
      </c>
      <c r="S185" s="1"/>
      <c r="T185" s="202">
        <f>IF($K$12=$B$181,(J107*($K$14)/($K$14+$L$14)),0)+IF($L$12=$B$181,(J107*($L$14)/($K$14+$L$14)),0)</f>
        <v>24.137931034482758</v>
      </c>
      <c r="U185" s="203"/>
      <c r="V185" s="203"/>
      <c r="W185" s="203"/>
      <c r="X185" s="188"/>
      <c r="Y185" s="188"/>
      <c r="Z185" s="188"/>
      <c r="AA185" s="188"/>
      <c r="AB185" s="188">
        <f>$K$218*(1-AH185)</f>
        <v>2.6778E-2</v>
      </c>
      <c r="AC185" s="188"/>
      <c r="AD185" s="204"/>
      <c r="AE185" s="204">
        <f>ROUND((T185*AB185),2)</f>
        <v>0.65</v>
      </c>
      <c r="AF185" s="189">
        <f>AD185+AE185</f>
        <v>0.65</v>
      </c>
      <c r="AG185" s="205"/>
      <c r="AH185" s="165">
        <v>0.4</v>
      </c>
    </row>
    <row r="186" spans="2:34" x14ac:dyDescent="0.3">
      <c r="B186" s="1"/>
      <c r="C186" s="202">
        <f>IF($K$12=$B$181,(D108*($K$14)/($K$14+$L$14)),0)+IF($L$12=$B$181,(D108*($L$14)/($K$14+$L$14)),0)</f>
        <v>41.379310344827587</v>
      </c>
      <c r="D186" s="203"/>
      <c r="E186" s="203"/>
      <c r="F186" s="203"/>
      <c r="G186" s="188"/>
      <c r="H186" s="188"/>
      <c r="I186" s="188"/>
      <c r="J186" s="188"/>
      <c r="K186" s="188">
        <f>$K$218*(1-Q186)</f>
        <v>4.0167000000000001E-2</v>
      </c>
      <c r="L186" s="188"/>
      <c r="M186" s="204"/>
      <c r="N186" s="204">
        <f>ROUND((C186*K186),2)</f>
        <v>1.66</v>
      </c>
      <c r="O186" s="189">
        <f>M186+N186</f>
        <v>1.66</v>
      </c>
      <c r="P186" s="205"/>
      <c r="Q186" s="165">
        <v>0.1</v>
      </c>
      <c r="S186" s="1"/>
      <c r="T186" s="202">
        <f>IF($K$12=$B$181,(J108*($K$14)/($K$14+$L$14)),0)+IF($L$12=$B$181,(J108*($L$14)/($K$14+$L$14)),0)</f>
        <v>41.379310344827587</v>
      </c>
      <c r="U186" s="203"/>
      <c r="V186" s="203"/>
      <c r="W186" s="203"/>
      <c r="X186" s="188"/>
      <c r="Y186" s="188"/>
      <c r="Z186" s="188"/>
      <c r="AA186" s="188"/>
      <c r="AB186" s="188">
        <f>$K$218*(1-AH186)</f>
        <v>4.0167000000000001E-2</v>
      </c>
      <c r="AC186" s="188"/>
      <c r="AD186" s="204"/>
      <c r="AE186" s="204">
        <f>ROUND((T186*AB186),2)</f>
        <v>1.66</v>
      </c>
      <c r="AF186" s="189">
        <f>AD186+AE186</f>
        <v>1.66</v>
      </c>
      <c r="AG186" s="205"/>
      <c r="AH186" s="165">
        <v>0.1</v>
      </c>
    </row>
    <row r="187" spans="2:34" x14ac:dyDescent="0.3">
      <c r="B187" s="1"/>
      <c r="C187" s="202">
        <f>IF($K$12=$B$181,(D109*($K$14)/($K$14+$L$14)),0)+IF($L$12=$B$181,(D109*($L$14)/($K$14+$L$14)),0)</f>
        <v>0.34482758620689657</v>
      </c>
      <c r="D187" s="203"/>
      <c r="E187" s="203"/>
      <c r="F187" s="203"/>
      <c r="G187" s="188"/>
      <c r="H187" s="188"/>
      <c r="I187" s="188"/>
      <c r="J187" s="188"/>
      <c r="K187" s="188">
        <f>$K$218*(1-Q187)</f>
        <v>4.4630000000000003E-2</v>
      </c>
      <c r="L187" s="188"/>
      <c r="M187" s="204"/>
      <c r="N187" s="204">
        <f>ROUND((C187*K187),2)</f>
        <v>0.02</v>
      </c>
      <c r="O187" s="189">
        <f>M187+N187</f>
        <v>0.02</v>
      </c>
      <c r="P187" s="205"/>
      <c r="Q187" s="165">
        <v>0</v>
      </c>
      <c r="S187" s="1"/>
      <c r="T187" s="202">
        <f>IF($K$12=$B$181,(J109*($K$14)/($K$14+$L$14)),0)+IF($L$12=$B$181,(J109*($L$14)/($K$14+$L$14)),0)</f>
        <v>109.31034482758621</v>
      </c>
      <c r="U187" s="203"/>
      <c r="V187" s="203"/>
      <c r="W187" s="203"/>
      <c r="X187" s="188"/>
      <c r="Y187" s="188"/>
      <c r="Z187" s="188"/>
      <c r="AA187" s="188"/>
      <c r="AB187" s="188">
        <f>$K$218*(1-AH187)</f>
        <v>4.4630000000000003E-2</v>
      </c>
      <c r="AC187" s="188"/>
      <c r="AD187" s="204"/>
      <c r="AE187" s="204">
        <f>ROUND((T187*AB187),2)</f>
        <v>4.88</v>
      </c>
      <c r="AF187" s="189">
        <f>AD187+AE187</f>
        <v>4.88</v>
      </c>
      <c r="AG187" s="205"/>
      <c r="AH187" s="165">
        <v>0</v>
      </c>
    </row>
    <row r="188" spans="2:34" x14ac:dyDescent="0.3">
      <c r="B188" s="1"/>
      <c r="C188" s="206" t="s">
        <v>135</v>
      </c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8"/>
      <c r="O188" s="209">
        <f>SUM(O184:O187)</f>
        <v>2.4899999999999998</v>
      </c>
      <c r="P188" s="1"/>
      <c r="Q188" s="1"/>
      <c r="S188" s="1"/>
      <c r="T188" s="206" t="s">
        <v>135</v>
      </c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8"/>
      <c r="AF188" s="209">
        <f>SUM(AF184:AF187)</f>
        <v>7.35</v>
      </c>
      <c r="AG188" s="1"/>
      <c r="AH188" s="1"/>
    </row>
    <row r="189" spans="2:34" x14ac:dyDescent="0.3">
      <c r="B189" s="102"/>
      <c r="C189" s="102"/>
      <c r="D189" s="102"/>
      <c r="E189" s="102"/>
      <c r="F189" s="102"/>
      <c r="G189" s="102"/>
      <c r="H189" s="113"/>
      <c r="I189" s="113"/>
      <c r="J189" s="114"/>
      <c r="K189" s="114"/>
      <c r="L189" s="114"/>
      <c r="M189" s="103"/>
      <c r="N189" s="103"/>
      <c r="O189" s="115"/>
      <c r="P189" s="1"/>
      <c r="Q189" s="1"/>
      <c r="S189" s="102"/>
      <c r="T189" s="102"/>
      <c r="U189" s="102"/>
      <c r="V189" s="102"/>
      <c r="W189" s="102"/>
      <c r="X189" s="102"/>
      <c r="Y189" s="113"/>
      <c r="Z189" s="113"/>
      <c r="AA189" s="114"/>
      <c r="AB189" s="114"/>
      <c r="AC189" s="114"/>
      <c r="AD189" s="103"/>
      <c r="AE189" s="103"/>
      <c r="AF189" s="115"/>
      <c r="AG189" s="1"/>
      <c r="AH189" s="1"/>
    </row>
    <row r="190" spans="2:34" x14ac:dyDescent="0.3">
      <c r="B190" s="102" t="s">
        <v>16</v>
      </c>
      <c r="C190" s="102"/>
      <c r="D190" s="102"/>
      <c r="E190" s="102"/>
      <c r="F190" s="102"/>
      <c r="G190" s="102"/>
      <c r="H190" s="113"/>
      <c r="I190" s="113"/>
      <c r="J190" s="114"/>
      <c r="K190" s="199">
        <f>N6</f>
        <v>7.8770000000000007E-2</v>
      </c>
      <c r="L190" s="200"/>
      <c r="M190" s="103"/>
      <c r="N190" s="103"/>
      <c r="O190" s="115"/>
      <c r="P190" s="1"/>
      <c r="Q190" s="1"/>
      <c r="S190" s="102" t="s">
        <v>16</v>
      </c>
      <c r="T190" s="102"/>
      <c r="U190" s="102"/>
      <c r="V190" s="102"/>
      <c r="W190" s="102"/>
      <c r="X190" s="102"/>
      <c r="Y190" s="113"/>
      <c r="Z190" s="113"/>
      <c r="AA190" s="114"/>
      <c r="AB190" s="199">
        <f>K190</f>
        <v>7.8770000000000007E-2</v>
      </c>
      <c r="AC190" s="200"/>
      <c r="AD190" s="103"/>
      <c r="AE190" s="103"/>
      <c r="AF190" s="115"/>
      <c r="AG190" s="1"/>
      <c r="AH190" s="1"/>
    </row>
    <row r="191" spans="2:34" ht="27.6" x14ac:dyDescent="0.3">
      <c r="B191" s="1"/>
      <c r="C191" s="357" t="s">
        <v>129</v>
      </c>
      <c r="D191" s="504"/>
      <c r="E191" s="505"/>
      <c r="F191" s="358"/>
      <c r="G191" s="504"/>
      <c r="H191" s="505"/>
      <c r="I191" s="358"/>
      <c r="J191" s="504" t="s">
        <v>32</v>
      </c>
      <c r="K191" s="505"/>
      <c r="L191" s="358"/>
      <c r="M191" s="504" t="s">
        <v>131</v>
      </c>
      <c r="N191" s="505"/>
      <c r="O191" s="359" t="s">
        <v>132</v>
      </c>
      <c r="P191" s="1"/>
      <c r="Q191" s="46"/>
      <c r="S191" s="1"/>
      <c r="T191" s="360" t="s">
        <v>129</v>
      </c>
      <c r="U191" s="502"/>
      <c r="V191" s="503"/>
      <c r="W191" s="361"/>
      <c r="X191" s="502"/>
      <c r="Y191" s="503"/>
      <c r="Z191" s="361"/>
      <c r="AA191" s="502" t="s">
        <v>32</v>
      </c>
      <c r="AB191" s="503"/>
      <c r="AC191" s="361"/>
      <c r="AD191" s="502" t="s">
        <v>131</v>
      </c>
      <c r="AE191" s="503"/>
      <c r="AF191" s="362" t="s">
        <v>132</v>
      </c>
      <c r="AG191" s="1"/>
      <c r="AH191" s="46"/>
    </row>
    <row r="192" spans="2:34" x14ac:dyDescent="0.3">
      <c r="B192" s="1"/>
      <c r="C192" s="363" t="s">
        <v>133</v>
      </c>
      <c r="D192" s="363"/>
      <c r="E192" s="363"/>
      <c r="F192" s="363"/>
      <c r="G192" s="363" t="s">
        <v>33</v>
      </c>
      <c r="H192" s="363" t="s">
        <v>9</v>
      </c>
      <c r="I192" s="363"/>
      <c r="J192" s="363" t="s">
        <v>33</v>
      </c>
      <c r="K192" s="363" t="s">
        <v>9</v>
      </c>
      <c r="L192" s="363"/>
      <c r="M192" s="363" t="s">
        <v>33</v>
      </c>
      <c r="N192" s="363" t="s">
        <v>9</v>
      </c>
      <c r="O192" s="363" t="s">
        <v>134</v>
      </c>
      <c r="P192" s="1"/>
      <c r="S192" s="1"/>
      <c r="T192" s="364" t="s">
        <v>133</v>
      </c>
      <c r="U192" s="364"/>
      <c r="V192" s="364"/>
      <c r="W192" s="364"/>
      <c r="X192" s="364" t="s">
        <v>33</v>
      </c>
      <c r="Y192" s="364" t="s">
        <v>9</v>
      </c>
      <c r="Z192" s="364"/>
      <c r="AA192" s="364" t="s">
        <v>33</v>
      </c>
      <c r="AB192" s="364" t="s">
        <v>9</v>
      </c>
      <c r="AC192" s="364"/>
      <c r="AD192" s="364" t="s">
        <v>33</v>
      </c>
      <c r="AE192" s="364" t="s">
        <v>9</v>
      </c>
      <c r="AF192" s="364" t="s">
        <v>134</v>
      </c>
      <c r="AG192" s="1"/>
    </row>
    <row r="193" spans="2:34" x14ac:dyDescent="0.3">
      <c r="B193" s="1"/>
      <c r="C193" s="202">
        <f>IF($K$12=$B$190,(D106*($K$14)/($K$14+$L$14)),0)+IF($L$12=$B$190,(D106*($L$14)/($K$14+$L$14)),0)</f>
        <v>19.655172413793103</v>
      </c>
      <c r="D193" s="203"/>
      <c r="E193" s="203"/>
      <c r="F193" s="203"/>
      <c r="G193" s="188"/>
      <c r="H193" s="188"/>
      <c r="I193" s="188"/>
      <c r="J193" s="188"/>
      <c r="K193" s="188">
        <f>$K$227*(1-Q193)</f>
        <v>2.75695E-2</v>
      </c>
      <c r="L193" s="188"/>
      <c r="M193" s="204"/>
      <c r="N193" s="204">
        <f>ROUND((C193*K193),2)</f>
        <v>0.54</v>
      </c>
      <c r="O193" s="189">
        <f>M193+N193</f>
        <v>0.54</v>
      </c>
      <c r="P193" s="205"/>
      <c r="Q193" s="165">
        <v>0.65</v>
      </c>
      <c r="S193" s="1"/>
      <c r="T193" s="202">
        <f>IF($K$12=$B$190,(J106*($K$14)/($K$14+$L$14)),0)+IF($L$12=$B$190,(J106*($L$14)/($K$14+$L$14)),0)</f>
        <v>19.655172413793103</v>
      </c>
      <c r="U193" s="203"/>
      <c r="V193" s="203"/>
      <c r="W193" s="203"/>
      <c r="X193" s="188"/>
      <c r="Y193" s="188"/>
      <c r="Z193" s="188"/>
      <c r="AA193" s="188"/>
      <c r="AB193" s="188">
        <f>$K$227*(1-AH193)</f>
        <v>2.75695E-2</v>
      </c>
      <c r="AC193" s="188"/>
      <c r="AD193" s="204"/>
      <c r="AE193" s="204">
        <f>ROUND((T193*AB193),2)</f>
        <v>0.54</v>
      </c>
      <c r="AF193" s="189">
        <f>AD193+AE193</f>
        <v>0.54</v>
      </c>
      <c r="AG193" s="205"/>
      <c r="AH193" s="165">
        <v>0.65</v>
      </c>
    </row>
    <row r="194" spans="2:34" x14ac:dyDescent="0.3">
      <c r="B194" s="1"/>
      <c r="C194" s="202">
        <f>IF($K$12=$B$190,(D107*($K$14)/($K$14+$L$14)),0)+IF($L$12=$B$190,(D107*($L$14)/($K$14+$L$14)),0)</f>
        <v>45.862068965517238</v>
      </c>
      <c r="D194" s="203"/>
      <c r="E194" s="203"/>
      <c r="F194" s="203"/>
      <c r="G194" s="188"/>
      <c r="H194" s="188"/>
      <c r="I194" s="188"/>
      <c r="J194" s="188"/>
      <c r="K194" s="188">
        <f>$K$227*(1-Q194)</f>
        <v>4.7262000000000005E-2</v>
      </c>
      <c r="L194" s="188"/>
      <c r="M194" s="204"/>
      <c r="N194" s="204">
        <f>ROUND((C194*K194),2)</f>
        <v>2.17</v>
      </c>
      <c r="O194" s="189">
        <f>M194+N194</f>
        <v>2.17</v>
      </c>
      <c r="P194" s="205"/>
      <c r="Q194" s="165">
        <v>0.4</v>
      </c>
      <c r="S194" s="1"/>
      <c r="T194" s="202">
        <f>IF($K$12=$B$190,(J107*($K$14)/($K$14+$L$14)),0)+IF($L$12=$B$190,(J107*($L$14)/($K$14+$L$14)),0)</f>
        <v>45.862068965517238</v>
      </c>
      <c r="U194" s="203"/>
      <c r="V194" s="203"/>
      <c r="W194" s="203"/>
      <c r="X194" s="188"/>
      <c r="Y194" s="188"/>
      <c r="Z194" s="188"/>
      <c r="AA194" s="188"/>
      <c r="AB194" s="188">
        <f>$K$227*(1-AH194)</f>
        <v>4.7262000000000005E-2</v>
      </c>
      <c r="AC194" s="188"/>
      <c r="AD194" s="204"/>
      <c r="AE194" s="204">
        <f>ROUND((T194*AB194),2)</f>
        <v>2.17</v>
      </c>
      <c r="AF194" s="189">
        <f>AD194+AE194</f>
        <v>2.17</v>
      </c>
      <c r="AG194" s="205"/>
      <c r="AH194" s="165">
        <v>0.4</v>
      </c>
    </row>
    <row r="195" spans="2:34" x14ac:dyDescent="0.3">
      <c r="B195" s="1"/>
      <c r="C195" s="202">
        <f>IF($K$12=$B$190,(D108*($K$14)/($K$14+$L$14)),0)+IF($L$12=$B$190,(D108*($L$14)/($K$14+$L$14)),0)</f>
        <v>78.620689655172413</v>
      </c>
      <c r="D195" s="203"/>
      <c r="E195" s="203"/>
      <c r="F195" s="203"/>
      <c r="G195" s="188"/>
      <c r="H195" s="188"/>
      <c r="I195" s="188"/>
      <c r="J195" s="188"/>
      <c r="K195" s="188">
        <f>$K$227*(1-Q195)</f>
        <v>7.0893000000000012E-2</v>
      </c>
      <c r="L195" s="188"/>
      <c r="M195" s="204"/>
      <c r="N195" s="204">
        <f>ROUND((C195*K195),2)</f>
        <v>5.57</v>
      </c>
      <c r="O195" s="189">
        <f>M195+N195</f>
        <v>5.57</v>
      </c>
      <c r="P195" s="205"/>
      <c r="Q195" s="165">
        <v>0.1</v>
      </c>
      <c r="S195" s="1"/>
      <c r="T195" s="202">
        <f>IF($K$12=$B$190,(J108*($K$14)/($K$14+$L$14)),0)+IF($L$12=$B$190,(J108*($L$14)/($K$14+$L$14)),0)</f>
        <v>78.620689655172413</v>
      </c>
      <c r="U195" s="203"/>
      <c r="V195" s="203"/>
      <c r="W195" s="203"/>
      <c r="X195" s="188"/>
      <c r="Y195" s="188"/>
      <c r="Z195" s="188"/>
      <c r="AA195" s="188"/>
      <c r="AB195" s="188">
        <f>$K$227*(1-AH195)</f>
        <v>7.0893000000000012E-2</v>
      </c>
      <c r="AC195" s="188"/>
      <c r="AD195" s="204"/>
      <c r="AE195" s="204">
        <f>ROUND((T195*AB195),2)</f>
        <v>5.57</v>
      </c>
      <c r="AF195" s="189">
        <f>AD195+AE195</f>
        <v>5.57</v>
      </c>
      <c r="AG195" s="205"/>
      <c r="AH195" s="165">
        <v>0.1</v>
      </c>
    </row>
    <row r="196" spans="2:34" x14ac:dyDescent="0.3">
      <c r="B196" s="1"/>
      <c r="C196" s="202">
        <f>IF($K$12=$B$190,(D109*($K$14)/($K$14+$L$14)),0)+IF($L$12=$B$190,(D109*($L$14)/($K$14+$L$14)),0)</f>
        <v>0.65517241379310343</v>
      </c>
      <c r="D196" s="203"/>
      <c r="E196" s="203"/>
      <c r="F196" s="203"/>
      <c r="G196" s="188"/>
      <c r="H196" s="188"/>
      <c r="I196" s="188"/>
      <c r="J196" s="188"/>
      <c r="K196" s="188">
        <f>$K$227*(1-Q196)</f>
        <v>7.8770000000000007E-2</v>
      </c>
      <c r="L196" s="188"/>
      <c r="M196" s="204"/>
      <c r="N196" s="204">
        <f>ROUND((C196*K196),2)</f>
        <v>0.05</v>
      </c>
      <c r="O196" s="189">
        <f>M196+N196</f>
        <v>0.05</v>
      </c>
      <c r="P196" s="205"/>
      <c r="Q196" s="165">
        <v>0</v>
      </c>
      <c r="S196" s="1"/>
      <c r="T196" s="202">
        <f>IF($K$12=$B$190,(J109*($K$14)/($K$14+$L$14)),0)+IF($L$12=$B$190,(J109*($L$14)/($K$14+$L$14)),0)</f>
        <v>207.68965517241378</v>
      </c>
      <c r="U196" s="203"/>
      <c r="V196" s="203"/>
      <c r="W196" s="203"/>
      <c r="X196" s="188"/>
      <c r="Y196" s="188"/>
      <c r="Z196" s="188"/>
      <c r="AA196" s="188"/>
      <c r="AB196" s="188">
        <f>$K$227*(1-AH196)</f>
        <v>7.8770000000000007E-2</v>
      </c>
      <c r="AC196" s="188"/>
      <c r="AD196" s="204"/>
      <c r="AE196" s="204">
        <f>ROUND((T196*AB196),2)</f>
        <v>16.36</v>
      </c>
      <c r="AF196" s="189">
        <f>AD196+AE196</f>
        <v>16.36</v>
      </c>
      <c r="AG196" s="205"/>
      <c r="AH196" s="165">
        <v>0</v>
      </c>
    </row>
    <row r="197" spans="2:34" x14ac:dyDescent="0.3">
      <c r="B197" s="1"/>
      <c r="C197" s="206" t="s">
        <v>135</v>
      </c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8"/>
      <c r="O197" s="209">
        <f>SUM(O193:O196)</f>
        <v>8.3300000000000018</v>
      </c>
      <c r="P197" s="1"/>
      <c r="Q197" s="1"/>
      <c r="S197" s="1"/>
      <c r="T197" s="206" t="s">
        <v>135</v>
      </c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8"/>
      <c r="AF197" s="209">
        <f>SUM(AF193:AF196)</f>
        <v>24.64</v>
      </c>
      <c r="AG197" s="1"/>
      <c r="AH197" s="1"/>
    </row>
    <row r="198" spans="2:34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2:34" x14ac:dyDescent="0.3">
      <c r="B199" s="1" t="s">
        <v>17</v>
      </c>
      <c r="C199" s="102"/>
      <c r="D199" s="102"/>
      <c r="E199" s="102"/>
      <c r="F199" s="102"/>
      <c r="G199" s="102"/>
      <c r="H199" s="113"/>
      <c r="I199" s="113"/>
      <c r="J199" s="114"/>
      <c r="K199" s="199">
        <f>N8</f>
        <v>0.14199999999999999</v>
      </c>
      <c r="L199" s="200"/>
      <c r="M199" s="103"/>
      <c r="N199" s="103"/>
      <c r="O199" s="115"/>
      <c r="P199" s="1"/>
      <c r="Q199" s="1"/>
      <c r="S199" s="1" t="s">
        <v>17</v>
      </c>
      <c r="T199" s="102"/>
      <c r="U199" s="102"/>
      <c r="V199" s="102"/>
      <c r="W199" s="102"/>
      <c r="X199" s="102"/>
      <c r="Y199" s="113"/>
      <c r="Z199" s="113"/>
      <c r="AA199" s="114"/>
      <c r="AB199" s="199">
        <f>K199</f>
        <v>0.14199999999999999</v>
      </c>
      <c r="AC199" s="200"/>
      <c r="AD199" s="103"/>
      <c r="AE199" s="103"/>
      <c r="AF199" s="115"/>
      <c r="AG199" s="1"/>
      <c r="AH199" s="1"/>
    </row>
    <row r="200" spans="2:34" ht="25.5" customHeight="1" x14ac:dyDescent="0.3">
      <c r="B200" s="1"/>
      <c r="C200" s="357" t="s">
        <v>129</v>
      </c>
      <c r="D200" s="504"/>
      <c r="E200" s="505"/>
      <c r="F200" s="358"/>
      <c r="G200" s="504"/>
      <c r="H200" s="505"/>
      <c r="I200" s="358"/>
      <c r="J200" s="504" t="s">
        <v>32</v>
      </c>
      <c r="K200" s="505"/>
      <c r="L200" s="358"/>
      <c r="M200" s="504" t="s">
        <v>131</v>
      </c>
      <c r="N200" s="505"/>
      <c r="O200" s="359" t="s">
        <v>132</v>
      </c>
      <c r="P200" s="1"/>
      <c r="Q200" s="46"/>
      <c r="S200" s="1"/>
      <c r="T200" s="360" t="s">
        <v>129</v>
      </c>
      <c r="U200" s="502"/>
      <c r="V200" s="503"/>
      <c r="W200" s="361"/>
      <c r="X200" s="502"/>
      <c r="Y200" s="503"/>
      <c r="Z200" s="361"/>
      <c r="AA200" s="502" t="s">
        <v>32</v>
      </c>
      <c r="AB200" s="503"/>
      <c r="AC200" s="361"/>
      <c r="AD200" s="502" t="s">
        <v>131</v>
      </c>
      <c r="AE200" s="503"/>
      <c r="AF200" s="362" t="s">
        <v>132</v>
      </c>
      <c r="AG200" s="1"/>
      <c r="AH200" s="46"/>
    </row>
    <row r="201" spans="2:34" x14ac:dyDescent="0.3">
      <c r="B201" s="1"/>
      <c r="C201" s="363" t="s">
        <v>133</v>
      </c>
      <c r="D201" s="363"/>
      <c r="E201" s="363"/>
      <c r="F201" s="363"/>
      <c r="G201" s="363" t="s">
        <v>33</v>
      </c>
      <c r="H201" s="363" t="s">
        <v>9</v>
      </c>
      <c r="I201" s="363"/>
      <c r="J201" s="363" t="s">
        <v>33</v>
      </c>
      <c r="K201" s="363" t="s">
        <v>9</v>
      </c>
      <c r="L201" s="363"/>
      <c r="M201" s="363" t="s">
        <v>33</v>
      </c>
      <c r="N201" s="363" t="s">
        <v>9</v>
      </c>
      <c r="O201" s="363" t="s">
        <v>134</v>
      </c>
      <c r="P201" s="1"/>
      <c r="S201" s="1"/>
      <c r="T201" s="364" t="s">
        <v>133</v>
      </c>
      <c r="U201" s="364"/>
      <c r="V201" s="364"/>
      <c r="W201" s="364"/>
      <c r="X201" s="364" t="s">
        <v>33</v>
      </c>
      <c r="Y201" s="364" t="s">
        <v>9</v>
      </c>
      <c r="Z201" s="364"/>
      <c r="AA201" s="364" t="s">
        <v>33</v>
      </c>
      <c r="AB201" s="364" t="s">
        <v>9</v>
      </c>
      <c r="AC201" s="364"/>
      <c r="AD201" s="364" t="s">
        <v>33</v>
      </c>
      <c r="AE201" s="364" t="s">
        <v>9</v>
      </c>
      <c r="AF201" s="364" t="s">
        <v>134</v>
      </c>
      <c r="AG201" s="1"/>
    </row>
    <row r="202" spans="2:34" x14ac:dyDescent="0.3">
      <c r="B202" s="1"/>
      <c r="C202" s="202">
        <f>IF($K$12=$B$199,(D106*($K$14)/($K$14+$L$14)),0)+IF($L$12=$B$199,(D106*($L$14)/($K$14+$L$14)),0)</f>
        <v>0</v>
      </c>
      <c r="D202" s="203"/>
      <c r="E202" s="203"/>
      <c r="F202" s="203"/>
      <c r="G202" s="188"/>
      <c r="H202" s="188"/>
      <c r="I202" s="188"/>
      <c r="J202" s="188"/>
      <c r="K202" s="188">
        <f>$K$236*(1-Q202)</f>
        <v>4.9699999999999994E-2</v>
      </c>
      <c r="L202" s="188"/>
      <c r="M202" s="204"/>
      <c r="N202" s="204">
        <f>ROUND((C202*K202),2)</f>
        <v>0</v>
      </c>
      <c r="O202" s="189">
        <f>M202+N202</f>
        <v>0</v>
      </c>
      <c r="P202" s="205"/>
      <c r="Q202" s="165">
        <v>0.65</v>
      </c>
      <c r="S202" s="1"/>
      <c r="T202" s="202">
        <f>IF($K$12=$B$199,(J106*($K$14)/($K$14+$L$14)),0)+IF($L$12=$B$199,(J106*($L$14)/($K$14+$L$14)),0)</f>
        <v>0</v>
      </c>
      <c r="U202" s="203"/>
      <c r="V202" s="203"/>
      <c r="W202" s="203"/>
      <c r="X202" s="188"/>
      <c r="Y202" s="188"/>
      <c r="Z202" s="188"/>
      <c r="AA202" s="188"/>
      <c r="AB202" s="188">
        <f>$K$236*(1-AH202)</f>
        <v>4.9699999999999994E-2</v>
      </c>
      <c r="AC202" s="188"/>
      <c r="AD202" s="204"/>
      <c r="AE202" s="204">
        <f>ROUND((T202*AB202),2)</f>
        <v>0</v>
      </c>
      <c r="AF202" s="189">
        <f>AD202+AE202</f>
        <v>0</v>
      </c>
      <c r="AG202" s="205"/>
      <c r="AH202" s="165">
        <v>0.65</v>
      </c>
    </row>
    <row r="203" spans="2:34" x14ac:dyDescent="0.3">
      <c r="B203" s="1"/>
      <c r="C203" s="202">
        <f>IF($K$12=$B$199,(D107*($K$14)/($K$14+$L$14)),0)+IF($L$12=$B$199,(D107*($L$14)/($K$14+$L$14)),0)</f>
        <v>0</v>
      </c>
      <c r="D203" s="203"/>
      <c r="E203" s="203"/>
      <c r="F203" s="203"/>
      <c r="G203" s="188"/>
      <c r="H203" s="188"/>
      <c r="I203" s="188"/>
      <c r="J203" s="188"/>
      <c r="K203" s="188">
        <f>$K$236*(1-Q203)</f>
        <v>8.5199999999999984E-2</v>
      </c>
      <c r="L203" s="188"/>
      <c r="M203" s="204"/>
      <c r="N203" s="204">
        <f>ROUND((C203*K203),2)</f>
        <v>0</v>
      </c>
      <c r="O203" s="189">
        <f>M203+N203</f>
        <v>0</v>
      </c>
      <c r="P203" s="205"/>
      <c r="Q203" s="165">
        <v>0.4</v>
      </c>
      <c r="S203" s="1"/>
      <c r="T203" s="202">
        <f>IF($K$12=$B$199,(J107*($K$14)/($K$14+$L$14)),0)+IF($L$12=$B$199,(J107*($L$14)/($K$14+$L$14)),0)</f>
        <v>0</v>
      </c>
      <c r="U203" s="203"/>
      <c r="V203" s="203"/>
      <c r="W203" s="203"/>
      <c r="X203" s="188"/>
      <c r="Y203" s="188"/>
      <c r="Z203" s="188"/>
      <c r="AA203" s="188"/>
      <c r="AB203" s="188">
        <f>$K$236*(1-AH203)</f>
        <v>8.5199999999999984E-2</v>
      </c>
      <c r="AC203" s="188"/>
      <c r="AD203" s="204"/>
      <c r="AE203" s="204">
        <f>ROUND((T203*AB203),2)</f>
        <v>0</v>
      </c>
      <c r="AF203" s="189">
        <f>AD203+AE203</f>
        <v>0</v>
      </c>
      <c r="AG203" s="205"/>
      <c r="AH203" s="165">
        <v>0.4</v>
      </c>
    </row>
    <row r="204" spans="2:34" x14ac:dyDescent="0.3">
      <c r="B204" s="1"/>
      <c r="C204" s="202">
        <f>IF($K$12=$B$199,(D108*($K$14)/($K$14+$L$14)),0)+IF($L$12=$B$199,(D108*($L$14)/($K$14+$L$14)),0)</f>
        <v>0</v>
      </c>
      <c r="D204" s="203"/>
      <c r="E204" s="203"/>
      <c r="F204" s="203"/>
      <c r="G204" s="188"/>
      <c r="H204" s="188"/>
      <c r="I204" s="188"/>
      <c r="J204" s="188"/>
      <c r="K204" s="188">
        <f>$K$236*(1-Q204)</f>
        <v>0.1278</v>
      </c>
      <c r="L204" s="188"/>
      <c r="M204" s="204"/>
      <c r="N204" s="204">
        <f>ROUND((C204*K204),2)</f>
        <v>0</v>
      </c>
      <c r="O204" s="189">
        <f>M204+N204</f>
        <v>0</v>
      </c>
      <c r="P204" s="205"/>
      <c r="Q204" s="165">
        <v>0.1</v>
      </c>
      <c r="S204" s="1"/>
      <c r="T204" s="202">
        <f>IF($K$12=$B$199,(J108*($K$14)/($K$14+$L$14)),0)+IF($L$12=$B$199,(J108*($L$14)/($K$14+$L$14)),0)</f>
        <v>0</v>
      </c>
      <c r="U204" s="203"/>
      <c r="V204" s="203"/>
      <c r="W204" s="203"/>
      <c r="X204" s="188"/>
      <c r="Y204" s="188"/>
      <c r="Z204" s="188"/>
      <c r="AA204" s="188"/>
      <c r="AB204" s="188">
        <f>$K$236*(1-AH204)</f>
        <v>0.1278</v>
      </c>
      <c r="AC204" s="188"/>
      <c r="AD204" s="204"/>
      <c r="AE204" s="204">
        <f>ROUND((T204*AB204),2)</f>
        <v>0</v>
      </c>
      <c r="AF204" s="189">
        <f>AD204+AE204</f>
        <v>0</v>
      </c>
      <c r="AG204" s="205"/>
      <c r="AH204" s="165">
        <v>0.1</v>
      </c>
    </row>
    <row r="205" spans="2:34" x14ac:dyDescent="0.3">
      <c r="B205" s="1"/>
      <c r="C205" s="202">
        <f>IF($K$12=$B$199,(D109*($K$14)/($K$14+$L$14)),0)+IF($L$12=$B$199,(D109*($L$14)/($K$14+$L$14)),0)</f>
        <v>0</v>
      </c>
      <c r="D205" s="203"/>
      <c r="E205" s="203"/>
      <c r="F205" s="203"/>
      <c r="G205" s="188"/>
      <c r="H205" s="188"/>
      <c r="I205" s="188"/>
      <c r="J205" s="188"/>
      <c r="K205" s="188">
        <f>$K$236*(1-Q205)</f>
        <v>0.14199999999999999</v>
      </c>
      <c r="L205" s="188"/>
      <c r="M205" s="204"/>
      <c r="N205" s="204">
        <f>ROUND((C205*K205),2)</f>
        <v>0</v>
      </c>
      <c r="O205" s="189">
        <f>M205+N205</f>
        <v>0</v>
      </c>
      <c r="P205" s="205"/>
      <c r="Q205" s="165">
        <v>0</v>
      </c>
      <c r="S205" s="1"/>
      <c r="T205" s="202">
        <f>IF($K$12=$B$199,(J109*($K$14)/($K$14+$L$14)),0)+IF($L$12=$B$199,(J109*($L$14)/($K$14+$L$14)),0)</f>
        <v>0</v>
      </c>
      <c r="U205" s="203"/>
      <c r="V205" s="203"/>
      <c r="W205" s="203"/>
      <c r="X205" s="188"/>
      <c r="Y205" s="188"/>
      <c r="Z205" s="188"/>
      <c r="AA205" s="188"/>
      <c r="AB205" s="188">
        <f>$K$236*(1-AH205)</f>
        <v>0.14199999999999999</v>
      </c>
      <c r="AC205" s="188"/>
      <c r="AD205" s="204"/>
      <c r="AE205" s="204">
        <f>ROUND((T205*AB205),2)</f>
        <v>0</v>
      </c>
      <c r="AF205" s="189">
        <f>AD205+AE205</f>
        <v>0</v>
      </c>
      <c r="AG205" s="205"/>
      <c r="AH205" s="165">
        <v>0</v>
      </c>
    </row>
    <row r="206" spans="2:34" x14ac:dyDescent="0.3">
      <c r="B206" s="1"/>
      <c r="C206" s="206" t="s">
        <v>135</v>
      </c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8"/>
      <c r="O206" s="209">
        <f>SUM(O202:O205)</f>
        <v>0</v>
      </c>
      <c r="P206" s="1"/>
      <c r="Q206" s="1"/>
      <c r="S206" s="1"/>
      <c r="T206" s="206" t="s">
        <v>135</v>
      </c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8"/>
      <c r="AF206" s="209">
        <f>SUM(AF202:AF205)</f>
        <v>0</v>
      </c>
      <c r="AG206" s="1"/>
      <c r="AH206" s="1"/>
    </row>
    <row r="208" spans="2:34" x14ac:dyDescent="0.3">
      <c r="B208" s="1" t="s">
        <v>128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S208" s="1" t="s">
        <v>386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2:34" x14ac:dyDescent="0.3">
      <c r="B209" s="102" t="s">
        <v>14</v>
      </c>
      <c r="C209" s="102"/>
      <c r="D209" s="102"/>
      <c r="E209" s="102"/>
      <c r="F209" s="102"/>
      <c r="G209" s="102"/>
      <c r="H209" s="113"/>
      <c r="I209" s="113"/>
      <c r="J209" s="114"/>
      <c r="K209" s="199">
        <f>N4</f>
        <v>1.8849999999999999E-2</v>
      </c>
      <c r="L209" s="200"/>
      <c r="M209" s="103"/>
      <c r="N209" s="103"/>
      <c r="O209" s="115"/>
      <c r="P209" s="1"/>
      <c r="Q209" s="1"/>
      <c r="S209" s="102" t="s">
        <v>14</v>
      </c>
      <c r="T209" s="102"/>
      <c r="U209" s="102"/>
      <c r="V209" s="102"/>
      <c r="W209" s="102"/>
      <c r="X209" s="102"/>
      <c r="Y209" s="113"/>
      <c r="Z209" s="113"/>
      <c r="AA209" s="114"/>
      <c r="AB209" s="199">
        <f>K209</f>
        <v>1.8849999999999999E-2</v>
      </c>
      <c r="AC209" s="200"/>
      <c r="AD209" s="103"/>
      <c r="AE209" s="103"/>
      <c r="AF209" s="115"/>
      <c r="AG209" s="1"/>
      <c r="AH209" s="1"/>
    </row>
    <row r="210" spans="2:34" ht="27.6" x14ac:dyDescent="0.3">
      <c r="B210" s="1"/>
      <c r="C210" s="365" t="s">
        <v>129</v>
      </c>
      <c r="D210" s="500"/>
      <c r="E210" s="501"/>
      <c r="F210" s="366"/>
      <c r="G210" s="500"/>
      <c r="H210" s="501"/>
      <c r="I210" s="366"/>
      <c r="J210" s="500" t="s">
        <v>130</v>
      </c>
      <c r="K210" s="501"/>
      <c r="L210" s="366"/>
      <c r="M210" s="500" t="s">
        <v>131</v>
      </c>
      <c r="N210" s="501"/>
      <c r="O210" s="367" t="s">
        <v>132</v>
      </c>
      <c r="P210" s="1"/>
      <c r="Q210" s="46"/>
      <c r="S210" s="1"/>
      <c r="T210" s="373" t="s">
        <v>129</v>
      </c>
      <c r="U210" s="498"/>
      <c r="V210" s="499"/>
      <c r="W210" s="374"/>
      <c r="X210" s="498"/>
      <c r="Y210" s="499"/>
      <c r="Z210" s="374"/>
      <c r="AA210" s="498" t="s">
        <v>130</v>
      </c>
      <c r="AB210" s="499"/>
      <c r="AC210" s="374"/>
      <c r="AD210" s="498" t="s">
        <v>131</v>
      </c>
      <c r="AE210" s="499"/>
      <c r="AF210" s="375" t="s">
        <v>132</v>
      </c>
      <c r="AG210" s="1"/>
      <c r="AH210" s="46"/>
    </row>
    <row r="211" spans="2:34" x14ac:dyDescent="0.3">
      <c r="B211" s="1"/>
      <c r="C211" s="368" t="s">
        <v>133</v>
      </c>
      <c r="D211" s="368"/>
      <c r="E211" s="368"/>
      <c r="F211" s="368"/>
      <c r="G211" s="368"/>
      <c r="H211" s="368"/>
      <c r="I211" s="368"/>
      <c r="J211" s="368"/>
      <c r="K211" s="368" t="s">
        <v>9</v>
      </c>
      <c r="L211" s="368"/>
      <c r="M211" s="368" t="s">
        <v>33</v>
      </c>
      <c r="N211" s="368" t="s">
        <v>9</v>
      </c>
      <c r="O211" s="368" t="s">
        <v>134</v>
      </c>
      <c r="P211" s="1"/>
      <c r="S211" s="1"/>
      <c r="T211" s="376" t="s">
        <v>133</v>
      </c>
      <c r="U211" s="376"/>
      <c r="V211" s="376"/>
      <c r="W211" s="376"/>
      <c r="X211" s="376"/>
      <c r="Y211" s="376"/>
      <c r="Z211" s="376"/>
      <c r="AA211" s="376"/>
      <c r="AB211" s="376" t="s">
        <v>9</v>
      </c>
      <c r="AC211" s="376"/>
      <c r="AD211" s="376" t="s">
        <v>33</v>
      </c>
      <c r="AE211" s="376" t="s">
        <v>9</v>
      </c>
      <c r="AF211" s="376" t="s">
        <v>134</v>
      </c>
      <c r="AG211" s="1"/>
    </row>
    <row r="212" spans="2:34" x14ac:dyDescent="0.3">
      <c r="B212" s="1"/>
      <c r="C212" s="202">
        <f>IF($K$12=$B$209,(D116*($K$14)/($K$14+$L$14)),0)+IF($L$12=$B$209,(D116*($L$14)/($K$14+$L$14)),0)</f>
        <v>0</v>
      </c>
      <c r="D212" s="203"/>
      <c r="E212" s="203"/>
      <c r="F212" s="203"/>
      <c r="G212" s="188"/>
      <c r="H212" s="188"/>
      <c r="I212" s="188"/>
      <c r="J212" s="188"/>
      <c r="K212" s="188">
        <f>$K$209*(1-Q212)</f>
        <v>6.5974999999999992E-3</v>
      </c>
      <c r="L212" s="188"/>
      <c r="M212" s="204"/>
      <c r="N212" s="204">
        <f>ROUND((C212*K212),2)</f>
        <v>0</v>
      </c>
      <c r="O212" s="189">
        <f>M212+N212</f>
        <v>0</v>
      </c>
      <c r="P212" s="205"/>
      <c r="Q212" s="165">
        <v>0.65</v>
      </c>
      <c r="S212" s="1"/>
      <c r="T212" s="202">
        <f>IF($K$12=$B$248,(63*($K$14)/($K$14+$L$14)),0)+IF($L$12=$B$248,(63*($L$14)/($K$14+$L$14)),0)</f>
        <v>0</v>
      </c>
      <c r="U212" s="203"/>
      <c r="V212" s="203"/>
      <c r="W212" s="203"/>
      <c r="X212" s="188"/>
      <c r="Y212" s="188"/>
      <c r="Z212" s="188"/>
      <c r="AA212" s="188"/>
      <c r="AB212" s="188">
        <f>$K$209*(1-AH212)</f>
        <v>6.5974999999999992E-3</v>
      </c>
      <c r="AC212" s="188"/>
      <c r="AD212" s="204"/>
      <c r="AE212" s="204">
        <f>ROUND((T212*AB212),2)</f>
        <v>0</v>
      </c>
      <c r="AF212" s="189">
        <f>AD212+AE212</f>
        <v>0</v>
      </c>
      <c r="AG212" s="205"/>
      <c r="AH212" s="165">
        <v>0.65</v>
      </c>
    </row>
    <row r="213" spans="2:34" x14ac:dyDescent="0.3">
      <c r="B213" s="1"/>
      <c r="C213" s="202">
        <f>IF($K$12=$B$209,(D117*($K$14)/($K$14+$L$14)),0)+IF($L$12=$B$209,(D117*($L$14)/($K$14+$L$14)),0)</f>
        <v>0</v>
      </c>
      <c r="D213" s="203"/>
      <c r="E213" s="203"/>
      <c r="F213" s="203"/>
      <c r="G213" s="188"/>
      <c r="H213" s="188"/>
      <c r="I213" s="188"/>
      <c r="J213" s="188"/>
      <c r="K213" s="188">
        <f>$K$209*(1-Q213)</f>
        <v>1.1309999999999999E-2</v>
      </c>
      <c r="L213" s="188"/>
      <c r="M213" s="204"/>
      <c r="N213" s="204">
        <f>ROUND((C213*K213),2)</f>
        <v>0</v>
      </c>
      <c r="O213" s="189">
        <f>M213+N213</f>
        <v>0</v>
      </c>
      <c r="P213" s="205"/>
      <c r="Q213" s="165">
        <v>0.4</v>
      </c>
      <c r="S213" s="1"/>
      <c r="T213" s="202">
        <f>IF($K$12=$B$248,(J127*($K$14)/($K$14+$L$14)),0)+IF($L$12=$B$248,(J127*($L$14)/($K$14+$L$14)),0)</f>
        <v>0</v>
      </c>
      <c r="U213" s="203"/>
      <c r="V213" s="203"/>
      <c r="W213" s="203"/>
      <c r="X213" s="188"/>
      <c r="Y213" s="188"/>
      <c r="Z213" s="188"/>
      <c r="AA213" s="188"/>
      <c r="AB213" s="188">
        <f>$K$209*(1-AH213)</f>
        <v>1.1309999999999999E-2</v>
      </c>
      <c r="AC213" s="188"/>
      <c r="AD213" s="204"/>
      <c r="AE213" s="204">
        <f>ROUND((T213*AB213),2)</f>
        <v>0</v>
      </c>
      <c r="AF213" s="189">
        <f>AD213+AE213</f>
        <v>0</v>
      </c>
      <c r="AG213" s="205"/>
      <c r="AH213" s="165">
        <v>0.4</v>
      </c>
    </row>
    <row r="214" spans="2:34" x14ac:dyDescent="0.3">
      <c r="B214" s="1"/>
      <c r="C214" s="202">
        <f>IF($K$12=$B$209,(D118*($K$14)/($K$14+$L$14)),0)+IF($L$12=$B$209,(D118*($L$14)/($K$14+$L$14)),0)</f>
        <v>0</v>
      </c>
      <c r="D214" s="203"/>
      <c r="E214" s="203"/>
      <c r="F214" s="203"/>
      <c r="G214" s="188"/>
      <c r="H214" s="188"/>
      <c r="I214" s="188"/>
      <c r="J214" s="188"/>
      <c r="K214" s="188">
        <f>$K$209*(1-Q214)</f>
        <v>1.6965000000000001E-2</v>
      </c>
      <c r="L214" s="188"/>
      <c r="M214" s="204"/>
      <c r="N214" s="204">
        <f>ROUND((C214*K214),2)</f>
        <v>0</v>
      </c>
      <c r="O214" s="189">
        <f>M214+N214</f>
        <v>0</v>
      </c>
      <c r="P214" s="205"/>
      <c r="Q214" s="165">
        <v>0.1</v>
      </c>
      <c r="S214" s="1"/>
      <c r="T214" s="202">
        <f>IF($K$12=$B$248,(J128*($K$14)/($K$14+$L$14)),0)+IF($L$12=$B$248,(J128*($L$14)/($K$14+$L$14)),0)</f>
        <v>0</v>
      </c>
      <c r="U214" s="203"/>
      <c r="V214" s="203"/>
      <c r="W214" s="203"/>
      <c r="X214" s="188"/>
      <c r="Y214" s="188"/>
      <c r="Z214" s="188"/>
      <c r="AA214" s="188"/>
      <c r="AB214" s="188">
        <f>$K$209*(1-AH214)</f>
        <v>1.6965000000000001E-2</v>
      </c>
      <c r="AC214" s="188"/>
      <c r="AD214" s="204"/>
      <c r="AE214" s="204">
        <f>ROUND((T214*AB214),2)</f>
        <v>0</v>
      </c>
      <c r="AF214" s="189">
        <f>AD214+AE214</f>
        <v>0</v>
      </c>
      <c r="AG214" s="205"/>
      <c r="AH214" s="165">
        <v>0.1</v>
      </c>
    </row>
    <row r="215" spans="2:34" x14ac:dyDescent="0.3">
      <c r="B215" s="1"/>
      <c r="C215" s="202">
        <f>IF($K$12=$B$209,(D119*($K$14)/($K$14+$L$14)),0)+IF($L$12=$B$209,(D119*($L$14)/($K$14+$L$14)),0)</f>
        <v>0</v>
      </c>
      <c r="D215" s="203"/>
      <c r="E215" s="203"/>
      <c r="F215" s="203"/>
      <c r="G215" s="188"/>
      <c r="H215" s="188"/>
      <c r="I215" s="188"/>
      <c r="J215" s="188"/>
      <c r="K215" s="188">
        <f>$K$209*(1-Q215)</f>
        <v>1.8849999999999999E-2</v>
      </c>
      <c r="L215" s="188"/>
      <c r="M215" s="204"/>
      <c r="N215" s="204">
        <f>ROUND((C215*K215),2)</f>
        <v>0</v>
      </c>
      <c r="O215" s="189">
        <f>M215+N215</f>
        <v>0</v>
      </c>
      <c r="P215" s="205"/>
      <c r="Q215" s="165">
        <v>0</v>
      </c>
      <c r="S215" s="1"/>
      <c r="T215" s="202">
        <f>IF($K$12=$B$248,(J129*($K$14)/($K$14+$L$14)),0)+IF($L$12=$B$248,(J129*($L$14)/($K$14+$L$14)),0)</f>
        <v>0</v>
      </c>
      <c r="U215" s="203"/>
      <c r="V215" s="203"/>
      <c r="W215" s="203"/>
      <c r="X215" s="188"/>
      <c r="Y215" s="188"/>
      <c r="Z215" s="188"/>
      <c r="AA215" s="188"/>
      <c r="AB215" s="188">
        <f>$K$209*(1-AH215)</f>
        <v>1.8849999999999999E-2</v>
      </c>
      <c r="AC215" s="188"/>
      <c r="AD215" s="204"/>
      <c r="AE215" s="204">
        <f>ROUND((T215*AB215),2)</f>
        <v>0</v>
      </c>
      <c r="AF215" s="189">
        <f>AD215+AE215</f>
        <v>0</v>
      </c>
      <c r="AG215" s="205"/>
      <c r="AH215" s="165">
        <v>0</v>
      </c>
    </row>
    <row r="216" spans="2:34" x14ac:dyDescent="0.3">
      <c r="B216" s="1"/>
      <c r="C216" s="206" t="s">
        <v>135</v>
      </c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8"/>
      <c r="O216" s="209">
        <f>SUM(O212:O215)</f>
        <v>0</v>
      </c>
      <c r="P216" s="1"/>
      <c r="Q216" s="1"/>
      <c r="S216" s="1"/>
      <c r="T216" s="206" t="s">
        <v>135</v>
      </c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8"/>
      <c r="AF216" s="209">
        <f>SUM(AF212:AF215)</f>
        <v>0</v>
      </c>
      <c r="AG216" s="1"/>
      <c r="AH216" s="1"/>
    </row>
    <row r="217" spans="2:34" x14ac:dyDescent="0.3">
      <c r="B217" s="102"/>
      <c r="C217" s="102"/>
      <c r="D217" s="102"/>
      <c r="E217" s="102"/>
      <c r="F217" s="102"/>
      <c r="G217" s="102"/>
      <c r="H217" s="113"/>
      <c r="I217" s="113"/>
      <c r="J217" s="114"/>
      <c r="K217" s="114"/>
      <c r="L217" s="114"/>
      <c r="M217" s="103"/>
      <c r="N217" s="103"/>
      <c r="O217" s="210"/>
      <c r="P217" s="1"/>
      <c r="Q217" s="1"/>
      <c r="S217" s="102"/>
      <c r="T217" s="102"/>
      <c r="U217" s="102"/>
      <c r="V217" s="102"/>
      <c r="W217" s="102"/>
      <c r="X217" s="102"/>
      <c r="Y217" s="113"/>
      <c r="Z217" s="113"/>
      <c r="AA217" s="114"/>
      <c r="AB217" s="114"/>
      <c r="AC217" s="114"/>
      <c r="AD217" s="103"/>
      <c r="AE217" s="103"/>
      <c r="AF217" s="210"/>
      <c r="AG217" s="1"/>
      <c r="AH217" s="1"/>
    </row>
    <row r="218" spans="2:34" x14ac:dyDescent="0.3">
      <c r="B218" s="102" t="s">
        <v>15</v>
      </c>
      <c r="C218" s="102"/>
      <c r="D218" s="102"/>
      <c r="E218" s="102"/>
      <c r="F218" s="102"/>
      <c r="G218" s="102"/>
      <c r="H218" s="113"/>
      <c r="I218" s="113"/>
      <c r="J218" s="114"/>
      <c r="K218" s="199">
        <f>N5</f>
        <v>4.4630000000000003E-2</v>
      </c>
      <c r="L218" s="200"/>
      <c r="M218" s="103"/>
      <c r="N218" s="103"/>
      <c r="O218" s="115"/>
      <c r="P218" s="1"/>
      <c r="Q218" s="1"/>
      <c r="S218" s="102" t="s">
        <v>15</v>
      </c>
      <c r="T218" s="102"/>
      <c r="U218" s="102"/>
      <c r="V218" s="102"/>
      <c r="W218" s="102"/>
      <c r="X218" s="102"/>
      <c r="Y218" s="113"/>
      <c r="Z218" s="113"/>
      <c r="AA218" s="114"/>
      <c r="AB218" s="199">
        <f>K218</f>
        <v>4.4630000000000003E-2</v>
      </c>
      <c r="AC218" s="200"/>
      <c r="AD218" s="103"/>
      <c r="AE218" s="103"/>
      <c r="AF218" s="115"/>
      <c r="AG218" s="1"/>
      <c r="AH218" s="1"/>
    </row>
    <row r="219" spans="2:34" ht="27.6" x14ac:dyDescent="0.3">
      <c r="B219" s="1"/>
      <c r="C219" s="365" t="s">
        <v>129</v>
      </c>
      <c r="D219" s="500"/>
      <c r="E219" s="501"/>
      <c r="F219" s="366"/>
      <c r="G219" s="500"/>
      <c r="H219" s="501"/>
      <c r="I219" s="366"/>
      <c r="J219" s="500" t="s">
        <v>32</v>
      </c>
      <c r="K219" s="501"/>
      <c r="L219" s="366"/>
      <c r="M219" s="500" t="s">
        <v>131</v>
      </c>
      <c r="N219" s="501"/>
      <c r="O219" s="367" t="s">
        <v>132</v>
      </c>
      <c r="P219" s="1"/>
      <c r="Q219" s="46"/>
      <c r="S219" s="1"/>
      <c r="T219" s="373" t="s">
        <v>129</v>
      </c>
      <c r="U219" s="498"/>
      <c r="V219" s="499"/>
      <c r="W219" s="374"/>
      <c r="X219" s="498"/>
      <c r="Y219" s="499"/>
      <c r="Z219" s="374"/>
      <c r="AA219" s="498" t="s">
        <v>32</v>
      </c>
      <c r="AB219" s="499"/>
      <c r="AC219" s="374"/>
      <c r="AD219" s="498" t="s">
        <v>131</v>
      </c>
      <c r="AE219" s="499"/>
      <c r="AF219" s="375" t="s">
        <v>132</v>
      </c>
      <c r="AG219" s="1"/>
      <c r="AH219" s="46"/>
    </row>
    <row r="220" spans="2:34" x14ac:dyDescent="0.3">
      <c r="B220" s="1"/>
      <c r="C220" s="368" t="s">
        <v>133</v>
      </c>
      <c r="D220" s="368"/>
      <c r="E220" s="368"/>
      <c r="F220" s="368"/>
      <c r="G220" s="368" t="s">
        <v>33</v>
      </c>
      <c r="H220" s="368" t="s">
        <v>9</v>
      </c>
      <c r="I220" s="368"/>
      <c r="J220" s="368" t="s">
        <v>33</v>
      </c>
      <c r="K220" s="368" t="s">
        <v>9</v>
      </c>
      <c r="L220" s="368"/>
      <c r="M220" s="368" t="s">
        <v>33</v>
      </c>
      <c r="N220" s="368" t="s">
        <v>9</v>
      </c>
      <c r="O220" s="368" t="s">
        <v>134</v>
      </c>
      <c r="P220" s="1"/>
      <c r="S220" s="1"/>
      <c r="T220" s="376" t="s">
        <v>133</v>
      </c>
      <c r="U220" s="376"/>
      <c r="V220" s="376"/>
      <c r="W220" s="376"/>
      <c r="X220" s="376" t="s">
        <v>33</v>
      </c>
      <c r="Y220" s="376" t="s">
        <v>9</v>
      </c>
      <c r="Z220" s="376"/>
      <c r="AA220" s="376" t="s">
        <v>33</v>
      </c>
      <c r="AB220" s="376" t="s">
        <v>9</v>
      </c>
      <c r="AC220" s="376"/>
      <c r="AD220" s="376" t="s">
        <v>33</v>
      </c>
      <c r="AE220" s="376" t="s">
        <v>9</v>
      </c>
      <c r="AF220" s="376" t="s">
        <v>134</v>
      </c>
      <c r="AG220" s="1"/>
    </row>
    <row r="221" spans="2:34" x14ac:dyDescent="0.3">
      <c r="B221" s="1"/>
      <c r="C221" s="202">
        <f>IF($K$12=$B$218,(D116*($K$14)/($K$14+$L$14)),0)+IF($L$12=$B$218,(D116*($L$14)/($K$14+$L$14)),0)</f>
        <v>10.344827586206897</v>
      </c>
      <c r="D221" s="203"/>
      <c r="E221" s="203"/>
      <c r="F221" s="203"/>
      <c r="G221" s="188"/>
      <c r="H221" s="188"/>
      <c r="I221" s="188"/>
      <c r="J221" s="188"/>
      <c r="K221" s="188">
        <f>$K$218*(1-Q221)</f>
        <v>1.5620500000000001E-2</v>
      </c>
      <c r="L221" s="188"/>
      <c r="M221" s="204"/>
      <c r="N221" s="204">
        <f>ROUND((C221*K221),2)</f>
        <v>0.16</v>
      </c>
      <c r="O221" s="189">
        <f>M221+N221</f>
        <v>0.16</v>
      </c>
      <c r="P221" s="205"/>
      <c r="Q221" s="165">
        <v>0.65</v>
      </c>
      <c r="S221" s="1"/>
      <c r="T221" s="202">
        <f>IF($K$12=$B$257,(J126*($K$14)/($K$14+$L$14)),0)+IF($L$12=$B$257,(J126*($L$14)/($K$14+$L$14)),0)</f>
        <v>-10.344827586206897</v>
      </c>
      <c r="U221" s="203"/>
      <c r="V221" s="203"/>
      <c r="W221" s="203"/>
      <c r="X221" s="188"/>
      <c r="Y221" s="188"/>
      <c r="Z221" s="188"/>
      <c r="AA221" s="188"/>
      <c r="AB221" s="188">
        <f>$K$218*(1-AH221)</f>
        <v>1.5620500000000001E-2</v>
      </c>
      <c r="AC221" s="188"/>
      <c r="AD221" s="204"/>
      <c r="AE221" s="204">
        <f>ROUND((T221*AB221),2)</f>
        <v>-0.16</v>
      </c>
      <c r="AF221" s="189">
        <f>AD221+AE221</f>
        <v>-0.16</v>
      </c>
      <c r="AG221" s="205"/>
      <c r="AH221" s="165">
        <v>0.65</v>
      </c>
    </row>
    <row r="222" spans="2:34" x14ac:dyDescent="0.3">
      <c r="B222" s="1"/>
      <c r="C222" s="202">
        <f>IF($K$12=$B$218,(D117*($K$14)/($K$14+$L$14)),0)+IF($L$12=$B$218,(D117*($L$14)/($K$14+$L$14)),0)</f>
        <v>24.137931034482758</v>
      </c>
      <c r="D222" s="203"/>
      <c r="E222" s="203"/>
      <c r="F222" s="203"/>
      <c r="G222" s="188"/>
      <c r="H222" s="188"/>
      <c r="I222" s="188"/>
      <c r="J222" s="188"/>
      <c r="K222" s="188">
        <f>$K$218*(1-Q222)</f>
        <v>2.6778E-2</v>
      </c>
      <c r="L222" s="188"/>
      <c r="M222" s="204"/>
      <c r="N222" s="204">
        <f>ROUND((C222*K222),2)</f>
        <v>0.65</v>
      </c>
      <c r="O222" s="189">
        <f>M222+N222</f>
        <v>0.65</v>
      </c>
      <c r="P222" s="205"/>
      <c r="Q222" s="165">
        <v>0.4</v>
      </c>
      <c r="S222" s="1"/>
      <c r="T222" s="202">
        <f>IF($K$12=$B$257,(J127*($K$14)/($K$14+$L$14)),0)+IF($L$12=$B$257,(J127*($L$14)/($K$14+$L$14)),0)</f>
        <v>-24.137931034482758</v>
      </c>
      <c r="U222" s="203"/>
      <c r="V222" s="203"/>
      <c r="W222" s="203"/>
      <c r="X222" s="188"/>
      <c r="Y222" s="188"/>
      <c r="Z222" s="188"/>
      <c r="AA222" s="188"/>
      <c r="AB222" s="188">
        <f>$K$218*(1-AH222)</f>
        <v>2.6778E-2</v>
      </c>
      <c r="AC222" s="188"/>
      <c r="AD222" s="204"/>
      <c r="AE222" s="204">
        <f>ROUND((T222*AB222),2)</f>
        <v>-0.65</v>
      </c>
      <c r="AF222" s="189">
        <f>AD222+AE222</f>
        <v>-0.65</v>
      </c>
      <c r="AG222" s="205"/>
      <c r="AH222" s="165">
        <v>0.4</v>
      </c>
    </row>
    <row r="223" spans="2:34" x14ac:dyDescent="0.3">
      <c r="B223" s="1"/>
      <c r="C223" s="202">
        <f>IF($K$12=$B$218,(D118*($K$14)/($K$14+$L$14)),0)+IF($L$12=$B$218,(D118*($L$14)/($K$14+$L$14)),0)</f>
        <v>41.379310344827587</v>
      </c>
      <c r="D223" s="203"/>
      <c r="E223" s="203"/>
      <c r="F223" s="203"/>
      <c r="G223" s="188"/>
      <c r="H223" s="188"/>
      <c r="I223" s="188"/>
      <c r="J223" s="188"/>
      <c r="K223" s="188">
        <f>$K$218*(1-Q223)</f>
        <v>4.0167000000000001E-2</v>
      </c>
      <c r="L223" s="188"/>
      <c r="M223" s="204"/>
      <c r="N223" s="204">
        <f>ROUND((C223*K223),2)</f>
        <v>1.66</v>
      </c>
      <c r="O223" s="189">
        <f>M223+N223</f>
        <v>1.66</v>
      </c>
      <c r="P223" s="205"/>
      <c r="Q223" s="165">
        <v>0.1</v>
      </c>
      <c r="S223" s="1"/>
      <c r="T223" s="202">
        <f>IF($K$12=$B$257,(J128*($K$14)/($K$14+$L$14)),0)+IF($L$12=$B$257,(J128*($L$14)/($K$14+$L$14)),0)</f>
        <v>-41.379310344827587</v>
      </c>
      <c r="U223" s="203"/>
      <c r="V223" s="203"/>
      <c r="W223" s="203"/>
      <c r="X223" s="188"/>
      <c r="Y223" s="188"/>
      <c r="Z223" s="188"/>
      <c r="AA223" s="188"/>
      <c r="AB223" s="188">
        <f>$K$218*(1-AH223)</f>
        <v>4.0167000000000001E-2</v>
      </c>
      <c r="AC223" s="188"/>
      <c r="AD223" s="204"/>
      <c r="AE223" s="204">
        <f>ROUND((T223*AB223),2)</f>
        <v>-1.66</v>
      </c>
      <c r="AF223" s="189">
        <f>AD223+AE223</f>
        <v>-1.66</v>
      </c>
      <c r="AG223" s="205"/>
      <c r="AH223" s="165">
        <v>0.1</v>
      </c>
    </row>
    <row r="224" spans="2:34" x14ac:dyDescent="0.3">
      <c r="B224" s="1"/>
      <c r="C224" s="202">
        <f>IF($K$12=$B$218,(D119*($K$14)/($K$14+$L$14)),0)+IF($L$12=$B$218,(D119*($L$14)/($K$14+$L$14)),0)</f>
        <v>33.103448275862071</v>
      </c>
      <c r="D224" s="203"/>
      <c r="E224" s="203"/>
      <c r="F224" s="203"/>
      <c r="G224" s="188"/>
      <c r="H224" s="188"/>
      <c r="I224" s="188"/>
      <c r="J224" s="188"/>
      <c r="K224" s="188">
        <f>$K$218*(1-Q224)</f>
        <v>4.4630000000000003E-2</v>
      </c>
      <c r="L224" s="188"/>
      <c r="M224" s="204"/>
      <c r="N224" s="204">
        <f>ROUND((C224*K224),2)</f>
        <v>1.48</v>
      </c>
      <c r="O224" s="189">
        <f>M224+N224</f>
        <v>1.48</v>
      </c>
      <c r="P224" s="205"/>
      <c r="Q224" s="165">
        <v>0</v>
      </c>
      <c r="S224" s="1"/>
      <c r="T224" s="202">
        <f>IF($K$12=$B$257,(J129*($K$14)/($K$14+$L$14)),0)+IF($L$12=$B$257,(J129*($L$14)/($K$14+$L$14)),0)</f>
        <v>-0.34482758620689657</v>
      </c>
      <c r="U224" s="203"/>
      <c r="V224" s="203"/>
      <c r="W224" s="203"/>
      <c r="X224" s="188"/>
      <c r="Y224" s="188"/>
      <c r="Z224" s="188"/>
      <c r="AA224" s="188"/>
      <c r="AB224" s="188">
        <f>$K$218*(1-AH224)</f>
        <v>4.4630000000000003E-2</v>
      </c>
      <c r="AC224" s="188"/>
      <c r="AD224" s="204"/>
      <c r="AE224" s="204">
        <f>ROUND((T224*AB224),2)</f>
        <v>-0.02</v>
      </c>
      <c r="AF224" s="189">
        <f>AD224+AE224</f>
        <v>-0.02</v>
      </c>
      <c r="AG224" s="205"/>
      <c r="AH224" s="165">
        <v>0</v>
      </c>
    </row>
    <row r="225" spans="2:34" x14ac:dyDescent="0.3">
      <c r="B225" s="1"/>
      <c r="C225" s="206" t="s">
        <v>135</v>
      </c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8"/>
      <c r="O225" s="209">
        <f>SUM(O221:O224)</f>
        <v>3.9499999999999997</v>
      </c>
      <c r="P225" s="1"/>
      <c r="Q225" s="1"/>
      <c r="S225" s="1"/>
      <c r="T225" s="206" t="s">
        <v>135</v>
      </c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8"/>
      <c r="AF225" s="209">
        <f>SUM(AF221:AF224)</f>
        <v>-2.4899999999999998</v>
      </c>
      <c r="AG225" s="1"/>
      <c r="AH225" s="1"/>
    </row>
    <row r="226" spans="2:34" x14ac:dyDescent="0.3">
      <c r="B226" s="102"/>
      <c r="C226" s="102"/>
      <c r="D226" s="102"/>
      <c r="E226" s="102"/>
      <c r="F226" s="102"/>
      <c r="G226" s="102"/>
      <c r="H226" s="113"/>
      <c r="I226" s="113"/>
      <c r="J226" s="114"/>
      <c r="K226" s="114"/>
      <c r="L226" s="114"/>
      <c r="M226" s="103"/>
      <c r="N226" s="103"/>
      <c r="O226" s="115"/>
      <c r="P226" s="1"/>
      <c r="Q226" s="1"/>
      <c r="S226" s="102"/>
      <c r="T226" s="102"/>
      <c r="U226" s="102"/>
      <c r="V226" s="102"/>
      <c r="W226" s="102"/>
      <c r="X226" s="102"/>
      <c r="Y226" s="113"/>
      <c r="Z226" s="113"/>
      <c r="AA226" s="114"/>
      <c r="AB226" s="114"/>
      <c r="AC226" s="114"/>
      <c r="AD226" s="103"/>
      <c r="AE226" s="103"/>
      <c r="AF226" s="115"/>
      <c r="AG226" s="1"/>
      <c r="AH226" s="1"/>
    </row>
    <row r="227" spans="2:34" x14ac:dyDescent="0.3">
      <c r="B227" s="102" t="s">
        <v>16</v>
      </c>
      <c r="C227" s="102"/>
      <c r="D227" s="102"/>
      <c r="E227" s="102"/>
      <c r="F227" s="102"/>
      <c r="G227" s="102"/>
      <c r="H227" s="113"/>
      <c r="I227" s="113"/>
      <c r="J227" s="114"/>
      <c r="K227" s="199">
        <f>N6</f>
        <v>7.8770000000000007E-2</v>
      </c>
      <c r="L227" s="200"/>
      <c r="M227" s="103"/>
      <c r="N227" s="103"/>
      <c r="O227" s="115"/>
      <c r="P227" s="1"/>
      <c r="Q227" s="1"/>
      <c r="S227" s="102" t="s">
        <v>16</v>
      </c>
      <c r="T227" s="102"/>
      <c r="U227" s="102"/>
      <c r="V227" s="102"/>
      <c r="W227" s="102"/>
      <c r="X227" s="102"/>
      <c r="Y227" s="113"/>
      <c r="Z227" s="113"/>
      <c r="AA227" s="114"/>
      <c r="AB227" s="199">
        <f>K227</f>
        <v>7.8770000000000007E-2</v>
      </c>
      <c r="AC227" s="200"/>
      <c r="AD227" s="103"/>
      <c r="AE227" s="103"/>
      <c r="AF227" s="115"/>
      <c r="AG227" s="1"/>
      <c r="AH227" s="1"/>
    </row>
    <row r="228" spans="2:34" ht="27.6" x14ac:dyDescent="0.3">
      <c r="B228" s="1"/>
      <c r="C228" s="365" t="s">
        <v>129</v>
      </c>
      <c r="D228" s="500"/>
      <c r="E228" s="501"/>
      <c r="F228" s="366"/>
      <c r="G228" s="500"/>
      <c r="H228" s="501"/>
      <c r="I228" s="366"/>
      <c r="J228" s="500" t="s">
        <v>32</v>
      </c>
      <c r="K228" s="501"/>
      <c r="L228" s="366"/>
      <c r="M228" s="500" t="s">
        <v>131</v>
      </c>
      <c r="N228" s="501"/>
      <c r="O228" s="367" t="s">
        <v>132</v>
      </c>
      <c r="P228" s="1"/>
      <c r="Q228" s="46"/>
      <c r="S228" s="1"/>
      <c r="T228" s="373" t="s">
        <v>129</v>
      </c>
      <c r="U228" s="498"/>
      <c r="V228" s="499"/>
      <c r="W228" s="374"/>
      <c r="X228" s="498"/>
      <c r="Y228" s="499"/>
      <c r="Z228" s="374"/>
      <c r="AA228" s="498" t="s">
        <v>32</v>
      </c>
      <c r="AB228" s="499"/>
      <c r="AC228" s="374"/>
      <c r="AD228" s="498" t="s">
        <v>131</v>
      </c>
      <c r="AE228" s="499"/>
      <c r="AF228" s="375" t="s">
        <v>132</v>
      </c>
      <c r="AG228" s="1"/>
      <c r="AH228" s="46"/>
    </row>
    <row r="229" spans="2:34" x14ac:dyDescent="0.3">
      <c r="B229" s="1"/>
      <c r="C229" s="368" t="s">
        <v>133</v>
      </c>
      <c r="D229" s="368"/>
      <c r="E229" s="368"/>
      <c r="F229" s="368"/>
      <c r="G229" s="368" t="s">
        <v>33</v>
      </c>
      <c r="H229" s="368" t="s">
        <v>9</v>
      </c>
      <c r="I229" s="368"/>
      <c r="J229" s="368" t="s">
        <v>33</v>
      </c>
      <c r="K229" s="368" t="s">
        <v>9</v>
      </c>
      <c r="L229" s="368"/>
      <c r="M229" s="368" t="s">
        <v>33</v>
      </c>
      <c r="N229" s="368" t="s">
        <v>9</v>
      </c>
      <c r="O229" s="368" t="s">
        <v>134</v>
      </c>
      <c r="P229" s="1"/>
      <c r="S229" s="1"/>
      <c r="T229" s="376" t="s">
        <v>133</v>
      </c>
      <c r="U229" s="376"/>
      <c r="V229" s="376"/>
      <c r="W229" s="376"/>
      <c r="X229" s="376" t="s">
        <v>33</v>
      </c>
      <c r="Y229" s="376" t="s">
        <v>9</v>
      </c>
      <c r="Z229" s="376"/>
      <c r="AA229" s="376" t="s">
        <v>33</v>
      </c>
      <c r="AB229" s="376" t="s">
        <v>9</v>
      </c>
      <c r="AC229" s="376"/>
      <c r="AD229" s="376" t="s">
        <v>33</v>
      </c>
      <c r="AE229" s="376" t="s">
        <v>9</v>
      </c>
      <c r="AF229" s="376" t="s">
        <v>134</v>
      </c>
      <c r="AG229" s="1"/>
    </row>
    <row r="230" spans="2:34" x14ac:dyDescent="0.3">
      <c r="B230" s="1"/>
      <c r="C230" s="202">
        <f>IF($K$12=$B$227,(D116*($K$14)/($K$14+$L$14)),0)+IF($L$12=$B$227,(D116*($L$14)/($K$14+$L$14)),0)</f>
        <v>19.655172413793103</v>
      </c>
      <c r="D230" s="203"/>
      <c r="E230" s="203"/>
      <c r="F230" s="203"/>
      <c r="G230" s="188"/>
      <c r="H230" s="188"/>
      <c r="I230" s="188"/>
      <c r="J230" s="188"/>
      <c r="K230" s="188">
        <f>$K$227*(1-Q230)</f>
        <v>2.75695E-2</v>
      </c>
      <c r="L230" s="188"/>
      <c r="M230" s="204"/>
      <c r="N230" s="204">
        <f>ROUND((C230*K230),2)</f>
        <v>0.54</v>
      </c>
      <c r="O230" s="189">
        <f>M230+N230</f>
        <v>0.54</v>
      </c>
      <c r="P230" s="205"/>
      <c r="Q230" s="165">
        <v>0.65</v>
      </c>
      <c r="S230" s="1"/>
      <c r="T230" s="202">
        <f>IF($K$12=$B$266,(J126*($K$14)/($K$14+$L$14)),0)+IF($L$12=$B$266,(J126*($L$14)/($K$14+$L$14)),0)</f>
        <v>-19.655172413793103</v>
      </c>
      <c r="U230" s="203"/>
      <c r="V230" s="203"/>
      <c r="W230" s="203"/>
      <c r="X230" s="188"/>
      <c r="Y230" s="188"/>
      <c r="Z230" s="188"/>
      <c r="AA230" s="188"/>
      <c r="AB230" s="188">
        <f>$K$227*(1-AH230)</f>
        <v>2.75695E-2</v>
      </c>
      <c r="AC230" s="188"/>
      <c r="AD230" s="204"/>
      <c r="AE230" s="204">
        <f>ROUND((T230*AB230),2)</f>
        <v>-0.54</v>
      </c>
      <c r="AF230" s="189">
        <f>AD230+AE230</f>
        <v>-0.54</v>
      </c>
      <c r="AG230" s="205"/>
      <c r="AH230" s="165">
        <v>0.65</v>
      </c>
    </row>
    <row r="231" spans="2:34" x14ac:dyDescent="0.3">
      <c r="B231" s="1"/>
      <c r="C231" s="202">
        <f>IF($K$12=$B$227,(D117*($K$14)/($K$14+$L$14)),0)+IF($L$12=$B$227,(D117*($L$14)/($K$14+$L$14)),0)</f>
        <v>45.862068965517238</v>
      </c>
      <c r="D231" s="203"/>
      <c r="E231" s="203"/>
      <c r="F231" s="203"/>
      <c r="G231" s="188"/>
      <c r="H231" s="188"/>
      <c r="I231" s="188"/>
      <c r="J231" s="188"/>
      <c r="K231" s="188">
        <f>$K$227*(1-Q231)</f>
        <v>4.7262000000000005E-2</v>
      </c>
      <c r="L231" s="188"/>
      <c r="M231" s="204"/>
      <c r="N231" s="204">
        <f>ROUND((C231*K231),2)</f>
        <v>2.17</v>
      </c>
      <c r="O231" s="189">
        <f>M231+N231</f>
        <v>2.17</v>
      </c>
      <c r="P231" s="205"/>
      <c r="Q231" s="165">
        <v>0.4</v>
      </c>
      <c r="S231" s="1"/>
      <c r="T231" s="202">
        <f>IF($K$12=$B$266,(J127*($K$14)/($K$14+$L$14)),0)+IF($L$12=$B$266,(J127*($L$14)/($K$14+$L$14)),0)</f>
        <v>-45.862068965517238</v>
      </c>
      <c r="U231" s="203"/>
      <c r="V231" s="203"/>
      <c r="W231" s="203"/>
      <c r="X231" s="188"/>
      <c r="Y231" s="188"/>
      <c r="Z231" s="188"/>
      <c r="AA231" s="188"/>
      <c r="AB231" s="188">
        <f>$K$227*(1-AH231)</f>
        <v>4.7262000000000005E-2</v>
      </c>
      <c r="AC231" s="188"/>
      <c r="AD231" s="204"/>
      <c r="AE231" s="204">
        <f>ROUND((T231*AB231),2)</f>
        <v>-2.17</v>
      </c>
      <c r="AF231" s="189">
        <f>AD231+AE231</f>
        <v>-2.17</v>
      </c>
      <c r="AG231" s="205"/>
      <c r="AH231" s="165">
        <v>0.4</v>
      </c>
    </row>
    <row r="232" spans="2:34" x14ac:dyDescent="0.3">
      <c r="B232" s="1"/>
      <c r="C232" s="202">
        <f>IF($K$12=$B$227,(D118*($K$14)/($K$14+$L$14)),0)+IF($L$12=$B$227,(D118*($L$14)/($K$14+$L$14)),0)</f>
        <v>78.620689655172413</v>
      </c>
      <c r="D232" s="203"/>
      <c r="E232" s="203"/>
      <c r="F232" s="203"/>
      <c r="G232" s="188"/>
      <c r="H232" s="188"/>
      <c r="I232" s="188"/>
      <c r="J232" s="188"/>
      <c r="K232" s="188">
        <f>$K$227*(1-Q232)</f>
        <v>7.0893000000000012E-2</v>
      </c>
      <c r="L232" s="188"/>
      <c r="M232" s="204"/>
      <c r="N232" s="204">
        <f>ROUND((C232*K232),2)</f>
        <v>5.57</v>
      </c>
      <c r="O232" s="189">
        <f>M232+N232</f>
        <v>5.57</v>
      </c>
      <c r="P232" s="205"/>
      <c r="Q232" s="165">
        <v>0.1</v>
      </c>
      <c r="S232" s="1"/>
      <c r="T232" s="202">
        <f>IF($K$12=$B$266,(J128*($K$14)/($K$14+$L$14)),0)+IF($L$12=$B$266,(J128*($L$14)/($K$14+$L$14)),0)</f>
        <v>-78.620689655172413</v>
      </c>
      <c r="U232" s="203"/>
      <c r="V232" s="203"/>
      <c r="W232" s="203"/>
      <c r="X232" s="188"/>
      <c r="Y232" s="188"/>
      <c r="Z232" s="188"/>
      <c r="AA232" s="188"/>
      <c r="AB232" s="188">
        <f>$K$227*(1-AH232)</f>
        <v>7.0893000000000012E-2</v>
      </c>
      <c r="AC232" s="188"/>
      <c r="AD232" s="204"/>
      <c r="AE232" s="204">
        <f>ROUND((T232*AB232),2)</f>
        <v>-5.57</v>
      </c>
      <c r="AF232" s="189">
        <f>AD232+AE232</f>
        <v>-5.57</v>
      </c>
      <c r="AG232" s="205"/>
      <c r="AH232" s="165">
        <v>0.1</v>
      </c>
    </row>
    <row r="233" spans="2:34" x14ac:dyDescent="0.3">
      <c r="B233" s="1"/>
      <c r="C233" s="202">
        <f>IF($K$12=$B$227,(D119*($K$14)/($K$14+$L$14)),0)+IF($L$12=$B$227,(D119*($L$14)/($K$14+$L$14)),0)</f>
        <v>62.896551724137929</v>
      </c>
      <c r="D233" s="203"/>
      <c r="E233" s="203"/>
      <c r="F233" s="203"/>
      <c r="G233" s="188"/>
      <c r="H233" s="188"/>
      <c r="I233" s="188"/>
      <c r="J233" s="188"/>
      <c r="K233" s="188">
        <f>$K$227*(1-Q233)</f>
        <v>7.8770000000000007E-2</v>
      </c>
      <c r="L233" s="188"/>
      <c r="M233" s="204"/>
      <c r="N233" s="204">
        <f>ROUND((C233*K233),2)</f>
        <v>4.95</v>
      </c>
      <c r="O233" s="189">
        <f>M233+N233</f>
        <v>4.95</v>
      </c>
      <c r="P233" s="205"/>
      <c r="Q233" s="165">
        <v>0</v>
      </c>
      <c r="S233" s="1"/>
      <c r="T233" s="202">
        <f>IF($K$12=$B$266,(J129*($K$14)/($K$14+$L$14)),0)+IF($L$12=$B$266,(J129*($L$14)/($K$14+$L$14)),0)</f>
        <v>-0.65517241379310343</v>
      </c>
      <c r="U233" s="203"/>
      <c r="V233" s="203"/>
      <c r="W233" s="203"/>
      <c r="X233" s="188"/>
      <c r="Y233" s="188"/>
      <c r="Z233" s="188"/>
      <c r="AA233" s="188"/>
      <c r="AB233" s="188">
        <f>$K$227*(1-AH233)</f>
        <v>7.8770000000000007E-2</v>
      </c>
      <c r="AC233" s="188"/>
      <c r="AD233" s="204"/>
      <c r="AE233" s="204">
        <f>ROUND((T233*AB233),2)</f>
        <v>-0.05</v>
      </c>
      <c r="AF233" s="189">
        <f>AD233+AE233</f>
        <v>-0.05</v>
      </c>
      <c r="AG233" s="205"/>
      <c r="AH233" s="165">
        <v>0</v>
      </c>
    </row>
    <row r="234" spans="2:34" x14ac:dyDescent="0.3">
      <c r="B234" s="1"/>
      <c r="C234" s="206" t="s">
        <v>135</v>
      </c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8"/>
      <c r="O234" s="209">
        <f>SUM(O230:O233)</f>
        <v>13.23</v>
      </c>
      <c r="P234" s="1"/>
      <c r="Q234" s="1"/>
      <c r="S234" s="1"/>
      <c r="T234" s="206" t="s">
        <v>135</v>
      </c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8"/>
      <c r="AF234" s="209">
        <f>SUM(AF230:AF233)</f>
        <v>-8.3300000000000018</v>
      </c>
      <c r="AG234" s="1"/>
      <c r="AH234" s="1"/>
    </row>
    <row r="235" spans="2:34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2:34" x14ac:dyDescent="0.3">
      <c r="B236" s="1" t="s">
        <v>17</v>
      </c>
      <c r="C236" s="102"/>
      <c r="D236" s="102"/>
      <c r="E236" s="102"/>
      <c r="F236" s="102"/>
      <c r="G236" s="102"/>
      <c r="H236" s="113"/>
      <c r="I236" s="113"/>
      <c r="J236" s="114"/>
      <c r="K236" s="199">
        <f>N8</f>
        <v>0.14199999999999999</v>
      </c>
      <c r="L236" s="200"/>
      <c r="M236" s="103"/>
      <c r="N236" s="103"/>
      <c r="O236" s="115"/>
      <c r="P236" s="1"/>
      <c r="Q236" s="1"/>
      <c r="S236" s="1" t="s">
        <v>17</v>
      </c>
      <c r="T236" s="102"/>
      <c r="U236" s="102"/>
      <c r="V236" s="102"/>
      <c r="W236" s="102"/>
      <c r="X236" s="102"/>
      <c r="Y236" s="113"/>
      <c r="Z236" s="113"/>
      <c r="AA236" s="114"/>
      <c r="AB236" s="199">
        <f>K236</f>
        <v>0.14199999999999999</v>
      </c>
      <c r="AC236" s="200"/>
      <c r="AD236" s="103"/>
      <c r="AE236" s="103"/>
      <c r="AF236" s="115"/>
      <c r="AG236" s="1"/>
      <c r="AH236" s="1"/>
    </row>
    <row r="237" spans="2:34" ht="27.6" x14ac:dyDescent="0.3">
      <c r="B237" s="1"/>
      <c r="C237" s="365" t="s">
        <v>129</v>
      </c>
      <c r="D237" s="500"/>
      <c r="E237" s="501"/>
      <c r="F237" s="366"/>
      <c r="G237" s="500"/>
      <c r="H237" s="501"/>
      <c r="I237" s="366"/>
      <c r="J237" s="500" t="s">
        <v>32</v>
      </c>
      <c r="K237" s="501"/>
      <c r="L237" s="366"/>
      <c r="M237" s="500" t="s">
        <v>131</v>
      </c>
      <c r="N237" s="501"/>
      <c r="O237" s="367" t="s">
        <v>132</v>
      </c>
      <c r="P237" s="1"/>
      <c r="Q237" s="46"/>
      <c r="S237" s="1"/>
      <c r="T237" s="373" t="s">
        <v>129</v>
      </c>
      <c r="U237" s="498"/>
      <c r="V237" s="499"/>
      <c r="W237" s="374"/>
      <c r="X237" s="498"/>
      <c r="Y237" s="499"/>
      <c r="Z237" s="374"/>
      <c r="AA237" s="498" t="s">
        <v>32</v>
      </c>
      <c r="AB237" s="499"/>
      <c r="AC237" s="374"/>
      <c r="AD237" s="498" t="s">
        <v>131</v>
      </c>
      <c r="AE237" s="499"/>
      <c r="AF237" s="375" t="s">
        <v>132</v>
      </c>
      <c r="AG237" s="1"/>
      <c r="AH237" s="46"/>
    </row>
    <row r="238" spans="2:34" x14ac:dyDescent="0.3">
      <c r="B238" s="1"/>
      <c r="C238" s="368" t="s">
        <v>133</v>
      </c>
      <c r="D238" s="368"/>
      <c r="E238" s="368"/>
      <c r="F238" s="368"/>
      <c r="G238" s="368" t="s">
        <v>33</v>
      </c>
      <c r="H238" s="368" t="s">
        <v>9</v>
      </c>
      <c r="I238" s="368"/>
      <c r="J238" s="368" t="s">
        <v>33</v>
      </c>
      <c r="K238" s="368" t="s">
        <v>9</v>
      </c>
      <c r="L238" s="368"/>
      <c r="M238" s="368" t="s">
        <v>33</v>
      </c>
      <c r="N238" s="368" t="s">
        <v>9</v>
      </c>
      <c r="O238" s="368" t="s">
        <v>134</v>
      </c>
      <c r="P238" s="1"/>
      <c r="S238" s="1"/>
      <c r="T238" s="376" t="s">
        <v>133</v>
      </c>
      <c r="U238" s="376"/>
      <c r="V238" s="376"/>
      <c r="W238" s="376"/>
      <c r="X238" s="376" t="s">
        <v>33</v>
      </c>
      <c r="Y238" s="376" t="s">
        <v>9</v>
      </c>
      <c r="Z238" s="376"/>
      <c r="AA238" s="376" t="s">
        <v>33</v>
      </c>
      <c r="AB238" s="376" t="s">
        <v>9</v>
      </c>
      <c r="AC238" s="376"/>
      <c r="AD238" s="376" t="s">
        <v>33</v>
      </c>
      <c r="AE238" s="376" t="s">
        <v>9</v>
      </c>
      <c r="AF238" s="376" t="s">
        <v>134</v>
      </c>
      <c r="AG238" s="1"/>
    </row>
    <row r="239" spans="2:34" x14ac:dyDescent="0.3">
      <c r="B239" s="1"/>
      <c r="C239" s="202">
        <f>IF($K$12=$B$236,(D116*($K$14)/($K$14+$L$14)),0)+IF($L$12=$B$236,(D116*($L$14)/($K$14+$L$14)),0)</f>
        <v>0</v>
      </c>
      <c r="D239" s="203"/>
      <c r="E239" s="203"/>
      <c r="F239" s="203"/>
      <c r="G239" s="188"/>
      <c r="H239" s="188"/>
      <c r="I239" s="188"/>
      <c r="J239" s="188"/>
      <c r="K239" s="188">
        <f>$K$236*(1-Q239)</f>
        <v>4.9699999999999994E-2</v>
      </c>
      <c r="L239" s="188"/>
      <c r="M239" s="204"/>
      <c r="N239" s="204">
        <f>ROUND((C239*K239),2)</f>
        <v>0</v>
      </c>
      <c r="O239" s="189">
        <f>M239+N239</f>
        <v>0</v>
      </c>
      <c r="P239" s="205"/>
      <c r="Q239" s="165">
        <v>0.65</v>
      </c>
      <c r="S239" s="1"/>
      <c r="T239" s="202">
        <f>IF($K$12=$B$275,(J126*($K$14)/($K$14+$L$14)),0)+IF($L$12=$B$275,(J126*($L$14)/($K$14+$L$14)),0)</f>
        <v>0</v>
      </c>
      <c r="U239" s="203"/>
      <c r="V239" s="203"/>
      <c r="W239" s="203"/>
      <c r="X239" s="188"/>
      <c r="Y239" s="188"/>
      <c r="Z239" s="188"/>
      <c r="AA239" s="188"/>
      <c r="AB239" s="188">
        <f>$K$236*(1-AH239)</f>
        <v>4.9699999999999994E-2</v>
      </c>
      <c r="AC239" s="188"/>
      <c r="AD239" s="204"/>
      <c r="AE239" s="204">
        <f>ROUND((T239*AB239),2)</f>
        <v>0</v>
      </c>
      <c r="AF239" s="189">
        <f>AD239+AE239</f>
        <v>0</v>
      </c>
      <c r="AG239" s="205"/>
      <c r="AH239" s="165">
        <v>0.65</v>
      </c>
    </row>
    <row r="240" spans="2:34" x14ac:dyDescent="0.3">
      <c r="B240" s="1"/>
      <c r="C240" s="202">
        <f>IF($K$12=$B$236,(D117*($K$14)/($K$14+$L$14)),0)+IF($L$12=$B$236,(D117*($L$14)/($K$14+$L$14)),0)</f>
        <v>0</v>
      </c>
      <c r="D240" s="203"/>
      <c r="E240" s="203"/>
      <c r="F240" s="203"/>
      <c r="G240" s="188"/>
      <c r="H240" s="188"/>
      <c r="I240" s="188"/>
      <c r="J240" s="188"/>
      <c r="K240" s="188">
        <f>$K$236*(1-Q240)</f>
        <v>8.5199999999999984E-2</v>
      </c>
      <c r="L240" s="188"/>
      <c r="M240" s="204"/>
      <c r="N240" s="204">
        <f>ROUND((C240*K240),2)</f>
        <v>0</v>
      </c>
      <c r="O240" s="189">
        <f>M240+N240</f>
        <v>0</v>
      </c>
      <c r="P240" s="205"/>
      <c r="Q240" s="165">
        <v>0.4</v>
      </c>
      <c r="S240" s="1"/>
      <c r="T240" s="202">
        <f>IF($K$12=$B$275,(J127*($K$14)/($K$14+$L$14)),0)+IF($L$12=$B$275,(J127*($L$14)/($K$14+$L$14)),0)</f>
        <v>0</v>
      </c>
      <c r="U240" s="203"/>
      <c r="V240" s="203"/>
      <c r="W240" s="203"/>
      <c r="X240" s="188"/>
      <c r="Y240" s="188"/>
      <c r="Z240" s="188"/>
      <c r="AA240" s="188"/>
      <c r="AB240" s="188">
        <f>$K$236*(1-AH240)</f>
        <v>8.5199999999999984E-2</v>
      </c>
      <c r="AC240" s="188"/>
      <c r="AD240" s="204"/>
      <c r="AE240" s="204">
        <f>ROUND((T240*AB240),2)</f>
        <v>0</v>
      </c>
      <c r="AF240" s="189">
        <f>AD240+AE240</f>
        <v>0</v>
      </c>
      <c r="AG240" s="205"/>
      <c r="AH240" s="165">
        <v>0.4</v>
      </c>
    </row>
    <row r="241" spans="2:34" x14ac:dyDescent="0.3">
      <c r="B241" s="1"/>
      <c r="C241" s="202">
        <f>IF($K$12=$B$236,(D118*($K$14)/($K$14+$L$14)),0)+IF($L$12=$B$236,(D118*($L$14)/($K$14+$L$14)),0)</f>
        <v>0</v>
      </c>
      <c r="D241" s="203"/>
      <c r="E241" s="203"/>
      <c r="F241" s="203"/>
      <c r="G241" s="188"/>
      <c r="H241" s="188"/>
      <c r="I241" s="188"/>
      <c r="J241" s="188"/>
      <c r="K241" s="188">
        <f>$K$236*(1-Q241)</f>
        <v>0.1278</v>
      </c>
      <c r="L241" s="188"/>
      <c r="M241" s="204"/>
      <c r="N241" s="204">
        <f>ROUND((C241*K241),2)</f>
        <v>0</v>
      </c>
      <c r="O241" s="189">
        <f>M241+N241</f>
        <v>0</v>
      </c>
      <c r="P241" s="205"/>
      <c r="Q241" s="165">
        <v>0.1</v>
      </c>
      <c r="S241" s="1"/>
      <c r="T241" s="202">
        <f>IF($K$12=$B$275,(J128*($K$14)/($K$14+$L$14)),0)+IF($L$12=$B$275,(J128*($L$14)/($K$14+$L$14)),0)</f>
        <v>0</v>
      </c>
      <c r="U241" s="203"/>
      <c r="V241" s="203"/>
      <c r="W241" s="203"/>
      <c r="X241" s="188"/>
      <c r="Y241" s="188"/>
      <c r="Z241" s="188"/>
      <c r="AA241" s="188"/>
      <c r="AB241" s="188">
        <f>$K$236*(1-AH241)</f>
        <v>0.1278</v>
      </c>
      <c r="AC241" s="188"/>
      <c r="AD241" s="204"/>
      <c r="AE241" s="204">
        <f>ROUND((T241*AB241),2)</f>
        <v>0</v>
      </c>
      <c r="AF241" s="189">
        <f>AD241+AE241</f>
        <v>0</v>
      </c>
      <c r="AG241" s="205"/>
      <c r="AH241" s="165">
        <v>0.1</v>
      </c>
    </row>
    <row r="242" spans="2:34" x14ac:dyDescent="0.3">
      <c r="B242" s="1"/>
      <c r="C242" s="202">
        <f>IF($K$12=$B$236,(D119*($K$14)/($K$14+$L$14)),0)+IF($L$12=$B$236,(D119*($L$14)/($K$14+$L$14)),0)</f>
        <v>0</v>
      </c>
      <c r="D242" s="203"/>
      <c r="E242" s="203"/>
      <c r="F242" s="203"/>
      <c r="G242" s="188"/>
      <c r="H242" s="188"/>
      <c r="I242" s="188"/>
      <c r="J242" s="188"/>
      <c r="K242" s="188">
        <f>$K$236*(1-Q242)</f>
        <v>0.14199999999999999</v>
      </c>
      <c r="L242" s="188"/>
      <c r="M242" s="204"/>
      <c r="N242" s="204">
        <f>ROUND((C242*K242),2)</f>
        <v>0</v>
      </c>
      <c r="O242" s="189">
        <f>M242+N242</f>
        <v>0</v>
      </c>
      <c r="P242" s="205"/>
      <c r="Q242" s="165">
        <v>0</v>
      </c>
      <c r="S242" s="1"/>
      <c r="T242" s="202">
        <f>IF($K$12=$B$275,(J129*($K$14)/($K$14+$L$14)),0)+IF($L$12=$B$275,(J129*($L$14)/($K$14+$L$14)),0)</f>
        <v>0</v>
      </c>
      <c r="U242" s="203"/>
      <c r="V242" s="203"/>
      <c r="W242" s="203"/>
      <c r="X242" s="188"/>
      <c r="Y242" s="188"/>
      <c r="Z242" s="188"/>
      <c r="AA242" s="188"/>
      <c r="AB242" s="188">
        <f>$K$236*(1-AH242)</f>
        <v>0.14199999999999999</v>
      </c>
      <c r="AC242" s="188"/>
      <c r="AD242" s="204"/>
      <c r="AE242" s="204">
        <f>ROUND((T242*AB242),2)</f>
        <v>0</v>
      </c>
      <c r="AF242" s="189">
        <f>AD242+AE242</f>
        <v>0</v>
      </c>
      <c r="AG242" s="205"/>
      <c r="AH242" s="165">
        <v>0</v>
      </c>
    </row>
    <row r="243" spans="2:34" x14ac:dyDescent="0.3">
      <c r="B243" s="1"/>
      <c r="C243" s="206" t="s">
        <v>135</v>
      </c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8"/>
      <c r="O243" s="209">
        <f>SUM(O239:O242)</f>
        <v>0</v>
      </c>
      <c r="P243" s="1"/>
      <c r="Q243" s="1"/>
      <c r="S243" s="1"/>
      <c r="T243" s="206" t="s">
        <v>135</v>
      </c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8"/>
      <c r="AF243" s="209">
        <f>SUM(AF239:AF242)</f>
        <v>0</v>
      </c>
      <c r="AG243" s="1"/>
      <c r="AH243" s="1"/>
    </row>
    <row r="247" spans="2:34" x14ac:dyDescent="0.3">
      <c r="B247" s="1" t="s">
        <v>147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2:34" x14ac:dyDescent="0.3">
      <c r="B248" s="102" t="s">
        <v>14</v>
      </c>
      <c r="C248" s="102"/>
      <c r="D248" s="102"/>
      <c r="E248" s="102"/>
      <c r="F248" s="102"/>
      <c r="G248" s="102"/>
      <c r="H248" s="113"/>
      <c r="I248" s="113"/>
      <c r="J248" s="114"/>
      <c r="K248" s="199">
        <f>K209</f>
        <v>1.8849999999999999E-2</v>
      </c>
      <c r="L248" s="200"/>
      <c r="M248" s="103"/>
      <c r="N248" s="103"/>
      <c r="O248" s="115"/>
      <c r="P248" s="1"/>
      <c r="Q248" s="1"/>
    </row>
    <row r="249" spans="2:34" x14ac:dyDescent="0.3">
      <c r="B249" s="1"/>
      <c r="C249" s="369" t="s">
        <v>129</v>
      </c>
      <c r="D249" s="496"/>
      <c r="E249" s="497"/>
      <c r="F249" s="370"/>
      <c r="G249" s="496"/>
      <c r="H249" s="497"/>
      <c r="I249" s="370"/>
      <c r="J249" s="496" t="s">
        <v>130</v>
      </c>
      <c r="K249" s="497"/>
      <c r="L249" s="370"/>
      <c r="M249" s="496" t="s">
        <v>131</v>
      </c>
      <c r="N249" s="497"/>
      <c r="O249" s="371" t="s">
        <v>132</v>
      </c>
      <c r="P249" s="1"/>
      <c r="Q249" s="46"/>
    </row>
    <row r="250" spans="2:34" x14ac:dyDescent="0.3">
      <c r="B250" s="1"/>
      <c r="C250" s="372" t="s">
        <v>133</v>
      </c>
      <c r="D250" s="372"/>
      <c r="E250" s="372"/>
      <c r="F250" s="372"/>
      <c r="G250" s="372"/>
      <c r="H250" s="372"/>
      <c r="I250" s="372"/>
      <c r="J250" s="372"/>
      <c r="K250" s="372" t="s">
        <v>9</v>
      </c>
      <c r="L250" s="372"/>
      <c r="M250" s="372" t="s">
        <v>33</v>
      </c>
      <c r="N250" s="372" t="s">
        <v>9</v>
      </c>
      <c r="O250" s="372" t="s">
        <v>134</v>
      </c>
      <c r="P250" s="1"/>
    </row>
    <row r="251" spans="2:34" x14ac:dyDescent="0.3">
      <c r="B251" s="1"/>
      <c r="C251" s="202">
        <f>IF($K$12=$B$248,(D126*($K$14)/($K$14+$L$14)),0)+IF($L$12=$B$248,(D126*($L$14)/($K$14+$L$14)),0)</f>
        <v>0</v>
      </c>
      <c r="D251" s="203"/>
      <c r="E251" s="203"/>
      <c r="F251" s="203"/>
      <c r="G251" s="188"/>
      <c r="H251" s="188"/>
      <c r="I251" s="188"/>
      <c r="J251" s="188"/>
      <c r="K251" s="188">
        <f>$K$248*(1-Q251)</f>
        <v>6.5974999999999992E-3</v>
      </c>
      <c r="L251" s="188"/>
      <c r="M251" s="204"/>
      <c r="N251" s="204">
        <f>ROUND((C251*K251),2)</f>
        <v>0</v>
      </c>
      <c r="O251" s="189">
        <f>M251+N251</f>
        <v>0</v>
      </c>
      <c r="P251" s="205"/>
      <c r="Q251" s="165">
        <v>0.65</v>
      </c>
    </row>
    <row r="252" spans="2:34" x14ac:dyDescent="0.3">
      <c r="B252" s="1"/>
      <c r="C252" s="202">
        <f>IF($K$12=$B$248,(D127*($K$14)/($K$14+$L$14)),0)+IF($L$12=$B$248,(D127*($L$14)/($K$14+$L$14)),0)</f>
        <v>0</v>
      </c>
      <c r="D252" s="203"/>
      <c r="E252" s="203"/>
      <c r="F252" s="203"/>
      <c r="G252" s="188"/>
      <c r="H252" s="188"/>
      <c r="I252" s="188"/>
      <c r="J252" s="188"/>
      <c r="K252" s="188">
        <f>$K$248*(1-Q252)</f>
        <v>1.1309999999999999E-2</v>
      </c>
      <c r="L252" s="188"/>
      <c r="M252" s="204"/>
      <c r="N252" s="204">
        <f>ROUND((C252*K252),2)</f>
        <v>0</v>
      </c>
      <c r="O252" s="189">
        <f>M252+N252</f>
        <v>0</v>
      </c>
      <c r="P252" s="205"/>
      <c r="Q252" s="165">
        <v>0.4</v>
      </c>
    </row>
    <row r="253" spans="2:34" x14ac:dyDescent="0.3">
      <c r="B253" s="1"/>
      <c r="C253" s="202">
        <f>IF($K$12=$B$248,(D128*($K$14)/($K$14+$L$14)),0)+IF($L$12=$B$248,(D128*($L$14)/($K$14+$L$14)),0)</f>
        <v>0</v>
      </c>
      <c r="D253" s="203"/>
      <c r="E253" s="203"/>
      <c r="F253" s="203"/>
      <c r="G253" s="188"/>
      <c r="H253" s="188"/>
      <c r="I253" s="188"/>
      <c r="J253" s="188"/>
      <c r="K253" s="188">
        <f>$K$248*(1-Q253)</f>
        <v>1.6965000000000001E-2</v>
      </c>
      <c r="L253" s="188"/>
      <c r="M253" s="204"/>
      <c r="N253" s="204">
        <f>ROUND((C253*K253),2)</f>
        <v>0</v>
      </c>
      <c r="O253" s="189">
        <f>M253+N253</f>
        <v>0</v>
      </c>
      <c r="P253" s="205"/>
      <c r="Q253" s="165">
        <v>0.1</v>
      </c>
    </row>
    <row r="254" spans="2:34" x14ac:dyDescent="0.3">
      <c r="B254" s="1"/>
      <c r="C254" s="202">
        <f>IF($K$12=$B$248,(D129*($K$14)/($K$14+$L$14)),0)+IF($L$12=$B$248,(D129*($L$14)/($K$14+$L$14)),0)</f>
        <v>0</v>
      </c>
      <c r="D254" s="203"/>
      <c r="E254" s="203"/>
      <c r="F254" s="203"/>
      <c r="G254" s="188"/>
      <c r="H254" s="188"/>
      <c r="I254" s="188"/>
      <c r="J254" s="188"/>
      <c r="K254" s="188">
        <f>$K$248*(1-Q254)</f>
        <v>1.8849999999999999E-2</v>
      </c>
      <c r="L254" s="188"/>
      <c r="M254" s="204"/>
      <c r="N254" s="204">
        <f>ROUND((C254*K254),2)</f>
        <v>0</v>
      </c>
      <c r="O254" s="189">
        <f>M254+N254</f>
        <v>0</v>
      </c>
      <c r="P254" s="205"/>
      <c r="Q254" s="165">
        <v>0</v>
      </c>
    </row>
    <row r="255" spans="2:34" x14ac:dyDescent="0.3">
      <c r="B255" s="1"/>
      <c r="C255" s="206" t="s">
        <v>135</v>
      </c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8"/>
      <c r="O255" s="209">
        <f>SUM(O251:O254)</f>
        <v>0</v>
      </c>
      <c r="P255" s="1"/>
      <c r="Q255" s="1"/>
    </row>
    <row r="256" spans="2:34" x14ac:dyDescent="0.3">
      <c r="B256" s="102"/>
      <c r="C256" s="102"/>
      <c r="D256" s="102"/>
      <c r="E256" s="102"/>
      <c r="F256" s="102"/>
      <c r="G256" s="102"/>
      <c r="H256" s="113"/>
      <c r="I256" s="113"/>
      <c r="J256" s="114"/>
      <c r="K256" s="114"/>
      <c r="L256" s="114"/>
      <c r="M256" s="103"/>
      <c r="N256" s="103"/>
      <c r="O256" s="210"/>
      <c r="P256" s="1"/>
      <c r="Q256" s="1"/>
    </row>
    <row r="257" spans="2:17" x14ac:dyDescent="0.3">
      <c r="B257" s="102" t="s">
        <v>15</v>
      </c>
      <c r="C257" s="102"/>
      <c r="D257" s="102"/>
      <c r="E257" s="102"/>
      <c r="F257" s="102"/>
      <c r="G257" s="102"/>
      <c r="H257" s="113"/>
      <c r="I257" s="113"/>
      <c r="J257" s="114"/>
      <c r="K257" s="199">
        <f>K218</f>
        <v>4.4630000000000003E-2</v>
      </c>
      <c r="L257" s="200"/>
      <c r="M257" s="103"/>
      <c r="N257" s="103"/>
      <c r="O257" s="115"/>
      <c r="P257" s="1"/>
      <c r="Q257" s="1"/>
    </row>
    <row r="258" spans="2:17" x14ac:dyDescent="0.3">
      <c r="B258" s="1"/>
      <c r="C258" s="369" t="s">
        <v>129</v>
      </c>
      <c r="D258" s="496"/>
      <c r="E258" s="497"/>
      <c r="F258" s="370"/>
      <c r="G258" s="496"/>
      <c r="H258" s="497"/>
      <c r="I258" s="370"/>
      <c r="J258" s="496" t="s">
        <v>32</v>
      </c>
      <c r="K258" s="497"/>
      <c r="L258" s="370"/>
      <c r="M258" s="496" t="s">
        <v>131</v>
      </c>
      <c r="N258" s="497"/>
      <c r="O258" s="371" t="s">
        <v>132</v>
      </c>
      <c r="P258" s="1"/>
      <c r="Q258" s="46"/>
    </row>
    <row r="259" spans="2:17" x14ac:dyDescent="0.3">
      <c r="B259" s="1"/>
      <c r="C259" s="372" t="s">
        <v>133</v>
      </c>
      <c r="D259" s="372"/>
      <c r="E259" s="372"/>
      <c r="F259" s="372"/>
      <c r="G259" s="372" t="s">
        <v>33</v>
      </c>
      <c r="H259" s="372" t="s">
        <v>9</v>
      </c>
      <c r="I259" s="372"/>
      <c r="J259" s="372" t="s">
        <v>33</v>
      </c>
      <c r="K259" s="372" t="s">
        <v>9</v>
      </c>
      <c r="L259" s="372"/>
      <c r="M259" s="372" t="s">
        <v>33</v>
      </c>
      <c r="N259" s="372" t="s">
        <v>9</v>
      </c>
      <c r="O259" s="372" t="s">
        <v>134</v>
      </c>
      <c r="P259" s="1"/>
    </row>
    <row r="260" spans="2:17" x14ac:dyDescent="0.3">
      <c r="B260" s="1"/>
      <c r="C260" s="202">
        <f>IF($K$12=$B$257,(D126*($K$14)/($K$14+$L$14)),0)+IF($L$12=$B$257,(D126*($L$14)/($K$14+$L$14)),0)</f>
        <v>-10.344827586206897</v>
      </c>
      <c r="D260" s="203"/>
      <c r="E260" s="203"/>
      <c r="F260" s="203"/>
      <c r="G260" s="188"/>
      <c r="H260" s="188"/>
      <c r="I260" s="188"/>
      <c r="J260" s="188"/>
      <c r="K260" s="188">
        <f>$K$257*(1-Q260)</f>
        <v>1.5620500000000001E-2</v>
      </c>
      <c r="L260" s="188"/>
      <c r="M260" s="204"/>
      <c r="N260" s="204">
        <f>ROUND((C260*K260),2)</f>
        <v>-0.16</v>
      </c>
      <c r="O260" s="189">
        <f>M260+N260</f>
        <v>-0.16</v>
      </c>
      <c r="P260" s="205"/>
      <c r="Q260" s="165">
        <v>0.65</v>
      </c>
    </row>
    <row r="261" spans="2:17" x14ac:dyDescent="0.3">
      <c r="B261" s="1"/>
      <c r="C261" s="202">
        <f>IF($K$12=$B$257,(D127*($K$14)/($K$14+$L$14)),0)+IF($L$12=$B$257,(D127*($L$14)/($K$14+$L$14)),0)</f>
        <v>-24.137931034482758</v>
      </c>
      <c r="D261" s="203"/>
      <c r="E261" s="203"/>
      <c r="F261" s="203"/>
      <c r="G261" s="188"/>
      <c r="H261" s="188"/>
      <c r="I261" s="188"/>
      <c r="J261" s="188"/>
      <c r="K261" s="188">
        <f>$K$257*(1-Q261)</f>
        <v>2.6778E-2</v>
      </c>
      <c r="L261" s="188"/>
      <c r="M261" s="204"/>
      <c r="N261" s="204">
        <f>ROUND((C261*K261),2)</f>
        <v>-0.65</v>
      </c>
      <c r="O261" s="189">
        <f>M261+N261</f>
        <v>-0.65</v>
      </c>
      <c r="P261" s="205"/>
      <c r="Q261" s="165">
        <v>0.4</v>
      </c>
    </row>
    <row r="262" spans="2:17" x14ac:dyDescent="0.3">
      <c r="B262" s="1"/>
      <c r="C262" s="202">
        <f>IF($K$12=$B$257,(D128*($K$14)/($K$14+$L$14)),0)+IF($L$12=$B$257,(D128*($L$14)/($K$14+$L$14)),0)</f>
        <v>-41.379310344827587</v>
      </c>
      <c r="D262" s="203"/>
      <c r="E262" s="203"/>
      <c r="F262" s="203"/>
      <c r="G262" s="188"/>
      <c r="H262" s="188"/>
      <c r="I262" s="188"/>
      <c r="J262" s="188"/>
      <c r="K262" s="188">
        <f>$K$257*(1-Q262)</f>
        <v>4.0167000000000001E-2</v>
      </c>
      <c r="L262" s="188"/>
      <c r="M262" s="204"/>
      <c r="N262" s="204">
        <f>ROUND((C262*K262),2)</f>
        <v>-1.66</v>
      </c>
      <c r="O262" s="189">
        <f>M262+N262</f>
        <v>-1.66</v>
      </c>
      <c r="P262" s="205"/>
      <c r="Q262" s="165">
        <v>0.1</v>
      </c>
    </row>
    <row r="263" spans="2:17" x14ac:dyDescent="0.3">
      <c r="B263" s="1"/>
      <c r="C263" s="202">
        <f>IF($K$12=$B$257,(D129*($K$14)/($K$14+$L$14)),0)+IF($L$12=$B$257,(D129*($L$14)/($K$14+$L$14)),0)</f>
        <v>-0.34482758620689657</v>
      </c>
      <c r="D263" s="203"/>
      <c r="E263" s="203"/>
      <c r="F263" s="203"/>
      <c r="G263" s="188"/>
      <c r="H263" s="188"/>
      <c r="I263" s="188"/>
      <c r="J263" s="188"/>
      <c r="K263" s="188">
        <f>$K$257*(1-Q263)</f>
        <v>4.4630000000000003E-2</v>
      </c>
      <c r="L263" s="188"/>
      <c r="M263" s="204"/>
      <c r="N263" s="204">
        <f>ROUND((C263*K263),2)</f>
        <v>-0.02</v>
      </c>
      <c r="O263" s="189">
        <f>M263+N263</f>
        <v>-0.02</v>
      </c>
      <c r="P263" s="205"/>
      <c r="Q263" s="165">
        <v>0</v>
      </c>
    </row>
    <row r="264" spans="2:17" x14ac:dyDescent="0.3">
      <c r="B264" s="1"/>
      <c r="C264" s="206" t="s">
        <v>135</v>
      </c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8"/>
      <c r="O264" s="209">
        <f>SUM(O260:O263)</f>
        <v>-2.4899999999999998</v>
      </c>
      <c r="P264" s="1"/>
      <c r="Q264" s="1"/>
    </row>
    <row r="265" spans="2:17" x14ac:dyDescent="0.3">
      <c r="B265" s="102"/>
      <c r="C265" s="102"/>
      <c r="D265" s="102"/>
      <c r="E265" s="102"/>
      <c r="F265" s="102"/>
      <c r="G265" s="102"/>
      <c r="H265" s="113"/>
      <c r="I265" s="113"/>
      <c r="J265" s="114"/>
      <c r="K265" s="114"/>
      <c r="L265" s="114"/>
      <c r="M265" s="103"/>
      <c r="N265" s="103"/>
      <c r="O265" s="115"/>
      <c r="P265" s="1"/>
      <c r="Q265" s="1"/>
    </row>
    <row r="266" spans="2:17" x14ac:dyDescent="0.3">
      <c r="B266" s="102" t="s">
        <v>16</v>
      </c>
      <c r="C266" s="102"/>
      <c r="D266" s="102"/>
      <c r="E266" s="102"/>
      <c r="F266" s="102"/>
      <c r="G266" s="102"/>
      <c r="H266" s="113"/>
      <c r="I266" s="113"/>
      <c r="J266" s="114"/>
      <c r="K266" s="199">
        <f>K227</f>
        <v>7.8770000000000007E-2</v>
      </c>
      <c r="L266" s="200"/>
      <c r="M266" s="103"/>
      <c r="N266" s="103"/>
      <c r="O266" s="115"/>
      <c r="P266" s="1"/>
      <c r="Q266" s="1"/>
    </row>
    <row r="267" spans="2:17" x14ac:dyDescent="0.3">
      <c r="B267" s="1"/>
      <c r="C267" s="369" t="s">
        <v>129</v>
      </c>
      <c r="D267" s="496"/>
      <c r="E267" s="497"/>
      <c r="F267" s="370"/>
      <c r="G267" s="496"/>
      <c r="H267" s="497"/>
      <c r="I267" s="370"/>
      <c r="J267" s="496" t="s">
        <v>32</v>
      </c>
      <c r="K267" s="497"/>
      <c r="L267" s="370"/>
      <c r="M267" s="496" t="s">
        <v>131</v>
      </c>
      <c r="N267" s="497"/>
      <c r="O267" s="371" t="s">
        <v>132</v>
      </c>
      <c r="P267" s="1"/>
      <c r="Q267" s="46"/>
    </row>
    <row r="268" spans="2:17" x14ac:dyDescent="0.3">
      <c r="B268" s="1"/>
      <c r="C268" s="372" t="s">
        <v>133</v>
      </c>
      <c r="D268" s="372"/>
      <c r="E268" s="372"/>
      <c r="F268" s="372"/>
      <c r="G268" s="372" t="s">
        <v>33</v>
      </c>
      <c r="H268" s="372" t="s">
        <v>9</v>
      </c>
      <c r="I268" s="372"/>
      <c r="J268" s="372" t="s">
        <v>33</v>
      </c>
      <c r="K268" s="372" t="s">
        <v>9</v>
      </c>
      <c r="L268" s="372"/>
      <c r="M268" s="372" t="s">
        <v>33</v>
      </c>
      <c r="N268" s="372" t="s">
        <v>9</v>
      </c>
      <c r="O268" s="372" t="s">
        <v>134</v>
      </c>
      <c r="P268" s="1"/>
    </row>
    <row r="269" spans="2:17" x14ac:dyDescent="0.3">
      <c r="B269" s="1"/>
      <c r="C269" s="202">
        <f>IF($K$12=$B$266,(D126*($K$14)/($K$14+$L$14)),0)+IF($L$12=$B$266,(D126*($L$14)/($K$14+$L$14)),0)</f>
        <v>-19.655172413793103</v>
      </c>
      <c r="D269" s="203"/>
      <c r="E269" s="203"/>
      <c r="F269" s="203"/>
      <c r="G269" s="188"/>
      <c r="H269" s="188"/>
      <c r="I269" s="188"/>
      <c r="J269" s="188"/>
      <c r="K269" s="188">
        <f>$K$266*(1-Q269)</f>
        <v>2.75695E-2</v>
      </c>
      <c r="L269" s="188"/>
      <c r="M269" s="204"/>
      <c r="N269" s="204">
        <f>ROUND((C269*K269),2)</f>
        <v>-0.54</v>
      </c>
      <c r="O269" s="189">
        <f>M269+N269</f>
        <v>-0.54</v>
      </c>
      <c r="P269" s="205"/>
      <c r="Q269" s="165">
        <v>0.65</v>
      </c>
    </row>
    <row r="270" spans="2:17" x14ac:dyDescent="0.3">
      <c r="B270" s="1"/>
      <c r="C270" s="202">
        <f>IF($K$12=$B$266,(D127*($K$14)/($K$14+$L$14)),0)+IF($L$12=$B$266,(D127*($L$14)/($K$14+$L$14)),0)</f>
        <v>-45.862068965517238</v>
      </c>
      <c r="D270" s="203"/>
      <c r="E270" s="203"/>
      <c r="F270" s="203"/>
      <c r="G270" s="188"/>
      <c r="H270" s="188"/>
      <c r="I270" s="188"/>
      <c r="J270" s="188"/>
      <c r="K270" s="188">
        <f>$K$266*(1-Q270)</f>
        <v>4.7262000000000005E-2</v>
      </c>
      <c r="L270" s="188"/>
      <c r="M270" s="204"/>
      <c r="N270" s="204">
        <f>ROUND((C270*K270),2)</f>
        <v>-2.17</v>
      </c>
      <c r="O270" s="189">
        <f>M270+N270</f>
        <v>-2.17</v>
      </c>
      <c r="P270" s="205"/>
      <c r="Q270" s="165">
        <v>0.4</v>
      </c>
    </row>
    <row r="271" spans="2:17" x14ac:dyDescent="0.3">
      <c r="B271" s="1"/>
      <c r="C271" s="202">
        <f>IF($K$12=$B$266,(D128*($K$14)/($K$14+$L$14)),0)+IF($L$12=$B$266,(D128*($L$14)/($K$14+$L$14)),0)</f>
        <v>-78.620689655172413</v>
      </c>
      <c r="D271" s="203"/>
      <c r="E271" s="203"/>
      <c r="F271" s="203"/>
      <c r="G271" s="188"/>
      <c r="H271" s="188"/>
      <c r="I271" s="188"/>
      <c r="J271" s="188"/>
      <c r="K271" s="188">
        <f>$K$266*(1-Q271)</f>
        <v>7.0893000000000012E-2</v>
      </c>
      <c r="L271" s="188"/>
      <c r="M271" s="204"/>
      <c r="N271" s="204">
        <f>ROUND((C271*K271),2)</f>
        <v>-5.57</v>
      </c>
      <c r="O271" s="189">
        <f>M271+N271</f>
        <v>-5.57</v>
      </c>
      <c r="P271" s="205"/>
      <c r="Q271" s="165">
        <v>0.1</v>
      </c>
    </row>
    <row r="272" spans="2:17" x14ac:dyDescent="0.3">
      <c r="B272" s="1"/>
      <c r="C272" s="202">
        <f>IF($K$12=$B$266,(D129*($K$14)/($K$14+$L$14)),0)+IF($L$12=$B$266,(D129*($L$14)/($K$14+$L$14)),0)</f>
        <v>-0.65517241379310343</v>
      </c>
      <c r="D272" s="203"/>
      <c r="E272" s="203"/>
      <c r="F272" s="203"/>
      <c r="G272" s="188"/>
      <c r="H272" s="188"/>
      <c r="I272" s="188"/>
      <c r="J272" s="188"/>
      <c r="K272" s="188">
        <f>$K$266*(1-Q272)</f>
        <v>7.8770000000000007E-2</v>
      </c>
      <c r="L272" s="188"/>
      <c r="M272" s="204"/>
      <c r="N272" s="204">
        <f>ROUND((C272*K272),2)</f>
        <v>-0.05</v>
      </c>
      <c r="O272" s="189">
        <f>M272+N272</f>
        <v>-0.05</v>
      </c>
      <c r="P272" s="205"/>
      <c r="Q272" s="165">
        <v>0</v>
      </c>
    </row>
    <row r="273" spans="2:17" x14ac:dyDescent="0.3">
      <c r="B273" s="1"/>
      <c r="C273" s="206" t="s">
        <v>135</v>
      </c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8"/>
      <c r="O273" s="209">
        <f>SUM(O269:O272)</f>
        <v>-8.3300000000000018</v>
      </c>
      <c r="P273" s="1"/>
      <c r="Q273" s="1"/>
    </row>
    <row r="274" spans="2:17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2:17" x14ac:dyDescent="0.3">
      <c r="B275" s="1" t="s">
        <v>17</v>
      </c>
      <c r="C275" s="102"/>
      <c r="D275" s="102"/>
      <c r="E275" s="102"/>
      <c r="F275" s="102"/>
      <c r="G275" s="102"/>
      <c r="H275" s="113"/>
      <c r="I275" s="113"/>
      <c r="J275" s="114"/>
      <c r="K275" s="199">
        <f>K236</f>
        <v>0.14199999999999999</v>
      </c>
      <c r="L275" s="200"/>
      <c r="M275" s="103"/>
      <c r="N275" s="103"/>
      <c r="O275" s="115"/>
      <c r="P275" s="1"/>
      <c r="Q275" s="1"/>
    </row>
    <row r="276" spans="2:17" x14ac:dyDescent="0.3">
      <c r="B276" s="1"/>
      <c r="C276" s="369" t="s">
        <v>129</v>
      </c>
      <c r="D276" s="496"/>
      <c r="E276" s="497"/>
      <c r="F276" s="370"/>
      <c r="G276" s="496"/>
      <c r="H276" s="497"/>
      <c r="I276" s="370"/>
      <c r="J276" s="496" t="s">
        <v>32</v>
      </c>
      <c r="K276" s="497"/>
      <c r="L276" s="370"/>
      <c r="M276" s="496" t="s">
        <v>131</v>
      </c>
      <c r="N276" s="497"/>
      <c r="O276" s="371" t="s">
        <v>132</v>
      </c>
      <c r="P276" s="1"/>
      <c r="Q276" s="46"/>
    </row>
    <row r="277" spans="2:17" x14ac:dyDescent="0.3">
      <c r="B277" s="1"/>
      <c r="C277" s="372" t="s">
        <v>133</v>
      </c>
      <c r="D277" s="372"/>
      <c r="E277" s="372"/>
      <c r="F277" s="372"/>
      <c r="G277" s="372" t="s">
        <v>33</v>
      </c>
      <c r="H277" s="372" t="s">
        <v>9</v>
      </c>
      <c r="I277" s="372"/>
      <c r="J277" s="372" t="s">
        <v>33</v>
      </c>
      <c r="K277" s="372" t="s">
        <v>9</v>
      </c>
      <c r="L277" s="372"/>
      <c r="M277" s="372" t="s">
        <v>33</v>
      </c>
      <c r="N277" s="372" t="s">
        <v>9</v>
      </c>
      <c r="O277" s="372" t="s">
        <v>134</v>
      </c>
      <c r="P277" s="1"/>
    </row>
    <row r="278" spans="2:17" x14ac:dyDescent="0.3">
      <c r="B278" s="1"/>
      <c r="C278" s="202">
        <f>IF($K$12=$B$275,(D126*($K$14)/($K$14+$L$14)),0)+IF($L$12=$B$275,(D126*($L$14)/($K$14+$L$14)),0)</f>
        <v>0</v>
      </c>
      <c r="D278" s="203"/>
      <c r="E278" s="203"/>
      <c r="F278" s="203"/>
      <c r="G278" s="188"/>
      <c r="H278" s="188"/>
      <c r="I278" s="188"/>
      <c r="J278" s="188"/>
      <c r="K278" s="188">
        <f>$K$275*(1-Q278)</f>
        <v>4.9699999999999994E-2</v>
      </c>
      <c r="L278" s="188"/>
      <c r="M278" s="204"/>
      <c r="N278" s="204">
        <f>ROUND((C278*K278),2)</f>
        <v>0</v>
      </c>
      <c r="O278" s="189">
        <f>M278+N278</f>
        <v>0</v>
      </c>
      <c r="P278" s="205"/>
      <c r="Q278" s="165">
        <v>0.65</v>
      </c>
    </row>
    <row r="279" spans="2:17" x14ac:dyDescent="0.3">
      <c r="B279" s="1"/>
      <c r="C279" s="202">
        <f>IF($K$12=$B$275,(D127*($K$14)/($K$14+$L$14)),0)+IF($L$12=$B$275,(D127*($L$14)/($K$14+$L$14)),0)</f>
        <v>0</v>
      </c>
      <c r="D279" s="203"/>
      <c r="E279" s="203"/>
      <c r="F279" s="203"/>
      <c r="G279" s="188"/>
      <c r="H279" s="188"/>
      <c r="I279" s="188"/>
      <c r="J279" s="188"/>
      <c r="K279" s="188">
        <f>$K$275*(1-Q279)</f>
        <v>8.5199999999999984E-2</v>
      </c>
      <c r="L279" s="188"/>
      <c r="M279" s="204"/>
      <c r="N279" s="204">
        <f>ROUND((C279*K279),2)</f>
        <v>0</v>
      </c>
      <c r="O279" s="189">
        <f>M279+N279</f>
        <v>0</v>
      </c>
      <c r="P279" s="205"/>
      <c r="Q279" s="165">
        <v>0.4</v>
      </c>
    </row>
    <row r="280" spans="2:17" x14ac:dyDescent="0.3">
      <c r="B280" s="1"/>
      <c r="C280" s="202">
        <f>IF($K$12=$B$275,(D128*($K$14)/($K$14+$L$14)),0)+IF($L$12=$B$275,(D128*($L$14)/($K$14+$L$14)),0)</f>
        <v>0</v>
      </c>
      <c r="D280" s="203"/>
      <c r="E280" s="203"/>
      <c r="F280" s="203"/>
      <c r="G280" s="188"/>
      <c r="H280" s="188"/>
      <c r="I280" s="188"/>
      <c r="J280" s="188"/>
      <c r="K280" s="188">
        <f>$K$275*(1-Q280)</f>
        <v>0.1278</v>
      </c>
      <c r="L280" s="188"/>
      <c r="M280" s="204"/>
      <c r="N280" s="204">
        <f>ROUND((C280*K280),2)</f>
        <v>0</v>
      </c>
      <c r="O280" s="189">
        <f>M280+N280</f>
        <v>0</v>
      </c>
      <c r="P280" s="205"/>
      <c r="Q280" s="165">
        <v>0.1</v>
      </c>
    </row>
    <row r="281" spans="2:17" x14ac:dyDescent="0.3">
      <c r="B281" s="1"/>
      <c r="C281" s="202">
        <f>IF($K$12=$B$275,(D129*($K$14)/($K$14+$L$14)),0)+IF($L$12=$B$275,(D129*($L$14)/($K$14+$L$14)),0)</f>
        <v>0</v>
      </c>
      <c r="D281" s="203"/>
      <c r="E281" s="203"/>
      <c r="F281" s="203"/>
      <c r="G281" s="188"/>
      <c r="H281" s="188"/>
      <c r="I281" s="188"/>
      <c r="J281" s="188"/>
      <c r="K281" s="188">
        <f>$K$275*(1-Q281)</f>
        <v>0.14199999999999999</v>
      </c>
      <c r="L281" s="188"/>
      <c r="M281" s="204"/>
      <c r="N281" s="204">
        <f>ROUND((C281*K281),2)</f>
        <v>0</v>
      </c>
      <c r="O281" s="189">
        <f>M281+N281</f>
        <v>0</v>
      </c>
      <c r="P281" s="205"/>
      <c r="Q281" s="165">
        <v>0</v>
      </c>
    </row>
    <row r="282" spans="2:17" x14ac:dyDescent="0.3">
      <c r="B282" s="1"/>
      <c r="C282" s="206" t="s">
        <v>135</v>
      </c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8"/>
      <c r="O282" s="209">
        <f>SUM(O278:O281)</f>
        <v>0</v>
      </c>
      <c r="P282" s="1"/>
      <c r="Q282" s="1"/>
    </row>
  </sheetData>
  <mergeCells count="90">
    <mergeCell ref="U4:W4"/>
    <mergeCell ref="X4:Z4"/>
    <mergeCell ref="K11:L11"/>
    <mergeCell ref="B102:H102"/>
    <mergeCell ref="D173:E173"/>
    <mergeCell ref="G173:H173"/>
    <mergeCell ref="J173:K173"/>
    <mergeCell ref="M173:N173"/>
    <mergeCell ref="U173:V173"/>
    <mergeCell ref="X173:Y173"/>
    <mergeCell ref="B4:B5"/>
    <mergeCell ref="C4:E4"/>
    <mergeCell ref="F4:H4"/>
    <mergeCell ref="I4:K4"/>
    <mergeCell ref="Q4:Q5"/>
    <mergeCell ref="R4:T4"/>
    <mergeCell ref="AA173:AB173"/>
    <mergeCell ref="AD173:AE173"/>
    <mergeCell ref="D182:E182"/>
    <mergeCell ref="G182:H182"/>
    <mergeCell ref="J182:K182"/>
    <mergeCell ref="M182:N182"/>
    <mergeCell ref="U182:V182"/>
    <mergeCell ref="X182:Y182"/>
    <mergeCell ref="AA182:AB182"/>
    <mergeCell ref="AD182:AE182"/>
    <mergeCell ref="AA191:AB191"/>
    <mergeCell ref="AD191:AE191"/>
    <mergeCell ref="D200:E200"/>
    <mergeCell ref="G200:H200"/>
    <mergeCell ref="J200:K200"/>
    <mergeCell ref="M200:N200"/>
    <mergeCell ref="U200:V200"/>
    <mergeCell ref="X200:Y200"/>
    <mergeCell ref="AA200:AB200"/>
    <mergeCell ref="AD200:AE200"/>
    <mergeCell ref="D191:E191"/>
    <mergeCell ref="G191:H191"/>
    <mergeCell ref="J191:K191"/>
    <mergeCell ref="M191:N191"/>
    <mergeCell ref="U191:V191"/>
    <mergeCell ref="X191:Y191"/>
    <mergeCell ref="AA210:AB210"/>
    <mergeCell ref="AD210:AE210"/>
    <mergeCell ref="D219:E219"/>
    <mergeCell ref="G219:H219"/>
    <mergeCell ref="J219:K219"/>
    <mergeCell ref="M219:N219"/>
    <mergeCell ref="U219:V219"/>
    <mergeCell ref="X219:Y219"/>
    <mergeCell ref="AA219:AB219"/>
    <mergeCell ref="AD219:AE219"/>
    <mergeCell ref="D210:E210"/>
    <mergeCell ref="G210:H210"/>
    <mergeCell ref="J210:K210"/>
    <mergeCell ref="M210:N210"/>
    <mergeCell ref="U210:V210"/>
    <mergeCell ref="X210:Y210"/>
    <mergeCell ref="AA228:AB228"/>
    <mergeCell ref="AD228:AE228"/>
    <mergeCell ref="D237:E237"/>
    <mergeCell ref="G237:H237"/>
    <mergeCell ref="J237:K237"/>
    <mergeCell ref="M237:N237"/>
    <mergeCell ref="U237:V237"/>
    <mergeCell ref="X237:Y237"/>
    <mergeCell ref="AA237:AB237"/>
    <mergeCell ref="AD237:AE237"/>
    <mergeCell ref="D228:E228"/>
    <mergeCell ref="G228:H228"/>
    <mergeCell ref="J228:K228"/>
    <mergeCell ref="M228:N228"/>
    <mergeCell ref="U228:V228"/>
    <mergeCell ref="X228:Y228"/>
    <mergeCell ref="D249:E249"/>
    <mergeCell ref="G249:H249"/>
    <mergeCell ref="J249:K249"/>
    <mergeCell ref="M249:N249"/>
    <mergeCell ref="D258:E258"/>
    <mergeCell ref="G258:H258"/>
    <mergeCell ref="J258:K258"/>
    <mergeCell ref="M258:N258"/>
    <mergeCell ref="D267:E267"/>
    <mergeCell ref="G267:H267"/>
    <mergeCell ref="J267:K267"/>
    <mergeCell ref="M267:N267"/>
    <mergeCell ref="D276:E276"/>
    <mergeCell ref="G276:H276"/>
    <mergeCell ref="J276:K276"/>
    <mergeCell ref="M276:N276"/>
  </mergeCells>
  <conditionalFormatting sqref="K12:L12">
    <cfRule type="cellIs" dxfId="111" priority="1" operator="equal">
      <formula>"Escassez Hídrica"</formula>
    </cfRule>
    <cfRule type="cellIs" dxfId="110" priority="2" operator="equal">
      <formula>"VERDE"</formula>
    </cfRule>
    <cfRule type="cellIs" dxfId="109" priority="3" operator="equal">
      <formula>"BVM2"</formula>
    </cfRule>
    <cfRule type="cellIs" dxfId="108" priority="4" operator="equal">
      <formula>"BVM1"</formula>
    </cfRule>
    <cfRule type="cellIs" dxfId="107" priority="5" operator="equal">
      <formula>"BAM"</formula>
    </cfRule>
  </conditionalFormatting>
  <conditionalFormatting sqref="M3">
    <cfRule type="cellIs" dxfId="106" priority="11" operator="equal">
      <formula>"VERDE"</formula>
    </cfRule>
    <cfRule type="cellIs" dxfId="105" priority="12" operator="equal">
      <formula>"BVM2"</formula>
    </cfRule>
    <cfRule type="cellIs" dxfId="104" priority="13" operator="equal">
      <formula>"BVM1"</formula>
    </cfRule>
    <cfRule type="cellIs" dxfId="103" priority="14" operator="equal">
      <formula>"BAM"</formula>
    </cfRule>
  </conditionalFormatting>
  <conditionalFormatting sqref="M8">
    <cfRule type="containsText" dxfId="102" priority="6" operator="containsText" text="Escassez Hídrica">
      <formula>NOT(ISERROR(SEARCH("Escassez Hídrica",M8)))</formula>
    </cfRule>
    <cfRule type="cellIs" dxfId="101" priority="7" operator="equal">
      <formula>"VERDE"</formula>
    </cfRule>
    <cfRule type="cellIs" dxfId="100" priority="8" operator="equal">
      <formula>"BVM2"</formula>
    </cfRule>
    <cfRule type="cellIs" dxfId="99" priority="9" operator="equal">
      <formula>"BVM1"</formula>
    </cfRule>
    <cfRule type="cellIs" dxfId="98" priority="10" operator="equal">
      <formula>"BAM"</formula>
    </cfRule>
  </conditionalFormatting>
  <dataValidations count="1">
    <dataValidation type="list" allowBlank="1" showInputMessage="1" showErrorMessage="1" sqref="K12:L12" xr:uid="{DA6E6CAB-ED60-44FF-8911-DACCD6EE7249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E57B-6B8D-459B-BF26-7082B973488A}">
  <dimension ref="A1:Z134"/>
  <sheetViews>
    <sheetView showGridLines="0" tabSelected="1" topLeftCell="B5" zoomScale="80" zoomScaleNormal="80" workbookViewId="0">
      <selection activeCell="T19" sqref="T19"/>
    </sheetView>
  </sheetViews>
  <sheetFormatPr defaultColWidth="9.109375" defaultRowHeight="14.4" x14ac:dyDescent="0.3"/>
  <cols>
    <col min="1" max="1" width="5.44140625" style="19" customWidth="1"/>
    <col min="2" max="2" width="23.6640625" style="19" customWidth="1"/>
    <col min="3" max="10" width="12.6640625" style="19" customWidth="1"/>
    <col min="11" max="12" width="14.33203125" style="19" customWidth="1"/>
    <col min="13" max="16" width="12.6640625" style="19" customWidth="1"/>
    <col min="17" max="17" width="12.33203125" style="19" customWidth="1"/>
    <col min="18" max="18" width="14.6640625" style="19" customWidth="1"/>
    <col min="19" max="19" width="13.109375" style="19" bestFit="1" customWidth="1"/>
    <col min="20" max="20" width="14.33203125" style="19" bestFit="1" customWidth="1"/>
    <col min="21" max="21" width="14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279</v>
      </c>
      <c r="E2" s="20" t="s">
        <v>28</v>
      </c>
      <c r="F2" s="21">
        <v>46241</v>
      </c>
      <c r="G2" s="1" t="s">
        <v>8</v>
      </c>
      <c r="H2" s="450" t="s">
        <v>179</v>
      </c>
      <c r="I2" s="450"/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451" t="s">
        <v>31</v>
      </c>
      <c r="C4" s="453" t="str">
        <f>'Fatura B1 (GD) OK'!C4:E4</f>
        <v>TARIFA ANTIGA - REH 3370/2024</v>
      </c>
      <c r="D4" s="454"/>
      <c r="E4" s="455"/>
      <c r="F4" s="456" t="str">
        <f>'Fatura B1 (GD) OK'!F4</f>
        <v>TARIFA NOVA - REH xxxx/2025</v>
      </c>
      <c r="G4" s="456"/>
      <c r="H4" s="456"/>
      <c r="I4" s="457" t="s">
        <v>32</v>
      </c>
      <c r="J4" s="457"/>
      <c r="K4" s="457"/>
      <c r="M4" s="9" t="s">
        <v>14</v>
      </c>
      <c r="N4" s="10">
        <f>[1]BANDEIRA!$D$5</f>
        <v>1.8849999999999999E-2</v>
      </c>
      <c r="Q4" s="451" t="s">
        <v>31</v>
      </c>
      <c r="R4" s="453" t="str">
        <f>C4</f>
        <v>TARIFA ANTIGA - REH 3370/2024</v>
      </c>
      <c r="S4" s="454"/>
      <c r="T4" s="455"/>
      <c r="U4" s="453" t="str">
        <f>F4</f>
        <v>TARIFA NOVA - REH xxxx/2025</v>
      </c>
      <c r="V4" s="454"/>
      <c r="W4" s="455"/>
      <c r="X4" s="453" t="s">
        <v>32</v>
      </c>
      <c r="Y4" s="454"/>
      <c r="Z4" s="455"/>
    </row>
    <row r="5" spans="1:26" x14ac:dyDescent="0.3">
      <c r="B5" s="452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[1]BANDEIRA!$D$6</f>
        <v>4.4630000000000003E-2</v>
      </c>
      <c r="Q5" s="452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180</v>
      </c>
      <c r="C6" s="31">
        <f>'TABELA DE TARIFAS ANTIGAS'!G68/1000</f>
        <v>0.93761000000000005</v>
      </c>
      <c r="D6" s="31">
        <f>'TABELA DE TARIFAS ANTIGAS'!H68/1000</f>
        <v>0.48448000000000002</v>
      </c>
      <c r="E6" s="31">
        <f t="shared" ref="E6:E8" si="0">C6+D6</f>
        <v>1.4220900000000001</v>
      </c>
      <c r="F6" s="31">
        <f>'TABELA DE TARIFAS NOVAS'!G70/1000</f>
        <v>0.99902000000000002</v>
      </c>
      <c r="G6" s="31">
        <f>'TABELA DE TARIFAS NOVAS'!H70/1000</f>
        <v>0.51690999999999998</v>
      </c>
      <c r="H6" s="31">
        <f t="shared" ref="H6:H9" si="1">F6+G6</f>
        <v>1.51593</v>
      </c>
      <c r="I6" s="31">
        <f t="shared" ref="I6:J9" si="2">((C6*$C$15)+(F6*$D$15))/($D$15+$C$15)</f>
        <v>0.96626800000000002</v>
      </c>
      <c r="J6" s="31">
        <f t="shared" si="2"/>
        <v>0.499614</v>
      </c>
      <c r="K6" s="32">
        <f t="shared" ref="K6:K9" si="3">I6+J6</f>
        <v>1.4658820000000001</v>
      </c>
      <c r="M6" s="13" t="s">
        <v>16</v>
      </c>
      <c r="N6" s="14">
        <f>[1]BANDEIRA!$D$7</f>
        <v>7.8770000000000007E-2</v>
      </c>
      <c r="Q6" s="30" t="str">
        <f>B6</f>
        <v>B1 Ponta</v>
      </c>
      <c r="R6" s="31">
        <f>'FIO B'!H7/1000</f>
        <v>0.59110909360219488</v>
      </c>
      <c r="S6"/>
      <c r="T6"/>
      <c r="U6" s="31">
        <f>'FIO B'!K7/1000</f>
        <v>0.60653961736718698</v>
      </c>
      <c r="V6"/>
      <c r="W6"/>
      <c r="X6" s="31">
        <f>((R6*$C$15)+(U6*$D$15))/($D$15+$C$15)</f>
        <v>0.59831000469252449</v>
      </c>
      <c r="Y6"/>
      <c r="Z6"/>
    </row>
    <row r="7" spans="1:26" customFormat="1" x14ac:dyDescent="0.3">
      <c r="B7" s="30" t="s">
        <v>181</v>
      </c>
      <c r="C7" s="31">
        <f>'TABELA DE TARIFAS ANTIGAS'!G70/1000</f>
        <v>0.36496000000000001</v>
      </c>
      <c r="D7" s="31">
        <f>'TABELA DE TARIFAS ANTIGAS'!H70/1000</f>
        <v>0.30579000000000001</v>
      </c>
      <c r="E7" s="31">
        <f t="shared" si="0"/>
        <v>0.67074999999999996</v>
      </c>
      <c r="F7" s="31">
        <f>'TABELA DE TARIFAS NOVAS'!G72/1000</f>
        <v>0.39741000000000004</v>
      </c>
      <c r="G7" s="31">
        <f>'TABELA DE TARIFAS NOVAS'!H72/1000</f>
        <v>0.32106999999999997</v>
      </c>
      <c r="H7" s="31">
        <f t="shared" si="1"/>
        <v>0.71848000000000001</v>
      </c>
      <c r="I7" s="31">
        <f t="shared" si="2"/>
        <v>0.3801033333333334</v>
      </c>
      <c r="J7" s="31">
        <f t="shared" si="2"/>
        <v>0.31292066666666668</v>
      </c>
      <c r="K7" s="32">
        <f t="shared" si="3"/>
        <v>0.69302400000000008</v>
      </c>
      <c r="M7" s="7" t="s">
        <v>17</v>
      </c>
      <c r="N7" s="15">
        <v>0.14199999999999999</v>
      </c>
      <c r="Q7" s="30" t="str">
        <f>B7</f>
        <v>B1 Fora Ponta</v>
      </c>
      <c r="R7" s="31">
        <f>'FIO B'!H8/1000</f>
        <v>0.35466549637373629</v>
      </c>
      <c r="U7" s="31">
        <f>'FIO B'!K8/1000</f>
        <v>0.36392381168245103</v>
      </c>
      <c r="X7" s="31">
        <f>((R7*$C$15)+(U7*$D$15))/($D$15+$C$15)</f>
        <v>0.35898604351780322</v>
      </c>
    </row>
    <row r="8" spans="1:26" customFormat="1" x14ac:dyDescent="0.3">
      <c r="B8" s="30" t="s">
        <v>182</v>
      </c>
      <c r="C8" s="31">
        <f>'TABELA DE TARIFAS ANTIGAS'!G69/1000</f>
        <v>0.65128999999999992</v>
      </c>
      <c r="D8" s="31">
        <f>'TABELA DE TARIFAS ANTIGAS'!H69/1000</f>
        <v>0.30579000000000001</v>
      </c>
      <c r="E8" s="31">
        <f t="shared" si="0"/>
        <v>0.95707999999999993</v>
      </c>
      <c r="F8" s="31">
        <f>'TABELA DE TARIFAS NOVAS'!G71/1000</f>
        <v>0.69821</v>
      </c>
      <c r="G8" s="31">
        <f>'TABELA DE TARIFAS NOVAS'!H71/1000</f>
        <v>0.32106999999999997</v>
      </c>
      <c r="H8" s="31">
        <f t="shared" si="1"/>
        <v>1.01928</v>
      </c>
      <c r="I8" s="31">
        <f t="shared" si="2"/>
        <v>0.67318599999999995</v>
      </c>
      <c r="J8" s="31">
        <f t="shared" si="2"/>
        <v>0.31292066666666668</v>
      </c>
      <c r="K8" s="32">
        <f t="shared" si="3"/>
        <v>0.98610666666666669</v>
      </c>
      <c r="Q8" s="30" t="str">
        <f>B8</f>
        <v>B1 Interm.</v>
      </c>
      <c r="R8" s="31">
        <f>'FIO B'!H9/1000</f>
        <v>0.1182217986142293</v>
      </c>
      <c r="U8" s="31">
        <f>'FIO B'!K9/1000</f>
        <v>0.12130790284236799</v>
      </c>
      <c r="X8" s="31">
        <f>((R8*$C$15)+(U8*$D$15))/($D$15+$C$15)</f>
        <v>0.11966198058736068</v>
      </c>
    </row>
    <row r="9" spans="1:26" customFormat="1" x14ac:dyDescent="0.3">
      <c r="B9" s="237" t="s">
        <v>173</v>
      </c>
      <c r="C9" s="32">
        <v>1.8774721494831901E-4</v>
      </c>
      <c r="D9" s="32">
        <v>-4.4031307414479802E-3</v>
      </c>
      <c r="E9" s="32">
        <v>3.6054083865702689E-3</v>
      </c>
      <c r="F9" s="32">
        <f>T13</f>
        <v>1.84189231569235E-4</v>
      </c>
      <c r="G9" s="32">
        <f>U13</f>
        <v>-5.3182974871251499E-4</v>
      </c>
      <c r="H9" s="32">
        <f t="shared" si="1"/>
        <v>-3.4764051714327999E-4</v>
      </c>
      <c r="I9" s="31">
        <f t="shared" si="2"/>
        <v>1.8608682270474647E-4</v>
      </c>
      <c r="J9" s="31">
        <f t="shared" si="2"/>
        <v>-2.5965236115047629E-3</v>
      </c>
      <c r="K9" s="32">
        <f t="shared" si="3"/>
        <v>-2.4104367888000164E-3</v>
      </c>
    </row>
    <row r="10" spans="1:26" x14ac:dyDescent="0.3">
      <c r="G10" s="1"/>
      <c r="H10" s="1"/>
      <c r="I10" s="1"/>
      <c r="J10" s="1"/>
      <c r="K10" s="1"/>
      <c r="O10" s="20"/>
      <c r="P10" s="223" t="s">
        <v>167</v>
      </c>
      <c r="Q10" s="224"/>
      <c r="R10" s="225" t="s">
        <v>168</v>
      </c>
      <c r="S10" s="225" t="s">
        <v>169</v>
      </c>
      <c r="T10" s="225" t="s">
        <v>35</v>
      </c>
      <c r="U10" s="225" t="s">
        <v>76</v>
      </c>
      <c r="V10" s="1"/>
      <c r="W10" s="1"/>
      <c r="X10" s="1"/>
      <c r="Y10" s="1"/>
      <c r="Z10" s="1"/>
    </row>
    <row r="11" spans="1:26" x14ac:dyDescent="0.3">
      <c r="B11" s="34"/>
      <c r="C11" s="35"/>
      <c r="D11" s="36"/>
      <c r="E11" s="35"/>
      <c r="F11" s="35"/>
      <c r="G11" s="35"/>
      <c r="H11" s="37" t="s">
        <v>37</v>
      </c>
      <c r="I11" s="1"/>
      <c r="L11" s="20" t="s">
        <v>25</v>
      </c>
      <c r="M11" s="21">
        <f>EOMONTH(B15,0)+1</f>
        <v>46235</v>
      </c>
      <c r="P11" s="226" t="s">
        <v>170</v>
      </c>
      <c r="Q11" s="227"/>
      <c r="R11" s="228"/>
      <c r="S11" s="228"/>
      <c r="T11" s="229"/>
      <c r="U11" s="229"/>
    </row>
    <row r="12" spans="1:26" x14ac:dyDescent="0.3">
      <c r="B12" s="38" t="s">
        <v>38</v>
      </c>
      <c r="C12" s="422">
        <v>160295767</v>
      </c>
      <c r="E12" s="1"/>
      <c r="F12" s="1"/>
      <c r="G12" s="1"/>
      <c r="H12" s="40">
        <f>E15</f>
        <v>46254</v>
      </c>
      <c r="K12" s="458" t="s">
        <v>26</v>
      </c>
      <c r="L12" s="458"/>
      <c r="P12" s="230" t="s">
        <v>171</v>
      </c>
      <c r="Q12" s="231"/>
      <c r="R12" s="232"/>
      <c r="S12" s="232"/>
      <c r="T12" s="233"/>
      <c r="U12" s="270">
        <v>0</v>
      </c>
    </row>
    <row r="13" spans="1:26" x14ac:dyDescent="0.3">
      <c r="B13" s="41"/>
      <c r="H13" s="42"/>
      <c r="K13" s="7" t="s">
        <v>14</v>
      </c>
      <c r="L13" s="7" t="s">
        <v>14</v>
      </c>
      <c r="P13" s="234" t="s">
        <v>172</v>
      </c>
      <c r="Q13" s="235"/>
      <c r="R13" s="236"/>
      <c r="S13" s="236"/>
      <c r="T13" s="271">
        <f>0.184189231569235/1000</f>
        <v>1.84189231569235E-4</v>
      </c>
      <c r="U13" s="270">
        <f>-0.531829748712515/1000</f>
        <v>-5.3182974871251499E-4</v>
      </c>
    </row>
    <row r="14" spans="1:26" ht="27.6" x14ac:dyDescent="0.3">
      <c r="B14" s="16" t="s">
        <v>21</v>
      </c>
      <c r="C14" s="16" t="s">
        <v>22</v>
      </c>
      <c r="D14" s="16" t="s">
        <v>23</v>
      </c>
      <c r="E14" s="16" t="s">
        <v>24</v>
      </c>
      <c r="F14" s="1"/>
      <c r="G14" s="1"/>
      <c r="H14" s="43"/>
      <c r="J14" s="16" t="s">
        <v>21</v>
      </c>
      <c r="K14" s="16" t="s">
        <v>22</v>
      </c>
      <c r="L14" s="16" t="s">
        <v>23</v>
      </c>
      <c r="M14" s="16" t="s">
        <v>24</v>
      </c>
    </row>
    <row r="15" spans="1:26" x14ac:dyDescent="0.3">
      <c r="B15" s="17">
        <v>46224</v>
      </c>
      <c r="C15" s="18">
        <f>IF((F2-B15-1)&lt;0,0,(F2-B15-1))</f>
        <v>16</v>
      </c>
      <c r="D15" s="18">
        <f>E15-F2+1</f>
        <v>14</v>
      </c>
      <c r="E15" s="17">
        <v>46254</v>
      </c>
      <c r="F15" s="44"/>
      <c r="G15" s="44"/>
      <c r="H15" s="45"/>
      <c r="J15" s="22">
        <f>B15</f>
        <v>46224</v>
      </c>
      <c r="K15" s="23">
        <f>IF((M11-J15-1)&lt;0,0,(M11-J15-1))</f>
        <v>10</v>
      </c>
      <c r="L15" s="23">
        <f>M15-M11+1</f>
        <v>20</v>
      </c>
      <c r="M15" s="22">
        <f>E15</f>
        <v>46254</v>
      </c>
      <c r="P15" s="377" t="s">
        <v>80</v>
      </c>
      <c r="Q15" s="378"/>
      <c r="R15" s="440">
        <v>1025310400</v>
      </c>
    </row>
    <row r="17" spans="2:21" ht="42" customHeight="1" x14ac:dyDescent="0.3">
      <c r="B17" s="274" t="s">
        <v>212</v>
      </c>
      <c r="C17" s="274" t="s">
        <v>213</v>
      </c>
      <c r="D17" s="274" t="s">
        <v>214</v>
      </c>
      <c r="E17" s="275" t="s">
        <v>215</v>
      </c>
      <c r="F17" s="275" t="s">
        <v>216</v>
      </c>
      <c r="G17" s="275" t="s">
        <v>217</v>
      </c>
      <c r="H17" s="275" t="s">
        <v>218</v>
      </c>
      <c r="I17" s="275" t="s">
        <v>219</v>
      </c>
      <c r="J17" s="275" t="s">
        <v>220</v>
      </c>
      <c r="K17" s="276" t="s">
        <v>221</v>
      </c>
      <c r="L17" s="274" t="s">
        <v>222</v>
      </c>
      <c r="M17" s="275" t="s">
        <v>223</v>
      </c>
      <c r="N17" s="275" t="s">
        <v>224</v>
      </c>
      <c r="O17" s="275" t="s">
        <v>225</v>
      </c>
    </row>
    <row r="18" spans="2:21" x14ac:dyDescent="0.3"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8"/>
      <c r="M18" s="279"/>
      <c r="N18" s="279"/>
      <c r="O18" s="279"/>
    </row>
    <row r="19" spans="2:21" x14ac:dyDescent="0.3">
      <c r="B19" s="279" t="s">
        <v>267</v>
      </c>
      <c r="C19" s="280" t="s">
        <v>2</v>
      </c>
      <c r="D19" s="281">
        <v>139</v>
      </c>
      <c r="E19" s="282">
        <f t="shared" ref="E19:E24" si="4">IFERROR((ROUND(D19*K19,2)+ROUND(G19,2)+ROUND(J19,2))/ROUND(D19,4), 0)</f>
        <v>1.2407194244604318</v>
      </c>
      <c r="F19" s="283">
        <f>ROUND(D19*E19,2)</f>
        <v>172.46</v>
      </c>
      <c r="G19" s="283">
        <f>((D19*K19)/(1-$N$19-$N$21))*($N$19+$N$21)</f>
        <v>8.8319346140893114</v>
      </c>
      <c r="H19" s="284">
        <f>((D19*K19)/(1-$N$19-$N$21)/(1-$I$19))</f>
        <v>172.46167061938471</v>
      </c>
      <c r="I19" s="285">
        <v>0.17</v>
      </c>
      <c r="J19" s="284">
        <f>(H19*$I$19)</f>
        <v>29.318484005295403</v>
      </c>
      <c r="K19" s="282">
        <f>E58</f>
        <v>0.96626800000000002</v>
      </c>
      <c r="L19" s="47" t="s">
        <v>68</v>
      </c>
      <c r="M19" s="283">
        <f>D78</f>
        <v>742.1400404987744</v>
      </c>
      <c r="N19" s="286">
        <v>1.0999999999999999E-2</v>
      </c>
      <c r="O19" s="287">
        <f>ROUND(M19*N19,2)</f>
        <v>8.16</v>
      </c>
      <c r="Q19" s="26" t="s">
        <v>81</v>
      </c>
      <c r="R19" s="26" t="s">
        <v>82</v>
      </c>
    </row>
    <row r="20" spans="2:21" x14ac:dyDescent="0.3">
      <c r="B20" s="279" t="s">
        <v>269</v>
      </c>
      <c r="C20" s="280" t="s">
        <v>2</v>
      </c>
      <c r="D20" s="281">
        <v>293</v>
      </c>
      <c r="E20" s="282">
        <f t="shared" si="4"/>
        <v>0.8644027303754267</v>
      </c>
      <c r="F20" s="283">
        <f t="shared" ref="F20:F21" si="5">ROUND(D20*E20,2)</f>
        <v>253.27</v>
      </c>
      <c r="G20" s="283">
        <f>((D20*K20)/(1-$N$19-$N$21))*($N$19+$N$21)</f>
        <v>12.970184191196845</v>
      </c>
      <c r="H20" s="284">
        <f>((D20*K20)/(1-$N$19-$N$21)/(1-$I$19))</f>
        <v>253.26949661589981</v>
      </c>
      <c r="I20" s="285">
        <f>I19</f>
        <v>0.17</v>
      </c>
      <c r="J20" s="284">
        <f t="shared" ref="J20:J21" si="6">(H20*$I$19)</f>
        <v>43.055814424702973</v>
      </c>
      <c r="K20" s="282">
        <f>E60</f>
        <v>0.67318599999999995</v>
      </c>
      <c r="L20" s="47" t="s">
        <v>235</v>
      </c>
      <c r="M20" s="283">
        <f>D79</f>
        <v>-277.71501651923688</v>
      </c>
      <c r="N20" s="286">
        <f>N19</f>
        <v>1.0999999999999999E-2</v>
      </c>
      <c r="O20" s="287">
        <f>ROUND(M20*N20,2)</f>
        <v>-3.05</v>
      </c>
      <c r="Q20" s="251">
        <f>IF(AND($B$15&lt;$F$2,$E$15&lt;$F$2),R6,IF($B$15&lt;$F$2,X6,U6))</f>
        <v>0.59831000469252449</v>
      </c>
      <c r="R20" s="134">
        <f>D19*Q20</f>
        <v>83.165090652260901</v>
      </c>
    </row>
    <row r="21" spans="2:21" x14ac:dyDescent="0.3">
      <c r="B21" s="279" t="s">
        <v>268</v>
      </c>
      <c r="C21" s="280" t="s">
        <v>2</v>
      </c>
      <c r="D21" s="281">
        <v>280</v>
      </c>
      <c r="E21" s="282">
        <f t="shared" si="4"/>
        <v>0.48807142857142854</v>
      </c>
      <c r="F21" s="283">
        <f t="shared" si="5"/>
        <v>136.66</v>
      </c>
      <c r="G21" s="283">
        <f>((D21*K21)/(1-$N$19-$N$21))*($N$19+$N$21)</f>
        <v>6.9984708373299238</v>
      </c>
      <c r="H21" s="284">
        <f>((D21*K21)/(1-$N$19-$N$21)/(1-$I$19))</f>
        <v>136.65952309718466</v>
      </c>
      <c r="I21" s="285">
        <f>I19</f>
        <v>0.17</v>
      </c>
      <c r="J21" s="284">
        <f t="shared" si="6"/>
        <v>23.232118926521395</v>
      </c>
      <c r="K21" s="282">
        <f>E59</f>
        <v>0.3801033333333334</v>
      </c>
      <c r="L21" s="47" t="s">
        <v>51</v>
      </c>
      <c r="M21" s="283">
        <f>M19</f>
        <v>742.1400404987744</v>
      </c>
      <c r="N21" s="286">
        <v>5.0700000000000002E-2</v>
      </c>
      <c r="O21" s="287">
        <f>ROUND(M21*N21,2)</f>
        <v>37.630000000000003</v>
      </c>
      <c r="Q21" s="251">
        <f>IF(AND($B$15&lt;$F$2,$E$15&lt;$F$2),R7,IF($B$15&lt;$F$2,X7,U7))</f>
        <v>0.35898604351780322</v>
      </c>
      <c r="R21" s="134">
        <f>D20*Q21</f>
        <v>105.18291075071635</v>
      </c>
    </row>
    <row r="22" spans="2:21" x14ac:dyDescent="0.3">
      <c r="B22" s="279" t="s">
        <v>270</v>
      </c>
      <c r="C22" s="280" t="s">
        <v>2</v>
      </c>
      <c r="D22" s="288">
        <f>D19</f>
        <v>139</v>
      </c>
      <c r="E22" s="282">
        <f t="shared" si="4"/>
        <v>0.64158273381294972</v>
      </c>
      <c r="F22" s="283">
        <f>ROUND(D22*E22,2)</f>
        <v>89.18</v>
      </c>
      <c r="G22" s="283">
        <f>((D22*K22)/(1-$N$19-$N$21))*($N$19+$N$21)</f>
        <v>4.5665986872002566</v>
      </c>
      <c r="H22" s="284">
        <f>ROUND((D22*K22)/(1-$N$19-$N$21)/(1-$I$19),8)</f>
        <v>89.172222509999997</v>
      </c>
      <c r="I22" s="279"/>
      <c r="J22" s="284">
        <f>ROUND(H22*$I$19,2)</f>
        <v>15.16</v>
      </c>
      <c r="K22" s="282">
        <f>F58</f>
        <v>0.499614</v>
      </c>
      <c r="L22" s="47" t="s">
        <v>236</v>
      </c>
      <c r="M22" s="283">
        <f>M20</f>
        <v>-277.71501651923688</v>
      </c>
      <c r="N22" s="286">
        <f>N21</f>
        <v>5.0700000000000002E-2</v>
      </c>
      <c r="O22" s="287">
        <f>ROUND(M22*N22,2)</f>
        <v>-14.08</v>
      </c>
      <c r="Q22" s="251">
        <f>IF(AND($B$15&lt;$F$2,$E$15&lt;$F$2),R8,IF($B$15&lt;$F$2,X8,U8))</f>
        <v>0.11966198058736068</v>
      </c>
      <c r="R22" s="134">
        <f>D21*Q22</f>
        <v>33.505354564460987</v>
      </c>
    </row>
    <row r="23" spans="2:21" x14ac:dyDescent="0.3">
      <c r="B23" s="279" t="s">
        <v>271</v>
      </c>
      <c r="C23" s="280" t="s">
        <v>2</v>
      </c>
      <c r="D23" s="288">
        <f t="shared" ref="D23:D24" si="7">D20</f>
        <v>293</v>
      </c>
      <c r="E23" s="282">
        <f t="shared" si="4"/>
        <v>0.40180887372013652</v>
      </c>
      <c r="F23" s="283">
        <f t="shared" ref="F23:F24" si="8">ROUND(D23*E23,2)</f>
        <v>117.73</v>
      </c>
      <c r="G23" s="283">
        <f t="shared" ref="G23:G24" si="9">((D23*K23)/(1-$N$19-$N$21))*($N$19+$N$21)</f>
        <v>6.0290004306369678</v>
      </c>
      <c r="H23" s="284">
        <f t="shared" ref="H23:H24" si="10">ROUND((D23*K23)/(1-$N$19-$N$21)/(1-$I$19),8)</f>
        <v>117.72862139999999</v>
      </c>
      <c r="I23" s="279"/>
      <c r="J23" s="284">
        <f>ROUND(H23*$I$19,2)</f>
        <v>20.010000000000002</v>
      </c>
      <c r="K23" s="282">
        <f>F60</f>
        <v>0.31292066666666668</v>
      </c>
      <c r="L23" s="47"/>
      <c r="M23" s="283"/>
      <c r="N23" s="286"/>
      <c r="O23" s="287"/>
      <c r="R23" s="141">
        <f>SUM(R20:R22)</f>
        <v>221.85335596743823</v>
      </c>
    </row>
    <row r="24" spans="2:21" x14ac:dyDescent="0.3">
      <c r="B24" s="279" t="s">
        <v>272</v>
      </c>
      <c r="C24" s="280" t="s">
        <v>2</v>
      </c>
      <c r="D24" s="288">
        <f t="shared" si="7"/>
        <v>280</v>
      </c>
      <c r="E24" s="282">
        <f t="shared" si="4"/>
        <v>0.40182142857142861</v>
      </c>
      <c r="F24" s="283">
        <f t="shared" si="8"/>
        <v>112.51</v>
      </c>
      <c r="G24" s="283">
        <f t="shared" si="9"/>
        <v>5.7615021180148505</v>
      </c>
      <c r="H24" s="284">
        <f t="shared" si="10"/>
        <v>112.50516721</v>
      </c>
      <c r="I24" s="279"/>
      <c r="J24" s="284">
        <f>ROUND(H24*$I$19,2)</f>
        <v>19.13</v>
      </c>
      <c r="K24" s="282">
        <f>F59</f>
        <v>0.31292066666666668</v>
      </c>
      <c r="L24" s="47"/>
      <c r="M24" s="283"/>
      <c r="N24" s="286"/>
      <c r="O24" s="287"/>
    </row>
    <row r="25" spans="2:21" x14ac:dyDescent="0.3">
      <c r="B25" s="279" t="s">
        <v>43</v>
      </c>
      <c r="C25" s="280" t="s">
        <v>2</v>
      </c>
      <c r="D25" s="288">
        <f>IF($K$13=M4,(($D$19+$D$20+$D$21)*($K$15)/($K$15+$L$15)),0)+IF($L$13=M4,(($D$19+$D$20+$D$21)*($L$15)/($K$15+$L$15)),0)</f>
        <v>712</v>
      </c>
      <c r="E25" s="282">
        <f>IFERROR((ROUND(D25*K25,2)+ROUND(G25,2)+ROUND(J25,2))/ROUND(D25,4), 0)</f>
        <v>2.4199438202247191E-2</v>
      </c>
      <c r="F25" s="283">
        <f>ROUND(D25*E25,2)</f>
        <v>17.23</v>
      </c>
      <c r="G25" s="283">
        <f>((D25*K25)/(1-$N$19-$N$21))*($N$19+$N$21)</f>
        <v>0.88254080784397315</v>
      </c>
      <c r="H25" s="284">
        <f>ROUND((D25*K25)/(1-$N$19-$N$21)/(1-$I$19),8)</f>
        <v>17.233422659999999</v>
      </c>
      <c r="I25" s="279"/>
      <c r="J25" s="284">
        <f>ROUND(H25*$I$19,2)</f>
        <v>2.93</v>
      </c>
      <c r="K25" s="282">
        <f>N4</f>
        <v>1.8849999999999999E-2</v>
      </c>
      <c r="L25" s="343"/>
      <c r="M25" s="344"/>
      <c r="N25" s="345"/>
      <c r="O25" s="346"/>
      <c r="R25" s="112"/>
    </row>
    <row r="26" spans="2:21" x14ac:dyDescent="0.3">
      <c r="B26" s="279" t="s">
        <v>258</v>
      </c>
      <c r="C26" s="280" t="s">
        <v>2</v>
      </c>
      <c r="D26" s="288">
        <f t="shared" ref="D26:D28" si="11">IF($K$13=M5,(($D$19+$D$20+$D$21)*($K$15)/($K$15+$L$15)),0)+IF($L$13=M5,(($D$19+$D$20+$D$21)*($L$15)/($K$15+$L$15)),0)</f>
        <v>0</v>
      </c>
      <c r="E26" s="282">
        <f t="shared" ref="E26:E28" si="12">IFERROR((ROUND(D26*K26,2)+ROUND(G26,2)+ROUND(J26,2))/ROUND(D26,4), 0)</f>
        <v>0</v>
      </c>
      <c r="F26" s="283">
        <f t="shared" ref="F26:F28" si="13">ROUND(D26*E26,2)</f>
        <v>0</v>
      </c>
      <c r="G26" s="283">
        <f>((D26*K26)/(1-$N$19-$N$21))*($N$19+$N$21)</f>
        <v>0</v>
      </c>
      <c r="H26" s="284">
        <f>ROUND((D26*K26)/(1-$N$19-$N$21)/(1-$I$19),8)</f>
        <v>0</v>
      </c>
      <c r="I26" s="279"/>
      <c r="J26" s="284">
        <f t="shared" ref="J26:J27" si="14">ROUND(H26*$I$19,2)</f>
        <v>0</v>
      </c>
      <c r="K26" s="282">
        <f t="shared" ref="K26:K28" si="15">N5</f>
        <v>4.4630000000000003E-2</v>
      </c>
      <c r="O26" s="278"/>
    </row>
    <row r="27" spans="2:21" x14ac:dyDescent="0.3">
      <c r="B27" s="279" t="s">
        <v>259</v>
      </c>
      <c r="C27" s="280" t="s">
        <v>2</v>
      </c>
      <c r="D27" s="288">
        <f t="shared" si="11"/>
        <v>0</v>
      </c>
      <c r="E27" s="282">
        <f t="shared" si="12"/>
        <v>0</v>
      </c>
      <c r="F27" s="283">
        <f t="shared" si="13"/>
        <v>0</v>
      </c>
      <c r="G27" s="283">
        <f>((D27*K27)/(1-$N$19-$N$21))*($N$19+$N$21)</f>
        <v>0</v>
      </c>
      <c r="H27" s="284">
        <f>ROUND((D27*K27)/(1-$N$19-$N$21)/(1-$I$19),8)</f>
        <v>0</v>
      </c>
      <c r="I27" s="279"/>
      <c r="J27" s="284">
        <f t="shared" si="14"/>
        <v>0</v>
      </c>
      <c r="K27" s="282">
        <f t="shared" si="15"/>
        <v>7.8770000000000007E-2</v>
      </c>
      <c r="O27" s="278"/>
      <c r="Q27" s="439"/>
    </row>
    <row r="28" spans="2:21" x14ac:dyDescent="0.3">
      <c r="B28" s="279" t="s">
        <v>264</v>
      </c>
      <c r="C28" s="280" t="s">
        <v>2</v>
      </c>
      <c r="D28" s="288">
        <f t="shared" si="11"/>
        <v>0</v>
      </c>
      <c r="E28" s="282">
        <f t="shared" si="12"/>
        <v>0</v>
      </c>
      <c r="F28" s="283">
        <f t="shared" si="13"/>
        <v>0</v>
      </c>
      <c r="G28" s="283">
        <f>((D28*K28)/(1-$N$19-$N$21))*($N$19+$N$21)</f>
        <v>0</v>
      </c>
      <c r="H28" s="284">
        <f>ROUND((D28*K28)/(1-$N$19-$N$21)/(1-$I$19),8)</f>
        <v>0</v>
      </c>
      <c r="I28" s="279"/>
      <c r="J28" s="284">
        <f>ROUND(H28*$I$19,2)</f>
        <v>0</v>
      </c>
      <c r="K28" s="282">
        <f t="shared" si="15"/>
        <v>0.14199999999999999</v>
      </c>
      <c r="O28" s="278"/>
      <c r="R28" s="19">
        <v>56.925816378604097</v>
      </c>
      <c r="S28" s="252"/>
      <c r="U28" s="252"/>
    </row>
    <row r="29" spans="2:21" x14ac:dyDescent="0.3">
      <c r="B29" s="279"/>
      <c r="C29" s="280"/>
      <c r="D29" s="288"/>
      <c r="E29" s="282"/>
      <c r="F29" s="283"/>
      <c r="G29" s="283"/>
      <c r="H29" s="284"/>
      <c r="I29" s="279"/>
      <c r="J29" s="284"/>
      <c r="K29" s="282"/>
      <c r="O29" s="278"/>
      <c r="R29" s="19">
        <v>24.550850288062701</v>
      </c>
      <c r="S29" s="252"/>
      <c r="U29" s="252"/>
    </row>
    <row r="30" spans="2:21" x14ac:dyDescent="0.3">
      <c r="B30" s="279" t="s">
        <v>273</v>
      </c>
      <c r="C30" s="280" t="s">
        <v>2</v>
      </c>
      <c r="D30" s="281">
        <v>0</v>
      </c>
      <c r="E30" s="282">
        <f t="shared" ref="E30:E35" si="16">IFERROR((ROUND(D30*K30,2)+ROUND(G30,2)+ROUND(J30,2))/ROUND(D30,4),0)</f>
        <v>0</v>
      </c>
      <c r="F30" s="283">
        <f>ROUND(D30*E30,2)</f>
        <v>0</v>
      </c>
      <c r="G30" s="283">
        <f>((D30*K30)/(1-$N$19-$N$21))*($N$19+$N$21)</f>
        <v>0</v>
      </c>
      <c r="H30" s="284">
        <v>0</v>
      </c>
      <c r="I30" s="285">
        <v>0</v>
      </c>
      <c r="J30" s="284">
        <f>H30*$I$25</f>
        <v>0</v>
      </c>
      <c r="K30" s="282">
        <f>K19</f>
        <v>0.96626800000000002</v>
      </c>
      <c r="O30" s="278"/>
      <c r="R30" s="19">
        <f>SUM(R28:R29)</f>
        <v>81.476666666666802</v>
      </c>
      <c r="S30" s="252"/>
      <c r="U30" s="252"/>
    </row>
    <row r="31" spans="2:21" x14ac:dyDescent="0.3">
      <c r="B31" s="279" t="s">
        <v>274</v>
      </c>
      <c r="C31" s="280" t="s">
        <v>2</v>
      </c>
      <c r="D31" s="442">
        <v>-215</v>
      </c>
      <c r="E31" s="282">
        <f t="shared" si="16"/>
        <v>0.71744186046511627</v>
      </c>
      <c r="F31" s="283">
        <f t="shared" ref="F31:F32" si="17">ROUND(D31*E31,2)</f>
        <v>-154.25</v>
      </c>
      <c r="G31" s="283">
        <f t="shared" ref="G31:G32" si="18">((D31*K31)/(1-$N$19-$N$21))*($N$19+$N$21)</f>
        <v>-9.517370652243418</v>
      </c>
      <c r="H31" s="284">
        <v>0</v>
      </c>
      <c r="I31" s="285">
        <v>0</v>
      </c>
      <c r="J31" s="284">
        <f t="shared" ref="J31:J32" si="19">H31*$I$25</f>
        <v>0</v>
      </c>
      <c r="K31" s="282">
        <f t="shared" ref="K31:K32" si="20">K20</f>
        <v>0.67318599999999995</v>
      </c>
      <c r="O31" s="278"/>
      <c r="S31" s="252"/>
      <c r="U31" s="252"/>
    </row>
    <row r="32" spans="2:21" x14ac:dyDescent="0.3">
      <c r="B32" s="279" t="s">
        <v>275</v>
      </c>
      <c r="C32" s="280" t="s">
        <v>2</v>
      </c>
      <c r="D32" s="281">
        <v>-107</v>
      </c>
      <c r="E32" s="282">
        <f t="shared" si="16"/>
        <v>0.40504672897196264</v>
      </c>
      <c r="F32" s="283">
        <f t="shared" si="17"/>
        <v>-43.34</v>
      </c>
      <c r="G32" s="283">
        <f t="shared" si="18"/>
        <v>-2.674415641408221</v>
      </c>
      <c r="H32" s="284">
        <v>0</v>
      </c>
      <c r="I32" s="285">
        <v>0</v>
      </c>
      <c r="J32" s="284">
        <f t="shared" si="19"/>
        <v>0</v>
      </c>
      <c r="K32" s="282">
        <f t="shared" si="20"/>
        <v>0.3801033333333334</v>
      </c>
      <c r="O32" s="278"/>
      <c r="S32" s="252"/>
      <c r="U32" s="252"/>
    </row>
    <row r="33" spans="2:21" x14ac:dyDescent="0.3">
      <c r="B33" s="279" t="s">
        <v>276</v>
      </c>
      <c r="C33" s="280" t="s">
        <v>2</v>
      </c>
      <c r="D33" s="288">
        <f>D30</f>
        <v>0</v>
      </c>
      <c r="E33" s="282">
        <f t="shared" si="16"/>
        <v>0</v>
      </c>
      <c r="F33" s="283">
        <f>ROUND(D33*E33,2)</f>
        <v>0</v>
      </c>
      <c r="G33" s="283">
        <f>((D33*K33)/(1-$N$19-$N$21))*($N$19+$N$21)</f>
        <v>0</v>
      </c>
      <c r="H33" s="284">
        <f>ROUND((D33*K33)/(1-$N$19-$N$21)/(1-$I$33),8)</f>
        <v>0</v>
      </c>
      <c r="I33" s="285">
        <f>$I$19</f>
        <v>0.17</v>
      </c>
      <c r="J33" s="284">
        <f>H33*$I$33</f>
        <v>0</v>
      </c>
      <c r="K33" s="282">
        <f>K22</f>
        <v>0.499614</v>
      </c>
      <c r="O33" s="278"/>
      <c r="S33" s="252"/>
      <c r="U33" s="252"/>
    </row>
    <row r="34" spans="2:21" x14ac:dyDescent="0.3">
      <c r="B34" s="279" t="s">
        <v>277</v>
      </c>
      <c r="C34" s="280" t="s">
        <v>2</v>
      </c>
      <c r="D34" s="288">
        <f t="shared" ref="D34:D35" si="21">D31</f>
        <v>-215</v>
      </c>
      <c r="E34" s="282">
        <f t="shared" si="16"/>
        <v>0.40181395348837212</v>
      </c>
      <c r="F34" s="283">
        <f t="shared" ref="F34:F35" si="22">ROUND(D34*E34,2)</f>
        <v>-86.39</v>
      </c>
      <c r="G34" s="283">
        <f t="shared" ref="G34:G35" si="23">((D34*K34)/(1-$N$19-$N$21))*($N$19+$N$21)</f>
        <v>-4.4240105549042603</v>
      </c>
      <c r="H34" s="284">
        <f t="shared" ref="H34:H35" si="24">ROUND((D34*K34)/(1-$N$19-$N$21)/(1-$I$33),8)</f>
        <v>-86.387896249999997</v>
      </c>
      <c r="I34" s="285">
        <f t="shared" ref="I34:I35" si="25">$I$19</f>
        <v>0.17</v>
      </c>
      <c r="J34" s="284">
        <f t="shared" ref="J34:J35" si="26">H34*$I$33</f>
        <v>-14.685942362500001</v>
      </c>
      <c r="K34" s="282">
        <f t="shared" ref="K34:K35" si="27">K23</f>
        <v>0.31292066666666668</v>
      </c>
      <c r="O34" s="278"/>
      <c r="S34" s="252"/>
      <c r="U34" s="252"/>
    </row>
    <row r="35" spans="2:21" x14ac:dyDescent="0.3">
      <c r="B35" s="279" t="s">
        <v>278</v>
      </c>
      <c r="C35" s="280" t="s">
        <v>2</v>
      </c>
      <c r="D35" s="288">
        <f t="shared" si="21"/>
        <v>-107</v>
      </c>
      <c r="E35" s="282">
        <f t="shared" si="16"/>
        <v>0.40177570093457948</v>
      </c>
      <c r="F35" s="283">
        <f t="shared" si="22"/>
        <v>-42.99</v>
      </c>
      <c r="G35" s="283">
        <f t="shared" si="23"/>
        <v>-2.2017168808128176</v>
      </c>
      <c r="H35" s="284">
        <f t="shared" si="24"/>
        <v>-42.993046040000003</v>
      </c>
      <c r="I35" s="285">
        <f t="shared" si="25"/>
        <v>0.17</v>
      </c>
      <c r="J35" s="284">
        <f t="shared" si="26"/>
        <v>-7.3088178268000012</v>
      </c>
      <c r="K35" s="282">
        <f t="shared" si="27"/>
        <v>0.31292066666666668</v>
      </c>
      <c r="O35" s="278"/>
      <c r="S35" s="252"/>
      <c r="U35" s="252"/>
    </row>
    <row r="36" spans="2:21" x14ac:dyDescent="0.3">
      <c r="B36" s="279" t="s">
        <v>234</v>
      </c>
      <c r="C36" s="280" t="s">
        <v>2</v>
      </c>
      <c r="D36" s="288">
        <f>IF($K$13=M4,(($D$30+$D$31+$D$32)*($K$15)/($K$15+$L$15)),0)+IF($L$13=M4,(($D$30+$D$31+$D$32)*($L$15)/($K$15+$L$15)),0)</f>
        <v>-322</v>
      </c>
      <c r="E36" s="282">
        <f>IFERROR((ROUND(D36*K36,2)+ROUND(G36,2)+ROUND(J36,2))/ROUND(D36,4),0)</f>
        <v>2.4192546583850935E-2</v>
      </c>
      <c r="F36" s="283">
        <f t="shared" ref="F36:F39" si="28">ROUND(D36*E36,2)</f>
        <v>-7.79</v>
      </c>
      <c r="G36" s="283">
        <f>((D36*K36)/(1-$N$19-$N$21))*($N$19+$N$21)</f>
        <v>-0.39912660130022376</v>
      </c>
      <c r="H36" s="284">
        <f>(D36*K36)/(1-$N$19-$N$21)/(1-$I$33)</f>
        <v>-7.7937669895183408</v>
      </c>
      <c r="I36" s="279"/>
      <c r="J36" s="284">
        <f>H36*$I$33</f>
        <v>-1.3249403882181181</v>
      </c>
      <c r="K36" s="282">
        <f>N4</f>
        <v>1.8849999999999999E-2</v>
      </c>
      <c r="O36" s="278"/>
    </row>
    <row r="37" spans="2:21" x14ac:dyDescent="0.3">
      <c r="B37" s="279" t="s">
        <v>261</v>
      </c>
      <c r="C37" s="280" t="s">
        <v>2</v>
      </c>
      <c r="D37" s="288">
        <f t="shared" ref="D37:D39" si="29">IF($K$13=M5,(($D$30+$D$31+$D$32)*($K$15)/($K$15+$L$15)),0)+IF($L$13=M5,(($D$30+$D$31+$D$32)*($L$15)/($K$15+$L$15)),0)</f>
        <v>0</v>
      </c>
      <c r="E37" s="282">
        <f t="shared" ref="E37:E39" si="30">IFERROR((ROUND(D37*K37,2)+ROUND(G37,2)+ROUND(J37,2))/ROUND(D37,4),0)</f>
        <v>0</v>
      </c>
      <c r="F37" s="283">
        <f t="shared" si="28"/>
        <v>0</v>
      </c>
      <c r="G37" s="283">
        <f>((D37*K37)/(1-$N$19-$N$21))*($N$19+$N$21)</f>
        <v>0</v>
      </c>
      <c r="H37" s="284">
        <f>(D37*K37)/(1-$N$19-$N$21)/(1-$I$33)</f>
        <v>0</v>
      </c>
      <c r="I37" s="279"/>
      <c r="J37" s="284">
        <f>H37*$I$33</f>
        <v>0</v>
      </c>
      <c r="K37" s="282">
        <f t="shared" ref="K37:K39" si="31">N5</f>
        <v>4.4630000000000003E-2</v>
      </c>
      <c r="O37" s="278"/>
      <c r="Q37" s="56"/>
      <c r="R37" s="56"/>
      <c r="T37" s="56"/>
    </row>
    <row r="38" spans="2:21" x14ac:dyDescent="0.3">
      <c r="B38" s="279" t="s">
        <v>262</v>
      </c>
      <c r="C38" s="280" t="s">
        <v>2</v>
      </c>
      <c r="D38" s="288">
        <f t="shared" si="29"/>
        <v>0</v>
      </c>
      <c r="E38" s="282">
        <f t="shared" si="30"/>
        <v>0</v>
      </c>
      <c r="F38" s="283">
        <f t="shared" si="28"/>
        <v>0</v>
      </c>
      <c r="G38" s="283">
        <f>((D38*K38)/(1-$N$19-$N$21))*($N$19+$N$21)</f>
        <v>0</v>
      </c>
      <c r="H38" s="284">
        <f>(D38*K38)/(1-$N$19-$N$21)/(1-$I$33)</f>
        <v>0</v>
      </c>
      <c r="I38" s="279"/>
      <c r="J38" s="284">
        <f>H38*$I$33</f>
        <v>0</v>
      </c>
      <c r="K38" s="282">
        <f t="shared" si="31"/>
        <v>7.8770000000000007E-2</v>
      </c>
      <c r="O38" s="278"/>
      <c r="S38" s="291"/>
    </row>
    <row r="39" spans="2:21" x14ac:dyDescent="0.3">
      <c r="B39" s="279" t="s">
        <v>263</v>
      </c>
      <c r="C39" s="280" t="s">
        <v>2</v>
      </c>
      <c r="D39" s="288">
        <f t="shared" si="29"/>
        <v>0</v>
      </c>
      <c r="E39" s="282">
        <f t="shared" si="30"/>
        <v>0</v>
      </c>
      <c r="F39" s="283">
        <f t="shared" si="28"/>
        <v>0</v>
      </c>
      <c r="G39" s="283">
        <f>((D39*K39)/(1-$N$19-$N$21))*($N$19+$N$21)</f>
        <v>0</v>
      </c>
      <c r="H39" s="284">
        <f>(D39*K39)/(1-$N$19-$N$21)/(1-$I$33)</f>
        <v>0</v>
      </c>
      <c r="I39" s="279"/>
      <c r="J39" s="284">
        <f>H39*$I$33</f>
        <v>0</v>
      </c>
      <c r="K39" s="282">
        <f t="shared" si="31"/>
        <v>0.14199999999999999</v>
      </c>
      <c r="O39" s="278"/>
      <c r="S39" s="291"/>
    </row>
    <row r="40" spans="2:21" x14ac:dyDescent="0.3">
      <c r="B40" s="279"/>
      <c r="C40" s="280"/>
      <c r="D40" s="288"/>
      <c r="E40" s="282"/>
      <c r="F40" s="283"/>
      <c r="G40" s="283"/>
      <c r="H40" s="284"/>
      <c r="I40" s="279"/>
      <c r="J40" s="284"/>
      <c r="K40" s="282"/>
      <c r="O40" s="278"/>
      <c r="S40" s="291"/>
    </row>
    <row r="41" spans="2:21" x14ac:dyDescent="0.3">
      <c r="B41" s="279" t="s">
        <v>229</v>
      </c>
      <c r="C41" s="279"/>
      <c r="D41" s="288"/>
      <c r="E41" s="279"/>
      <c r="F41" s="292"/>
      <c r="G41" s="279"/>
      <c r="H41" s="279"/>
      <c r="I41" s="279"/>
      <c r="J41" s="279"/>
      <c r="K41" s="279"/>
      <c r="O41" s="278"/>
      <c r="S41" s="291"/>
    </row>
    <row r="42" spans="2:21" x14ac:dyDescent="0.3">
      <c r="B42" s="279" t="s">
        <v>228</v>
      </c>
      <c r="C42" s="279"/>
      <c r="D42" s="288"/>
      <c r="E42" s="279"/>
      <c r="F42" s="292"/>
      <c r="G42" s="279"/>
      <c r="H42" s="279"/>
      <c r="I42" s="279"/>
      <c r="J42" s="279"/>
      <c r="K42" s="279"/>
      <c r="O42" s="278"/>
      <c r="S42" s="291"/>
    </row>
    <row r="43" spans="2:21" x14ac:dyDescent="0.3">
      <c r="B43" s="279" t="s">
        <v>260</v>
      </c>
      <c r="C43" s="279"/>
      <c r="D43" s="288"/>
      <c r="E43" s="279"/>
      <c r="F43" s="292">
        <v>-12.85</v>
      </c>
      <c r="G43" s="279"/>
      <c r="H43" s="279"/>
      <c r="I43" s="279"/>
      <c r="J43" s="279"/>
      <c r="K43" s="279"/>
      <c r="O43" s="278"/>
      <c r="S43" s="291"/>
    </row>
    <row r="44" spans="2:21" x14ac:dyDescent="0.3">
      <c r="B44" s="279" t="s">
        <v>230</v>
      </c>
      <c r="C44" s="279"/>
      <c r="D44" s="288"/>
      <c r="E44" s="279"/>
      <c r="F44" s="292"/>
      <c r="G44" s="279"/>
      <c r="H44" s="279"/>
      <c r="I44" s="279"/>
      <c r="J44" s="279"/>
      <c r="K44" s="279"/>
      <c r="O44" s="278"/>
    </row>
    <row r="45" spans="2:21" x14ac:dyDescent="0.3">
      <c r="B45" s="279"/>
      <c r="C45" s="279"/>
      <c r="D45" s="288"/>
      <c r="E45" s="279"/>
      <c r="F45" s="279"/>
      <c r="G45" s="279"/>
      <c r="H45" s="279"/>
      <c r="I45" s="279"/>
      <c r="J45" s="279"/>
      <c r="K45" s="279"/>
      <c r="O45" s="278"/>
    </row>
    <row r="46" spans="2:21" x14ac:dyDescent="0.3">
      <c r="B46" s="279"/>
      <c r="C46" s="279"/>
      <c r="D46" s="288"/>
      <c r="E46" s="279"/>
      <c r="F46" s="279"/>
      <c r="G46" s="279"/>
      <c r="H46" s="279"/>
      <c r="I46" s="279"/>
      <c r="J46" s="279"/>
      <c r="K46" s="279"/>
      <c r="O46" s="278"/>
    </row>
    <row r="47" spans="2:21" x14ac:dyDescent="0.3">
      <c r="B47" s="293" t="s">
        <v>135</v>
      </c>
      <c r="C47" s="289"/>
      <c r="D47" s="294"/>
      <c r="E47" s="289"/>
      <c r="F47" s="295">
        <f>SUM(F19:F46)</f>
        <v>551.42999999999995</v>
      </c>
      <c r="G47" s="296">
        <f>SUM(G19:G46)</f>
        <v>26.823591355643185</v>
      </c>
      <c r="H47" s="297">
        <f>SUM(H19:H46)</f>
        <v>761.85541483295071</v>
      </c>
      <c r="I47" s="289"/>
      <c r="J47" s="297">
        <f>SUM(J19:J46)</f>
        <v>129.51671677900163</v>
      </c>
      <c r="K47" s="289"/>
      <c r="L47" s="75"/>
      <c r="M47" s="75"/>
      <c r="N47" s="75"/>
      <c r="O47" s="261"/>
    </row>
    <row r="49" spans="2:22" x14ac:dyDescent="0.3">
      <c r="B49" s="298" t="s">
        <v>231</v>
      </c>
      <c r="C49" s="299">
        <f>D84</f>
        <v>390</v>
      </c>
      <c r="D49" s="300">
        <f>E84</f>
        <v>1.8608682270474647E-4</v>
      </c>
      <c r="E49" s="300">
        <f>F84</f>
        <v>-2.5965236115047629E-3</v>
      </c>
      <c r="F49" s="298">
        <f>C49*(D49+E49)</f>
        <v>-0.94007034763200636</v>
      </c>
    </row>
    <row r="51" spans="2:22" x14ac:dyDescent="0.3">
      <c r="B51" s="1"/>
      <c r="F51" s="248"/>
      <c r="G51"/>
      <c r="H51" s="3"/>
    </row>
    <row r="52" spans="2:22" x14ac:dyDescent="0.3">
      <c r="B52" s="5" t="s">
        <v>55</v>
      </c>
      <c r="E52" s="26" t="s">
        <v>10</v>
      </c>
      <c r="F52" s="85">
        <v>1</v>
      </c>
      <c r="G52" s="86" t="s">
        <v>9</v>
      </c>
      <c r="H52" s="85">
        <v>1</v>
      </c>
    </row>
    <row r="53" spans="2:22" x14ac:dyDescent="0.3"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2:22" x14ac:dyDescent="0.3">
      <c r="B54" s="459" t="s">
        <v>183</v>
      </c>
      <c r="C54" s="460"/>
      <c r="D54" s="460"/>
      <c r="E54" s="460"/>
      <c r="F54" s="460"/>
      <c r="G54" s="460"/>
      <c r="H54" s="461"/>
      <c r="I54" s="1"/>
      <c r="J54" s="124"/>
      <c r="K54" s="1"/>
      <c r="L54" s="1"/>
      <c r="M54" s="1"/>
      <c r="N54" s="1"/>
      <c r="O54" s="1"/>
      <c r="P54" s="1"/>
    </row>
    <row r="55" spans="2:22" x14ac:dyDescent="0.3">
      <c r="B55" s="41"/>
      <c r="D55" s="46" t="s">
        <v>40</v>
      </c>
      <c r="E55" s="46" t="s">
        <v>10</v>
      </c>
      <c r="F55" s="46" t="s">
        <v>9</v>
      </c>
      <c r="G55" s="46" t="s">
        <v>34</v>
      </c>
      <c r="H55" s="47" t="s">
        <v>7</v>
      </c>
      <c r="I55" s="1"/>
      <c r="M55" s="1"/>
      <c r="N55" s="1"/>
      <c r="O55" s="1"/>
      <c r="P55" s="1"/>
    </row>
    <row r="56" spans="2:22" x14ac:dyDescent="0.3">
      <c r="B56" s="48" t="s">
        <v>41</v>
      </c>
      <c r="C56" s="49"/>
      <c r="D56" s="50"/>
      <c r="E56" s="50"/>
      <c r="F56" s="50"/>
      <c r="G56" s="50"/>
      <c r="H56" s="51">
        <f>SUM(H58:H65)+SUM(H78:H82)</f>
        <v>877.0096105877202</v>
      </c>
      <c r="I56" s="1"/>
      <c r="J56" s="1"/>
      <c r="K56" s="1"/>
      <c r="L56" s="1"/>
      <c r="M56" s="1"/>
      <c r="N56" s="1"/>
      <c r="O56" s="1"/>
      <c r="P56" s="1"/>
    </row>
    <row r="57" spans="2:22" x14ac:dyDescent="0.3">
      <c r="B57" s="41"/>
      <c r="D57" s="46"/>
      <c r="E57" s="46"/>
      <c r="F57" s="46"/>
      <c r="G57" s="46"/>
      <c r="H57" s="52"/>
      <c r="I57" s="1"/>
      <c r="J57"/>
      <c r="K57"/>
      <c r="L57"/>
      <c r="M57" s="1"/>
      <c r="N57" s="1"/>
      <c r="O57" s="1"/>
      <c r="P57" s="1"/>
    </row>
    <row r="58" spans="2:22" x14ac:dyDescent="0.3">
      <c r="B58" s="41" t="s">
        <v>83</v>
      </c>
      <c r="D58" s="249">
        <f>D19</f>
        <v>139</v>
      </c>
      <c r="E58" s="53">
        <f t="shared" ref="E58:F60" si="32">IF(AND($B$15&lt;$F$2,$E$15&lt;$F$2),C6,IF($B$15&lt;$F$2,I6,F6))</f>
        <v>0.96626800000000002</v>
      </c>
      <c r="F58" s="250">
        <f t="shared" si="32"/>
        <v>0.499614</v>
      </c>
      <c r="G58" s="53">
        <f>E58+F58</f>
        <v>1.4658820000000001</v>
      </c>
      <c r="H58" s="54">
        <f>ROUND((D58*E58),2)+ROUND((D58*F58),2)</f>
        <v>203.76</v>
      </c>
      <c r="I58" s="1"/>
      <c r="J58"/>
      <c r="M58" s="1"/>
      <c r="N58" s="1"/>
      <c r="O58" s="1"/>
      <c r="P58" s="1"/>
    </row>
    <row r="59" spans="2:22" x14ac:dyDescent="0.3">
      <c r="B59" s="41" t="s">
        <v>84</v>
      </c>
      <c r="D59" s="249">
        <f t="shared" ref="D59:D60" si="33">D20</f>
        <v>293</v>
      </c>
      <c r="E59" s="53">
        <f t="shared" si="32"/>
        <v>0.3801033333333334</v>
      </c>
      <c r="F59" s="250">
        <f t="shared" si="32"/>
        <v>0.31292066666666668</v>
      </c>
      <c r="G59" s="53">
        <f>E59+F59</f>
        <v>0.69302400000000008</v>
      </c>
      <c r="H59" s="54">
        <f>ROUND((D59*E59),2)+ROUND((D59*F59),2)</f>
        <v>203.06</v>
      </c>
      <c r="I59" s="1"/>
      <c r="J59" s="1"/>
      <c r="M59" s="1"/>
      <c r="N59" s="1"/>
      <c r="O59" s="1"/>
      <c r="P59" s="1"/>
    </row>
    <row r="60" spans="2:22" x14ac:dyDescent="0.3">
      <c r="B60" s="41" t="s">
        <v>184</v>
      </c>
      <c r="D60" s="249">
        <f t="shared" si="33"/>
        <v>280</v>
      </c>
      <c r="E60" s="53">
        <f t="shared" si="32"/>
        <v>0.67318599999999995</v>
      </c>
      <c r="F60" s="250">
        <f t="shared" si="32"/>
        <v>0.31292066666666668</v>
      </c>
      <c r="G60" s="53">
        <f t="shared" ref="G60" si="34">E60+F60</f>
        <v>0.98610666666666669</v>
      </c>
      <c r="H60" s="54">
        <f t="shared" ref="H60" si="35">ROUND((D60*E60),2)+ROUND((D60*F60),2)</f>
        <v>276.11</v>
      </c>
      <c r="I60" s="1"/>
      <c r="J60" s="1"/>
      <c r="M60" s="1"/>
      <c r="N60" s="1"/>
      <c r="O60" s="1"/>
      <c r="P60" s="1"/>
    </row>
    <row r="61" spans="2:22" x14ac:dyDescent="0.3">
      <c r="B61" s="41"/>
      <c r="D61" s="55"/>
      <c r="E61" s="56"/>
      <c r="F61" s="57"/>
      <c r="G61" s="57"/>
      <c r="H61" s="54"/>
      <c r="I61" s="1"/>
      <c r="J61" s="1"/>
      <c r="M61" s="1"/>
      <c r="N61" s="1"/>
      <c r="O61" s="1"/>
      <c r="P61" s="1"/>
    </row>
    <row r="62" spans="2:22" x14ac:dyDescent="0.3">
      <c r="B62" s="41" t="s">
        <v>43</v>
      </c>
      <c r="D62" s="58">
        <f>IF($K$13=M4,((D58+D59+D60)*(K15)/(K15+L15)),0)+IF($L$13=M4,((D58+D59+D60)*(L15)/(K15+L15)),0)</f>
        <v>712</v>
      </c>
      <c r="F62" s="59">
        <f>N4</f>
        <v>1.8849999999999999E-2</v>
      </c>
      <c r="G62" s="59"/>
      <c r="H62" s="54">
        <f>ROUND(D62*(E62+F62),2)</f>
        <v>13.42</v>
      </c>
      <c r="I62" s="1"/>
      <c r="J62" s="1"/>
      <c r="M62" s="1"/>
      <c r="N62" s="1"/>
      <c r="O62" s="1"/>
      <c r="P62" s="1"/>
    </row>
    <row r="63" spans="2:22" x14ac:dyDescent="0.3">
      <c r="B63" s="41" t="s">
        <v>44</v>
      </c>
      <c r="D63" s="58">
        <f>IF($K$13=M5,((D58+D59+D60)*(K15)/(K15+L15)),0)+IF($L$13=M5,((D58+D59+D60)*(L15)/(K15+L15)),0)</f>
        <v>0</v>
      </c>
      <c r="F63" s="59">
        <f>N5</f>
        <v>4.4630000000000003E-2</v>
      </c>
      <c r="G63" s="59"/>
      <c r="H63" s="54">
        <f t="shared" ref="H63:H65" si="36">ROUND(D63*(E63+F63),2)</f>
        <v>0</v>
      </c>
      <c r="I63" s="1"/>
      <c r="J63" s="1"/>
      <c r="K63" s="1"/>
      <c r="L63" s="1"/>
      <c r="M63" s="1"/>
      <c r="N63" s="1"/>
      <c r="O63" s="1"/>
      <c r="P63" s="1"/>
    </row>
    <row r="64" spans="2:22" x14ac:dyDescent="0.3">
      <c r="B64" s="41" t="s">
        <v>45</v>
      </c>
      <c r="D64" s="58">
        <f>IF($K$13=M6,((D58+D59+D60)*(K15)/(K15+L15)),0)+IF($L$13=M6,((D58+D59+D60)*(L15)/(K15+L15)),0)</f>
        <v>0</v>
      </c>
      <c r="F64" s="59">
        <f>N6</f>
        <v>7.8770000000000007E-2</v>
      </c>
      <c r="G64" s="59"/>
      <c r="H64" s="54">
        <f t="shared" si="36"/>
        <v>0</v>
      </c>
      <c r="I64" s="1"/>
      <c r="J64" s="1"/>
      <c r="K64" s="1"/>
      <c r="L64" s="1"/>
      <c r="M64" s="1"/>
      <c r="N64" s="1"/>
      <c r="O64" s="1"/>
      <c r="P64" s="1"/>
    </row>
    <row r="65" spans="2:16" x14ac:dyDescent="0.3">
      <c r="B65" s="41" t="s">
        <v>46</v>
      </c>
      <c r="D65" s="58">
        <f>IF($K$13=M7,((D58+D59+D60)*(K15)/(K15+L15)),0)+IF($L$13=M7,((D58+D59+D60)*(L15)/(K15+L15)),0)</f>
        <v>0</v>
      </c>
      <c r="F65" s="59">
        <f>N7</f>
        <v>0.14199999999999999</v>
      </c>
      <c r="G65" s="59"/>
      <c r="H65" s="54">
        <f t="shared" si="36"/>
        <v>0</v>
      </c>
      <c r="I65" s="1"/>
      <c r="J65" s="1"/>
      <c r="K65" s="1"/>
      <c r="L65" s="1"/>
      <c r="M65" s="1"/>
      <c r="N65" s="1"/>
      <c r="O65" s="1"/>
      <c r="P65" s="1"/>
    </row>
    <row r="66" spans="2:16" x14ac:dyDescent="0.3">
      <c r="B66" s="41"/>
      <c r="D66" s="60"/>
      <c r="H66" s="54"/>
      <c r="I66" s="1"/>
      <c r="J66" s="1"/>
      <c r="K66" s="1"/>
      <c r="L66" s="1"/>
      <c r="M66" s="1"/>
      <c r="N66" s="1"/>
      <c r="O66" s="1"/>
      <c r="P66" s="1"/>
    </row>
    <row r="67" spans="2:16" x14ac:dyDescent="0.3">
      <c r="B67" s="41" t="s">
        <v>205</v>
      </c>
      <c r="D67" s="218">
        <f>D30</f>
        <v>0</v>
      </c>
      <c r="E67" s="53">
        <f>E58*F52</f>
        <v>0.96626800000000002</v>
      </c>
      <c r="F67" s="250">
        <f>F58</f>
        <v>0.499614</v>
      </c>
      <c r="G67" s="53">
        <f>E67+F67</f>
        <v>1.4658820000000001</v>
      </c>
      <c r="H67" s="54">
        <f>ROUND((D67*E67),2)+ROUND((D67*F67),2)</f>
        <v>0</v>
      </c>
      <c r="I67" s="1"/>
      <c r="J67" s="1"/>
      <c r="K67" s="1"/>
      <c r="L67" s="1"/>
      <c r="M67" s="1"/>
      <c r="N67" s="1"/>
      <c r="O67" s="1"/>
      <c r="P67" s="1"/>
    </row>
    <row r="68" spans="2:16" x14ac:dyDescent="0.3">
      <c r="B68" s="41" t="s">
        <v>206</v>
      </c>
      <c r="D68" s="218">
        <f t="shared" ref="D68:D69" si="37">D31</f>
        <v>-215</v>
      </c>
      <c r="E68" s="53">
        <f>E59*F52</f>
        <v>0.3801033333333334</v>
      </c>
      <c r="F68" s="250">
        <f>F59</f>
        <v>0.31292066666666668</v>
      </c>
      <c r="G68" s="53">
        <f t="shared" ref="G68:G69" si="38">E68+F68</f>
        <v>0.69302400000000008</v>
      </c>
      <c r="H68" s="54">
        <f t="shared" ref="H68:H69" si="39">ROUND((D68*E68),2)+ROUND((D68*F68),2)</f>
        <v>-149</v>
      </c>
      <c r="I68" s="1"/>
      <c r="J68" s="1"/>
      <c r="K68" s="1"/>
      <c r="L68" s="1"/>
      <c r="M68" s="1"/>
      <c r="N68" s="1"/>
      <c r="O68" s="1"/>
      <c r="P68" s="1"/>
    </row>
    <row r="69" spans="2:16" x14ac:dyDescent="0.3">
      <c r="B69" s="41" t="s">
        <v>207</v>
      </c>
      <c r="D69" s="218">
        <f t="shared" si="37"/>
        <v>-107</v>
      </c>
      <c r="E69" s="53">
        <f>E60*F52</f>
        <v>0.67318599999999995</v>
      </c>
      <c r="F69" s="250">
        <f>F60</f>
        <v>0.31292066666666668</v>
      </c>
      <c r="G69" s="53">
        <f t="shared" si="38"/>
        <v>0.98610666666666669</v>
      </c>
      <c r="H69" s="54">
        <f t="shared" si="39"/>
        <v>-105.50999999999999</v>
      </c>
      <c r="I69" s="1"/>
      <c r="J69" s="1"/>
      <c r="K69" s="1"/>
      <c r="L69" s="1"/>
      <c r="M69" s="1"/>
      <c r="N69" s="1"/>
      <c r="O69" s="1"/>
      <c r="P69" s="1"/>
    </row>
    <row r="70" spans="2:16" x14ac:dyDescent="0.3">
      <c r="B70" s="41"/>
      <c r="D70" s="56"/>
      <c r="E70" s="56"/>
      <c r="F70" s="57"/>
      <c r="G70" s="57"/>
      <c r="H70" s="54"/>
      <c r="I70" s="1"/>
      <c r="J70" s="1"/>
      <c r="K70" s="1"/>
      <c r="L70" s="1"/>
      <c r="M70" s="1"/>
      <c r="N70" s="1"/>
      <c r="O70" s="1"/>
      <c r="P70" s="1"/>
    </row>
    <row r="71" spans="2:16" x14ac:dyDescent="0.3">
      <c r="B71" s="41" t="s">
        <v>208</v>
      </c>
      <c r="D71" s="58">
        <f>IF($K$13=M4,((D67+D68+D69)*(K15)/(K15+L15)),0)+IF($L$13=M4,((D67+D68+D69)*(L15)/(K15+L15)),0)</f>
        <v>-322</v>
      </c>
      <c r="F71" s="59">
        <f>N4</f>
        <v>1.8849999999999999E-2</v>
      </c>
      <c r="G71" s="59"/>
      <c r="H71" s="54">
        <f>ROUND(D71*(E71+F71),2)</f>
        <v>-6.07</v>
      </c>
      <c r="I71" s="1"/>
      <c r="J71" s="1"/>
      <c r="K71" s="1"/>
      <c r="L71" s="1"/>
      <c r="M71" s="1"/>
      <c r="N71" s="1"/>
      <c r="O71" s="1"/>
      <c r="P71" s="1"/>
    </row>
    <row r="72" spans="2:16" x14ac:dyDescent="0.3">
      <c r="B72" s="41" t="s">
        <v>209</v>
      </c>
      <c r="D72" s="58">
        <f>IF($K$13=M5,((D68+D69+D70)*(K15)/(K15+L15)),0)+IF($L$13=M5,((D68+D69+D70)*(L15)/(K15+L15)),0)</f>
        <v>0</v>
      </c>
      <c r="F72" s="59">
        <f>N14</f>
        <v>0</v>
      </c>
      <c r="G72" s="59"/>
      <c r="H72" s="54">
        <f>ROUND(D72*(E72+F72),2)</f>
        <v>0</v>
      </c>
      <c r="I72" s="1"/>
      <c r="J72" s="1"/>
      <c r="K72" s="1"/>
      <c r="L72" s="1"/>
      <c r="M72" s="1"/>
      <c r="N72" s="1"/>
      <c r="O72" s="1"/>
      <c r="P72" s="1"/>
    </row>
    <row r="73" spans="2:16" x14ac:dyDescent="0.3">
      <c r="B73" s="41" t="s">
        <v>210</v>
      </c>
      <c r="D73" s="58">
        <f>IF($K$13=M6,((D69+D70+D71)*(K15)/(K15+L15)),0)+IF($L$13=M6,((D69+D70+D71)*(L15)/(K15+L15)),0)</f>
        <v>0</v>
      </c>
      <c r="F73" s="59">
        <f>N15</f>
        <v>0</v>
      </c>
      <c r="G73" s="59"/>
      <c r="H73" s="54">
        <f>ROUND(D73*(E73+F73),2)</f>
        <v>0</v>
      </c>
      <c r="I73" s="1"/>
      <c r="J73" s="1"/>
      <c r="K73" s="1"/>
      <c r="L73" s="1"/>
      <c r="M73" s="1"/>
      <c r="N73" s="1"/>
      <c r="O73" s="1"/>
      <c r="P73" s="1"/>
    </row>
    <row r="74" spans="2:16" x14ac:dyDescent="0.3">
      <c r="B74" s="41" t="s">
        <v>211</v>
      </c>
      <c r="D74" s="58">
        <f>IF($K$13=M7,((D70+D71+D72)*(K15)/(K15+L15)),0)+IF($L$13=M7,((D70+D71+D72)*(L15)/(K15+L15)),0)</f>
        <v>0</v>
      </c>
      <c r="F74" s="59">
        <f>N16</f>
        <v>0</v>
      </c>
      <c r="G74" s="59"/>
      <c r="H74" s="54">
        <f>ROUND(D74*(E74+F74),2)</f>
        <v>0</v>
      </c>
      <c r="I74" s="1"/>
      <c r="J74" s="1"/>
      <c r="K74" s="1"/>
      <c r="L74" s="1"/>
      <c r="M74" s="1"/>
      <c r="N74" s="1"/>
      <c r="O74" s="1"/>
      <c r="P74" s="1"/>
    </row>
    <row r="75" spans="2:16" x14ac:dyDescent="0.3">
      <c r="B75" s="74"/>
      <c r="C75" s="75"/>
      <c r="D75" s="254"/>
      <c r="E75" s="255"/>
      <c r="F75" s="75"/>
      <c r="G75" s="75"/>
      <c r="H75" s="256"/>
      <c r="I75" s="1"/>
      <c r="J75" s="1"/>
      <c r="K75" s="1"/>
      <c r="L75" s="1"/>
      <c r="M75" s="1"/>
      <c r="N75" s="1"/>
      <c r="O75" s="1"/>
      <c r="P75" s="1"/>
    </row>
    <row r="76" spans="2:16" x14ac:dyDescent="0.3">
      <c r="B76" s="34"/>
      <c r="C76" s="35"/>
      <c r="D76" s="35"/>
      <c r="E76" s="35"/>
      <c r="F76" s="35"/>
      <c r="G76" s="35"/>
      <c r="H76" s="338">
        <v>46.51</v>
      </c>
      <c r="I76" s="1"/>
      <c r="L76" s="1"/>
      <c r="M76" s="1"/>
      <c r="N76" s="1"/>
      <c r="O76" s="1"/>
      <c r="P76" s="1"/>
    </row>
    <row r="77" spans="2:16" x14ac:dyDescent="0.3">
      <c r="B77" s="41"/>
      <c r="D77" s="63" t="s">
        <v>48</v>
      </c>
      <c r="E77" s="64"/>
      <c r="F77" s="64"/>
      <c r="G77" s="64"/>
      <c r="H77" s="339">
        <v>62.53</v>
      </c>
      <c r="I77" s="66"/>
      <c r="K77" s="67"/>
      <c r="L77" s="1"/>
      <c r="M77" s="1"/>
      <c r="N77" s="1"/>
      <c r="O77" s="1"/>
      <c r="P77" s="1"/>
    </row>
    <row r="78" spans="2:16" x14ac:dyDescent="0.3">
      <c r="B78" s="41" t="s">
        <v>49</v>
      </c>
      <c r="D78" s="67">
        <f>(SUM(H58:H65)/(1-E78-E80))</f>
        <v>742.1400404987744</v>
      </c>
      <c r="E78" s="258">
        <f>N19</f>
        <v>1.0999999999999999E-2</v>
      </c>
      <c r="H78" s="54">
        <f t="shared" ref="H78:H83" si="40">D78*E78</f>
        <v>8.1635404454865181</v>
      </c>
      <c r="I78" s="67"/>
      <c r="L78" s="1"/>
      <c r="M78" s="1"/>
      <c r="N78" s="1"/>
      <c r="O78" s="1"/>
      <c r="P78" s="1"/>
    </row>
    <row r="79" spans="2:16" x14ac:dyDescent="0.3">
      <c r="B79" s="41" t="s">
        <v>241</v>
      </c>
      <c r="D79" s="67">
        <f>(SUM(H67:H74)/(1-E79-E81))</f>
        <v>-277.71501651923688</v>
      </c>
      <c r="E79" s="258">
        <f>E78</f>
        <v>1.0999999999999999E-2</v>
      </c>
      <c r="H79" s="54">
        <f t="shared" si="40"/>
        <v>-3.0548651817116057</v>
      </c>
      <c r="I79" s="67"/>
      <c r="L79" s="1"/>
      <c r="M79" s="1"/>
      <c r="N79" s="1"/>
      <c r="O79" s="1"/>
      <c r="P79" s="1"/>
    </row>
    <row r="80" spans="2:16" x14ac:dyDescent="0.3">
      <c r="B80" s="41" t="s">
        <v>51</v>
      </c>
      <c r="D80" s="67">
        <f>D78</f>
        <v>742.1400404987744</v>
      </c>
      <c r="E80" s="258">
        <f>N21</f>
        <v>5.0700000000000002E-2</v>
      </c>
      <c r="H80" s="54">
        <f t="shared" si="40"/>
        <v>37.626500053287863</v>
      </c>
      <c r="I80" s="67"/>
      <c r="L80" s="1"/>
      <c r="M80" s="1"/>
      <c r="N80" s="1"/>
      <c r="O80" s="1"/>
      <c r="P80" s="1"/>
    </row>
    <row r="81" spans="2:16" x14ac:dyDescent="0.3">
      <c r="B81" s="41" t="s">
        <v>242</v>
      </c>
      <c r="D81" s="67">
        <f>D79</f>
        <v>-277.71501651923688</v>
      </c>
      <c r="E81" s="258">
        <f>E80</f>
        <v>5.0700000000000002E-2</v>
      </c>
      <c r="H81" s="54">
        <f t="shared" si="40"/>
        <v>-14.08015133752531</v>
      </c>
      <c r="I81" s="67"/>
      <c r="L81" s="1"/>
      <c r="M81" s="1"/>
      <c r="N81" s="1"/>
      <c r="O81" s="1"/>
      <c r="P81" s="1"/>
    </row>
    <row r="82" spans="2:16" x14ac:dyDescent="0.3">
      <c r="B82" s="41" t="s">
        <v>11</v>
      </c>
      <c r="D82" s="259">
        <f>D78/(1-E82)</f>
        <v>894.14462710695716</v>
      </c>
      <c r="E82" s="260">
        <v>0.17</v>
      </c>
      <c r="H82" s="54">
        <f t="shared" si="40"/>
        <v>152.00458660818273</v>
      </c>
      <c r="I82" s="67"/>
      <c r="L82" s="1"/>
      <c r="M82" s="1"/>
      <c r="N82" s="1"/>
      <c r="O82" s="1"/>
      <c r="P82" s="1"/>
    </row>
    <row r="83" spans="2:16" x14ac:dyDescent="0.3">
      <c r="B83" s="41" t="s">
        <v>243</v>
      </c>
      <c r="D83" s="259">
        <f>((D67*F67)+(D68*F68)+(D69*F69)+H71+H72+H73+H74)/(1-E79-E81)/(1-E83)</f>
        <v>-137.17509449500017</v>
      </c>
      <c r="E83" s="260">
        <v>0.17</v>
      </c>
      <c r="H83" s="54">
        <f t="shared" si="40"/>
        <v>-23.319766064150031</v>
      </c>
      <c r="J83" s="19">
        <f>IF($K$13=M4,((D67+D68+D69)*(K15)/(K15+L15)),0)+IF($L$13=M4,((D67+D68+D69)*(L15)/(K15+L15)),0)</f>
        <v>-322</v>
      </c>
      <c r="L83" s="1"/>
      <c r="M83" s="1"/>
      <c r="N83" s="1"/>
      <c r="O83" s="1"/>
      <c r="P83" s="1"/>
    </row>
    <row r="84" spans="2:16" x14ac:dyDescent="0.3">
      <c r="B84" s="219" t="s">
        <v>166</v>
      </c>
      <c r="C84" s="130"/>
      <c r="D84" s="220">
        <f>SUM(D58:D60)+SUM(D67:D69)</f>
        <v>390</v>
      </c>
      <c r="E84" s="221">
        <f>IF(AND($B$15&lt;$F$2,$E$15&lt;$F$2),C9,IF($B$15&lt;$F$2,I9,F9))</f>
        <v>1.8608682270474647E-4</v>
      </c>
      <c r="F84" s="221">
        <f>IF(AND($B$15&lt;$F$2,$E$15&lt;$F$2),D9,IF($B$15&lt;$F$2,J9,G9))</f>
        <v>-2.5965236115047629E-3</v>
      </c>
      <c r="G84" s="130"/>
      <c r="H84" s="219">
        <f>D84*(E84+F84)</f>
        <v>-0.94007034763200636</v>
      </c>
      <c r="L84" s="1"/>
      <c r="M84" s="1"/>
      <c r="N84" s="1"/>
      <c r="O84" s="1"/>
      <c r="P84" s="1"/>
    </row>
    <row r="85" spans="2:16" x14ac:dyDescent="0.3">
      <c r="L85" s="1"/>
      <c r="M85" s="1"/>
      <c r="N85" s="1"/>
      <c r="O85" s="1"/>
      <c r="P85" s="1"/>
    </row>
    <row r="86" spans="2:16" x14ac:dyDescent="0.3">
      <c r="B86" s="127" t="s">
        <v>185</v>
      </c>
      <c r="D86" s="64"/>
      <c r="E86" s="64" t="s">
        <v>8</v>
      </c>
      <c r="F86" s="64"/>
      <c r="G86" s="64"/>
      <c r="H86" s="66"/>
    </row>
    <row r="87" spans="2:16" x14ac:dyDescent="0.3">
      <c r="B87" s="262"/>
      <c r="C87" s="263" t="s">
        <v>7</v>
      </c>
    </row>
    <row r="88" spans="2:16" x14ac:dyDescent="0.3">
      <c r="B88" s="262" t="s">
        <v>186</v>
      </c>
      <c r="C88" s="264">
        <f>(SUM(H58:H65)*IF($B$15&lt;$F$2,D126,D98))</f>
        <v>301.33565234067584</v>
      </c>
    </row>
    <row r="89" spans="2:16" x14ac:dyDescent="0.3">
      <c r="B89" s="262" t="s">
        <v>187</v>
      </c>
      <c r="C89" s="264">
        <f>(SUM(H58:H65)*IF($B$15&lt;$F$2,F126,F98))</f>
        <v>180.91323147220544</v>
      </c>
    </row>
    <row r="90" spans="2:16" x14ac:dyDescent="0.3">
      <c r="B90" s="262" t="s">
        <v>188</v>
      </c>
      <c r="C90" s="264">
        <f>(SUM(H58:H65)*IF($B$15&lt;$F$2,E126,E98))</f>
        <v>56.701010909573561</v>
      </c>
    </row>
    <row r="91" spans="2:16" x14ac:dyDescent="0.3">
      <c r="B91" s="262" t="s">
        <v>189</v>
      </c>
      <c r="C91" s="264">
        <f>(SUM(H58:H65)*IF($B$15&lt;$F$2,G126,G98))</f>
        <v>157.40010527754524</v>
      </c>
    </row>
    <row r="92" spans="2:16" x14ac:dyDescent="0.3">
      <c r="B92" s="262" t="s">
        <v>190</v>
      </c>
      <c r="C92" s="265">
        <f>H78+H80+H82</f>
        <v>197.79462710695711</v>
      </c>
    </row>
    <row r="93" spans="2:16" x14ac:dyDescent="0.3">
      <c r="B93" s="266" t="s">
        <v>191</v>
      </c>
      <c r="C93" s="267">
        <f>SUM(C88:C92)</f>
        <v>894.14462710695716</v>
      </c>
    </row>
    <row r="95" spans="2:16" x14ac:dyDescent="0.3">
      <c r="B95" s="190">
        <v>2023</v>
      </c>
      <c r="C95" s="190"/>
      <c r="D95" s="190" t="s">
        <v>186</v>
      </c>
      <c r="E95" s="190" t="s">
        <v>188</v>
      </c>
      <c r="F95" s="190" t="s">
        <v>187</v>
      </c>
      <c r="G95" s="190" t="s">
        <v>192</v>
      </c>
    </row>
    <row r="96" spans="2:16" x14ac:dyDescent="0.3">
      <c r="B96" s="190" t="s">
        <v>193</v>
      </c>
      <c r="C96" s="190"/>
      <c r="D96" s="190" t="s">
        <v>194</v>
      </c>
      <c r="E96" s="190" t="s">
        <v>194</v>
      </c>
      <c r="F96" s="190" t="s">
        <v>194</v>
      </c>
      <c r="G96" s="190" t="s">
        <v>194</v>
      </c>
    </row>
    <row r="97" spans="2:10" x14ac:dyDescent="0.3">
      <c r="B97" s="190"/>
      <c r="C97" s="190"/>
      <c r="D97" s="190"/>
      <c r="E97" s="190"/>
      <c r="F97" s="190"/>
      <c r="G97" s="190"/>
    </row>
    <row r="98" spans="2:10" x14ac:dyDescent="0.3">
      <c r="B98" s="190" t="s">
        <v>195</v>
      </c>
      <c r="C98" s="190"/>
      <c r="D98" s="268">
        <v>0.43273591202796846</v>
      </c>
      <c r="E98" s="268">
        <v>8.1426022703487561E-2</v>
      </c>
      <c r="F98" s="268">
        <v>0.25980215620335384</v>
      </c>
      <c r="G98" s="268">
        <v>0.22603590906519025</v>
      </c>
    </row>
    <row r="99" spans="2:10" x14ac:dyDescent="0.3">
      <c r="B99" s="190" t="s">
        <v>196</v>
      </c>
      <c r="C99" s="190"/>
      <c r="D99" s="268">
        <v>0.52914974745856724</v>
      </c>
      <c r="E99" s="268">
        <v>9.9567792162627941E-2</v>
      </c>
      <c r="F99" s="268">
        <v>0.31768624124570172</v>
      </c>
      <c r="G99" s="268">
        <v>5.3596219133103154E-2</v>
      </c>
    </row>
    <row r="100" spans="2:10" x14ac:dyDescent="0.3">
      <c r="B100" s="190" t="s">
        <v>197</v>
      </c>
      <c r="C100" s="190"/>
      <c r="D100" s="268">
        <v>0.43273591202796835</v>
      </c>
      <c r="E100" s="268">
        <v>8.1426022703487574E-2</v>
      </c>
      <c r="F100" s="268">
        <v>0.25980215620335428</v>
      </c>
      <c r="G100" s="268">
        <v>0.22603590906518967</v>
      </c>
    </row>
    <row r="101" spans="2:10" x14ac:dyDescent="0.3">
      <c r="B101" s="190" t="s">
        <v>198</v>
      </c>
      <c r="C101" s="190"/>
      <c r="D101" s="268">
        <v>0.43273591202796835</v>
      </c>
      <c r="E101" s="268">
        <v>8.1426022703487574E-2</v>
      </c>
      <c r="F101" s="268">
        <v>0.25980215620335428</v>
      </c>
      <c r="G101" s="268">
        <v>0.22603590906518967</v>
      </c>
    </row>
    <row r="102" spans="2:10" x14ac:dyDescent="0.3">
      <c r="B102" s="190" t="s">
        <v>199</v>
      </c>
      <c r="C102" s="190"/>
      <c r="D102" s="268">
        <v>0.43273591202796846</v>
      </c>
      <c r="E102" s="268">
        <v>8.1426022703487491E-2</v>
      </c>
      <c r="F102" s="268">
        <v>0.25980215620335423</v>
      </c>
      <c r="G102" s="268">
        <v>0.22603590906518969</v>
      </c>
    </row>
    <row r="103" spans="2:10" x14ac:dyDescent="0.3">
      <c r="B103" s="190" t="s">
        <v>200</v>
      </c>
      <c r="C103" s="190"/>
      <c r="D103" s="268">
        <v>0.43273591202796846</v>
      </c>
      <c r="E103" s="268">
        <v>8.1426022703487561E-2</v>
      </c>
      <c r="F103" s="268">
        <v>0.25980215620335384</v>
      </c>
      <c r="G103" s="268">
        <v>0.22603590906519025</v>
      </c>
    </row>
    <row r="104" spans="2:10" x14ac:dyDescent="0.3">
      <c r="B104" s="190" t="s">
        <v>201</v>
      </c>
      <c r="C104" s="190"/>
      <c r="D104" s="268">
        <v>0.43273591202796846</v>
      </c>
      <c r="E104" s="268">
        <v>8.1426022703487561E-2</v>
      </c>
      <c r="F104" s="268">
        <v>0.25980215620335384</v>
      </c>
      <c r="G104" s="268">
        <v>0.22603590906519025</v>
      </c>
    </row>
    <row r="105" spans="2:10" x14ac:dyDescent="0.3">
      <c r="B105" s="190" t="s">
        <v>202</v>
      </c>
      <c r="C105" s="190"/>
      <c r="D105" s="268">
        <v>0.43273591202796818</v>
      </c>
      <c r="E105" s="268">
        <v>8.1426022703487477E-2</v>
      </c>
      <c r="F105" s="268">
        <v>0.25980215620335462</v>
      </c>
      <c r="G105" s="268">
        <v>0.22603590906518975</v>
      </c>
      <c r="J105" s="24"/>
    </row>
    <row r="106" spans="2:10" x14ac:dyDescent="0.3">
      <c r="B106" s="190" t="s">
        <v>203</v>
      </c>
      <c r="C106" s="190"/>
      <c r="D106" s="268">
        <v>0.43273591202796957</v>
      </c>
      <c r="E106" s="268">
        <v>8.1426022703487561E-2</v>
      </c>
      <c r="F106" s="268">
        <v>0.25980215620335317</v>
      </c>
      <c r="G106" s="268">
        <v>0.22603590906518972</v>
      </c>
    </row>
    <row r="107" spans="2:10" x14ac:dyDescent="0.3">
      <c r="B107" s="127"/>
      <c r="C107" s="127"/>
      <c r="D107" s="127"/>
      <c r="E107" s="127"/>
      <c r="F107" s="127"/>
      <c r="G107" s="127"/>
    </row>
    <row r="108" spans="2:10" x14ac:dyDescent="0.3">
      <c r="B108" s="127"/>
      <c r="C108" s="127"/>
      <c r="D108" s="127"/>
      <c r="E108" s="127"/>
      <c r="F108" s="127"/>
      <c r="G108" s="127"/>
    </row>
    <row r="109" spans="2:10" x14ac:dyDescent="0.3">
      <c r="B109" s="127">
        <v>2022</v>
      </c>
      <c r="C109" s="190"/>
      <c r="D109" s="190" t="s">
        <v>186</v>
      </c>
      <c r="E109" s="190" t="s">
        <v>188</v>
      </c>
      <c r="F109" s="190" t="s">
        <v>187</v>
      </c>
      <c r="G109" s="190" t="s">
        <v>192</v>
      </c>
    </row>
    <row r="110" spans="2:10" x14ac:dyDescent="0.3">
      <c r="B110" s="190" t="s">
        <v>193</v>
      </c>
      <c r="C110" s="190"/>
      <c r="D110" s="190" t="s">
        <v>194</v>
      </c>
      <c r="E110" s="190" t="s">
        <v>194</v>
      </c>
      <c r="F110" s="190" t="s">
        <v>194</v>
      </c>
      <c r="G110" s="190" t="s">
        <v>194</v>
      </c>
    </row>
    <row r="111" spans="2:10" x14ac:dyDescent="0.3">
      <c r="B111" s="190"/>
      <c r="C111" s="190"/>
      <c r="D111" s="190"/>
      <c r="E111" s="190"/>
      <c r="F111" s="190"/>
      <c r="G111" s="190"/>
    </row>
    <row r="112" spans="2:10" x14ac:dyDescent="0.3">
      <c r="B112" s="190" t="s">
        <v>195</v>
      </c>
      <c r="C112" s="190"/>
      <c r="D112" s="268">
        <v>0.43273591202796846</v>
      </c>
      <c r="E112" s="268">
        <v>8.1426022703487561E-2</v>
      </c>
      <c r="F112" s="268">
        <v>0.25980215620335384</v>
      </c>
      <c r="G112" s="268">
        <v>0.22603590906519025</v>
      </c>
    </row>
    <row r="113" spans="2:7" x14ac:dyDescent="0.3">
      <c r="B113" s="190" t="s">
        <v>196</v>
      </c>
      <c r="C113" s="190"/>
      <c r="D113" s="268">
        <v>0.52914974745856724</v>
      </c>
      <c r="E113" s="268">
        <v>9.9567792162627941E-2</v>
      </c>
      <c r="F113" s="268">
        <v>0.31768624124570172</v>
      </c>
      <c r="G113" s="268">
        <v>5.3596219133103154E-2</v>
      </c>
    </row>
    <row r="114" spans="2:7" x14ac:dyDescent="0.3">
      <c r="B114" s="190" t="s">
        <v>197</v>
      </c>
      <c r="C114" s="190"/>
      <c r="D114" s="268">
        <v>0.43273591202796835</v>
      </c>
      <c r="E114" s="268">
        <v>8.1426022703487574E-2</v>
      </c>
      <c r="F114" s="268">
        <v>0.25980215620335428</v>
      </c>
      <c r="G114" s="268">
        <v>0.22603590906518967</v>
      </c>
    </row>
    <row r="115" spans="2:7" x14ac:dyDescent="0.3">
      <c r="B115" s="190" t="s">
        <v>198</v>
      </c>
      <c r="C115" s="190"/>
      <c r="D115" s="268">
        <v>0.43273591202796835</v>
      </c>
      <c r="E115" s="268">
        <v>8.1426022703487574E-2</v>
      </c>
      <c r="F115" s="268">
        <v>0.25980215620335428</v>
      </c>
      <c r="G115" s="268">
        <v>0.22603590906518967</v>
      </c>
    </row>
    <row r="116" spans="2:7" x14ac:dyDescent="0.3">
      <c r="B116" s="190" t="s">
        <v>199</v>
      </c>
      <c r="C116" s="190"/>
      <c r="D116" s="268">
        <v>0.43273591202796846</v>
      </c>
      <c r="E116" s="268">
        <v>8.1426022703487491E-2</v>
      </c>
      <c r="F116" s="268">
        <v>0.25980215620335423</v>
      </c>
      <c r="G116" s="268">
        <v>0.22603590906518969</v>
      </c>
    </row>
    <row r="117" spans="2:7" x14ac:dyDescent="0.3">
      <c r="B117" s="190" t="s">
        <v>200</v>
      </c>
      <c r="C117" s="190"/>
      <c r="D117" s="268">
        <v>0.43273591202796846</v>
      </c>
      <c r="E117" s="268">
        <v>8.1426022703487561E-2</v>
      </c>
      <c r="F117" s="268">
        <v>0.25980215620335384</v>
      </c>
      <c r="G117" s="268">
        <v>0.22603590906519025</v>
      </c>
    </row>
    <row r="118" spans="2:7" x14ac:dyDescent="0.3">
      <c r="B118" s="190" t="s">
        <v>201</v>
      </c>
      <c r="C118" s="190"/>
      <c r="D118" s="268">
        <v>0.43273591202796846</v>
      </c>
      <c r="E118" s="268">
        <v>8.1426022703487561E-2</v>
      </c>
      <c r="F118" s="268">
        <v>0.25980215620335384</v>
      </c>
      <c r="G118" s="268">
        <v>0.22603590906519025</v>
      </c>
    </row>
    <row r="119" spans="2:7" x14ac:dyDescent="0.3">
      <c r="B119" s="190" t="s">
        <v>202</v>
      </c>
      <c r="C119" s="190"/>
      <c r="D119" s="268">
        <v>0.43273591202796818</v>
      </c>
      <c r="E119" s="268">
        <v>8.1426022703487477E-2</v>
      </c>
      <c r="F119" s="268">
        <v>0.25980215620335462</v>
      </c>
      <c r="G119" s="268">
        <v>0.22603590906518975</v>
      </c>
    </row>
    <row r="120" spans="2:7" x14ac:dyDescent="0.3">
      <c r="B120" s="190" t="s">
        <v>203</v>
      </c>
      <c r="C120" s="190"/>
      <c r="D120" s="268">
        <v>0.43273591202796957</v>
      </c>
      <c r="E120" s="268">
        <v>8.1426022703487561E-2</v>
      </c>
      <c r="F120" s="268">
        <v>0.25980215620335317</v>
      </c>
      <c r="G120" s="268">
        <v>0.22603590906518972</v>
      </c>
    </row>
    <row r="121" spans="2:7" x14ac:dyDescent="0.3">
      <c r="B121" s="127"/>
      <c r="C121" s="127"/>
      <c r="D121" s="127"/>
      <c r="E121" s="127"/>
      <c r="F121" s="127"/>
      <c r="G121" s="127"/>
    </row>
    <row r="122" spans="2:7" x14ac:dyDescent="0.3">
      <c r="B122" s="269" t="s">
        <v>204</v>
      </c>
      <c r="C122" s="127"/>
      <c r="D122" s="127"/>
      <c r="E122" s="127"/>
      <c r="F122" s="127"/>
      <c r="G122" s="127"/>
    </row>
    <row r="123" spans="2:7" x14ac:dyDescent="0.3">
      <c r="B123" s="190"/>
      <c r="C123" s="190"/>
      <c r="D123" s="190" t="s">
        <v>186</v>
      </c>
      <c r="E123" s="190" t="s">
        <v>188</v>
      </c>
      <c r="F123" s="190" t="s">
        <v>187</v>
      </c>
      <c r="G123" s="190" t="s">
        <v>192</v>
      </c>
    </row>
    <row r="124" spans="2:7" x14ac:dyDescent="0.3">
      <c r="B124" s="190" t="s">
        <v>193</v>
      </c>
      <c r="C124" s="190"/>
      <c r="D124" s="268" t="s">
        <v>194</v>
      </c>
      <c r="E124" s="268" t="s">
        <v>194</v>
      </c>
      <c r="F124" s="268" t="s">
        <v>194</v>
      </c>
      <c r="G124" s="268" t="s">
        <v>194</v>
      </c>
    </row>
    <row r="125" spans="2:7" x14ac:dyDescent="0.3">
      <c r="B125" s="190"/>
      <c r="C125" s="190"/>
      <c r="D125" s="268"/>
      <c r="E125" s="268"/>
      <c r="F125" s="268"/>
      <c r="G125" s="268"/>
    </row>
    <row r="126" spans="2:7" x14ac:dyDescent="0.3">
      <c r="B126" s="190" t="s">
        <v>195</v>
      </c>
      <c r="C126" s="190"/>
      <c r="D126" s="268">
        <f t="shared" ref="D126:G134" si="41">((D112*$C$15)+(D98*$D$15))/($C$15+$D$15)</f>
        <v>0.43273591202796846</v>
      </c>
      <c r="E126" s="268">
        <f t="shared" si="41"/>
        <v>8.1426022703487561E-2</v>
      </c>
      <c r="F126" s="268">
        <f t="shared" si="41"/>
        <v>0.25980215620335384</v>
      </c>
      <c r="G126" s="268">
        <f t="shared" si="41"/>
        <v>0.22603590906519025</v>
      </c>
    </row>
    <row r="127" spans="2:7" x14ac:dyDescent="0.3">
      <c r="B127" s="190" t="s">
        <v>196</v>
      </c>
      <c r="C127" s="190"/>
      <c r="D127" s="268">
        <f t="shared" si="41"/>
        <v>0.52914974745856724</v>
      </c>
      <c r="E127" s="268">
        <f t="shared" si="41"/>
        <v>9.9567792162627941E-2</v>
      </c>
      <c r="F127" s="268">
        <f t="shared" si="41"/>
        <v>0.31768624124570172</v>
      </c>
      <c r="G127" s="268">
        <f t="shared" si="41"/>
        <v>5.3596219133103154E-2</v>
      </c>
    </row>
    <row r="128" spans="2:7" x14ac:dyDescent="0.3">
      <c r="B128" s="190" t="s">
        <v>197</v>
      </c>
      <c r="C128" s="190"/>
      <c r="D128" s="268">
        <f t="shared" si="41"/>
        <v>0.43273591202796829</v>
      </c>
      <c r="E128" s="268">
        <f t="shared" si="41"/>
        <v>8.1426022703487574E-2</v>
      </c>
      <c r="F128" s="268">
        <f t="shared" si="41"/>
        <v>0.25980215620335428</v>
      </c>
      <c r="G128" s="268">
        <f t="shared" si="41"/>
        <v>0.22603590906518967</v>
      </c>
    </row>
    <row r="129" spans="2:7" x14ac:dyDescent="0.3">
      <c r="B129" s="190" t="s">
        <v>198</v>
      </c>
      <c r="C129" s="190"/>
      <c r="D129" s="268">
        <f t="shared" si="41"/>
        <v>0.43273591202796829</v>
      </c>
      <c r="E129" s="268">
        <f t="shared" si="41"/>
        <v>8.1426022703487574E-2</v>
      </c>
      <c r="F129" s="268">
        <f t="shared" si="41"/>
        <v>0.25980215620335428</v>
      </c>
      <c r="G129" s="268">
        <f t="shared" si="41"/>
        <v>0.22603590906518967</v>
      </c>
    </row>
    <row r="130" spans="2:7" x14ac:dyDescent="0.3">
      <c r="B130" s="190" t="s">
        <v>199</v>
      </c>
      <c r="C130" s="190"/>
      <c r="D130" s="268">
        <f t="shared" si="41"/>
        <v>0.43273591202796846</v>
      </c>
      <c r="E130" s="268">
        <f t="shared" si="41"/>
        <v>8.1426022703487491E-2</v>
      </c>
      <c r="F130" s="268">
        <f t="shared" si="41"/>
        <v>0.25980215620335423</v>
      </c>
      <c r="G130" s="268">
        <f t="shared" si="41"/>
        <v>0.22603590906518969</v>
      </c>
    </row>
    <row r="131" spans="2:7" x14ac:dyDescent="0.3">
      <c r="B131" s="190" t="s">
        <v>200</v>
      </c>
      <c r="C131" s="190"/>
      <c r="D131" s="268">
        <f t="shared" si="41"/>
        <v>0.43273591202796846</v>
      </c>
      <c r="E131" s="268">
        <f t="shared" si="41"/>
        <v>8.1426022703487561E-2</v>
      </c>
      <c r="F131" s="268">
        <f t="shared" si="41"/>
        <v>0.25980215620335384</v>
      </c>
      <c r="G131" s="268">
        <f t="shared" si="41"/>
        <v>0.22603590906519025</v>
      </c>
    </row>
    <row r="132" spans="2:7" x14ac:dyDescent="0.3">
      <c r="B132" s="190" t="s">
        <v>201</v>
      </c>
      <c r="C132" s="190"/>
      <c r="D132" s="268">
        <f t="shared" si="41"/>
        <v>0.43273591202796846</v>
      </c>
      <c r="E132" s="268">
        <f t="shared" si="41"/>
        <v>8.1426022703487561E-2</v>
      </c>
      <c r="F132" s="268">
        <f t="shared" si="41"/>
        <v>0.25980215620335384</v>
      </c>
      <c r="G132" s="268">
        <f t="shared" si="41"/>
        <v>0.22603590906519025</v>
      </c>
    </row>
    <row r="133" spans="2:7" x14ac:dyDescent="0.3">
      <c r="B133" s="190" t="s">
        <v>202</v>
      </c>
      <c r="C133" s="190"/>
      <c r="D133" s="268">
        <f t="shared" si="41"/>
        <v>0.43273591202796818</v>
      </c>
      <c r="E133" s="268">
        <f t="shared" si="41"/>
        <v>8.1426022703487477E-2</v>
      </c>
      <c r="F133" s="268">
        <f t="shared" si="41"/>
        <v>0.25980215620335462</v>
      </c>
      <c r="G133" s="268">
        <f t="shared" si="41"/>
        <v>0.22603590906518975</v>
      </c>
    </row>
    <row r="134" spans="2:7" x14ac:dyDescent="0.3">
      <c r="B134" s="190" t="s">
        <v>203</v>
      </c>
      <c r="C134" s="190"/>
      <c r="D134" s="268">
        <f t="shared" si="41"/>
        <v>0.43273591202796957</v>
      </c>
      <c r="E134" s="268">
        <f t="shared" si="41"/>
        <v>8.1426022703487561E-2</v>
      </c>
      <c r="F134" s="268">
        <f t="shared" si="41"/>
        <v>0.25980215620335317</v>
      </c>
      <c r="G134" s="268">
        <f t="shared" si="41"/>
        <v>0.22603590906518972</v>
      </c>
    </row>
  </sheetData>
  <mergeCells count="11">
    <mergeCell ref="R4:T4"/>
    <mergeCell ref="U4:W4"/>
    <mergeCell ref="X4:Z4"/>
    <mergeCell ref="K12:L12"/>
    <mergeCell ref="B54:H54"/>
    <mergeCell ref="Q4:Q5"/>
    <mergeCell ref="H2:I2"/>
    <mergeCell ref="B4:B5"/>
    <mergeCell ref="C4:E4"/>
    <mergeCell ref="F4:H4"/>
    <mergeCell ref="I4:K4"/>
  </mergeCells>
  <conditionalFormatting sqref="K13:L13">
    <cfRule type="cellIs" dxfId="97" priority="1" operator="equal">
      <formula>"Escassez Hídrica"</formula>
    </cfRule>
    <cfRule type="cellIs" dxfId="96" priority="2" operator="equal">
      <formula>"VERDE"</formula>
    </cfRule>
    <cfRule type="cellIs" dxfId="95" priority="3" operator="equal">
      <formula>"BVM2"</formula>
    </cfRule>
    <cfRule type="cellIs" dxfId="94" priority="4" operator="equal">
      <formula>"BVM1"</formula>
    </cfRule>
    <cfRule type="cellIs" dxfId="93" priority="5" operator="equal">
      <formula>"BAM"</formula>
    </cfRule>
  </conditionalFormatting>
  <conditionalFormatting sqref="M3">
    <cfRule type="cellIs" dxfId="92" priority="16" operator="equal">
      <formula>"VERDE"</formula>
    </cfRule>
    <cfRule type="cellIs" dxfId="91" priority="17" operator="equal">
      <formula>"BVM2"</formula>
    </cfRule>
    <cfRule type="cellIs" dxfId="90" priority="18" operator="equal">
      <formula>"BVM1"</formula>
    </cfRule>
    <cfRule type="cellIs" dxfId="89" priority="19" operator="equal">
      <formula>"BAM"</formula>
    </cfRule>
  </conditionalFormatting>
  <conditionalFormatting sqref="M7">
    <cfRule type="containsText" dxfId="88" priority="11" operator="containsText" text="Escassez Hídrica">
      <formula>NOT(ISERROR(SEARCH("Escassez Hídrica",M7)))</formula>
    </cfRule>
    <cfRule type="cellIs" dxfId="87" priority="12" operator="equal">
      <formula>"VERDE"</formula>
    </cfRule>
    <cfRule type="cellIs" dxfId="86" priority="13" operator="equal">
      <formula>"BVM2"</formula>
    </cfRule>
    <cfRule type="cellIs" dxfId="85" priority="14" operator="equal">
      <formula>"BVM1"</formula>
    </cfRule>
    <cfRule type="cellIs" dxfId="84" priority="15" operator="equal">
      <formula>"BAM"</formula>
    </cfRule>
  </conditionalFormatting>
  <dataValidations count="1">
    <dataValidation type="list" allowBlank="1" showInputMessage="1" showErrorMessage="1" sqref="K13:L13" xr:uid="{63BECEBB-0D7F-475E-BC1C-B8BC6820BF57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ignoredErrors>
    <ignoredError sqref="E79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D52E-8DF4-4944-B981-3AD583C788D2}">
  <dimension ref="A1:Z136"/>
  <sheetViews>
    <sheetView showGridLines="0" zoomScale="80" zoomScaleNormal="80" workbookViewId="0">
      <selection activeCell="U22" sqref="U22"/>
    </sheetView>
  </sheetViews>
  <sheetFormatPr defaultColWidth="9.109375" defaultRowHeight="14.4" x14ac:dyDescent="0.3"/>
  <cols>
    <col min="1" max="1" width="5.44140625" style="19" customWidth="1"/>
    <col min="2" max="2" width="24.88671875" style="19" customWidth="1"/>
    <col min="3" max="5" width="12.6640625" style="19" customWidth="1"/>
    <col min="6" max="6" width="15.33203125" style="19" customWidth="1"/>
    <col min="7" max="10" width="12.6640625" style="19" customWidth="1"/>
    <col min="11" max="12" width="14.33203125" style="19" customWidth="1"/>
    <col min="13" max="13" width="16.33203125" style="19" customWidth="1"/>
    <col min="14" max="14" width="12.6640625" style="19" customWidth="1"/>
    <col min="15" max="15" width="13.88671875" style="19" customWidth="1"/>
    <col min="16" max="16" width="12.6640625" style="19" customWidth="1"/>
    <col min="17" max="17" width="11.8867187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7.6640625" style="19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281</v>
      </c>
      <c r="E2" s="20" t="s">
        <v>28</v>
      </c>
      <c r="F2" s="21">
        <f>'B1 Res (GD) Branca OK'!F2</f>
        <v>46241</v>
      </c>
      <c r="G2" s="1" t="s">
        <v>8</v>
      </c>
      <c r="H2" s="450" t="s">
        <v>179</v>
      </c>
      <c r="I2" s="450"/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'[4]B1 (Res) Branca OK'!N3</f>
        <v>0</v>
      </c>
    </row>
    <row r="4" spans="1:26" ht="15" customHeight="1" x14ac:dyDescent="0.3">
      <c r="B4" s="451" t="s">
        <v>31</v>
      </c>
      <c r="C4" s="453" t="str">
        <f>'Fatura B1 (GD) OK'!C4:E4</f>
        <v>TARIFA ANTIGA - REH 3370/2024</v>
      </c>
      <c r="D4" s="454"/>
      <c r="E4" s="455"/>
      <c r="F4" s="456" t="str">
        <f>'Fatura B1 (GD) OK'!F4</f>
        <v>TARIFA NOVA - REH xxxx/2025</v>
      </c>
      <c r="G4" s="456"/>
      <c r="H4" s="456"/>
      <c r="I4" s="457" t="s">
        <v>32</v>
      </c>
      <c r="J4" s="457"/>
      <c r="K4" s="457"/>
      <c r="M4" s="9" t="s">
        <v>14</v>
      </c>
      <c r="N4" s="10">
        <f>'[4]B1 (Res) Branca OK'!N4</f>
        <v>1.8849999999999999E-2</v>
      </c>
      <c r="Q4" s="451" t="s">
        <v>31</v>
      </c>
      <c r="R4" s="453" t="str">
        <f>C4</f>
        <v>TARIFA ANTIGA - REH 3370/2024</v>
      </c>
      <c r="S4" s="454"/>
      <c r="T4" s="455"/>
      <c r="U4" s="453" t="str">
        <f>F4</f>
        <v>TARIFA NOVA - REH xxxx/2025</v>
      </c>
      <c r="V4" s="454"/>
      <c r="W4" s="455"/>
      <c r="X4" s="453" t="s">
        <v>32</v>
      </c>
      <c r="Y4" s="454"/>
      <c r="Z4" s="455"/>
    </row>
    <row r="5" spans="1:26" x14ac:dyDescent="0.3">
      <c r="B5" s="452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'[4]B1 (Res) Branca OK'!N5</f>
        <v>4.4630000000000003E-2</v>
      </c>
      <c r="Q5" s="452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244</v>
      </c>
      <c r="C6" s="31">
        <f>'TABELA DE TARIFAS ANTIGAS'!G86/1000</f>
        <v>1.0610299999999999</v>
      </c>
      <c r="D6" s="31">
        <f>'TABELA DE TARIFAS ANTIGAS'!H86/1000</f>
        <v>0.48448000000000002</v>
      </c>
      <c r="E6" s="31">
        <f t="shared" ref="E6:E8" si="0">C6+D6</f>
        <v>1.5455099999999999</v>
      </c>
      <c r="F6" s="31">
        <f>'TABELA DE TARIFAS NOVAS'!G88/1000</f>
        <v>1.1286700000000001</v>
      </c>
      <c r="G6" s="31">
        <f>'TABELA DE TARIFAS NOVAS'!H88/1000</f>
        <v>0.51690999999999998</v>
      </c>
      <c r="H6" s="31">
        <f t="shared" ref="H6:H9" si="1">F6+G6</f>
        <v>1.64558</v>
      </c>
      <c r="I6" s="31">
        <f t="shared" ref="I6:J9" si="2">((C6*$C$15)+(F6*$D$15))/($D$15+$C$15)</f>
        <v>1.0925953333333334</v>
      </c>
      <c r="J6" s="31">
        <f t="shared" si="2"/>
        <v>0.499614</v>
      </c>
      <c r="K6" s="32">
        <f t="shared" ref="K6:K9" si="3">I6+J6</f>
        <v>1.5922093333333334</v>
      </c>
      <c r="M6" s="13" t="s">
        <v>16</v>
      </c>
      <c r="N6" s="14">
        <f>'[4]B1 (Res) Branca OK'!N6</f>
        <v>7.8770000000000007E-2</v>
      </c>
      <c r="Q6" s="30" t="str">
        <f>B6</f>
        <v>B3 Ponta</v>
      </c>
      <c r="R6" s="31">
        <f>'FIO B'!H31/1000</f>
        <v>0.69302445456809059</v>
      </c>
      <c r="S6"/>
      <c r="T6"/>
      <c r="U6" s="31">
        <f>'FIO B'!K31/1000</f>
        <v>0.71111541346497797</v>
      </c>
      <c r="V6"/>
      <c r="W6"/>
      <c r="X6" s="31">
        <f>((R6*$C$15)+(U6*$D$15))/($D$15+$C$15)</f>
        <v>0.70146690205330464</v>
      </c>
      <c r="Y6"/>
      <c r="Z6"/>
    </row>
    <row r="7" spans="1:26" customFormat="1" x14ac:dyDescent="0.3">
      <c r="B7" s="30" t="s">
        <v>245</v>
      </c>
      <c r="C7" s="31">
        <f>'TABELA DE TARIFAS ANTIGAS'!G88/1000</f>
        <v>0.38965</v>
      </c>
      <c r="D7" s="31">
        <f>'TABELA DE TARIFAS ANTIGAS'!H88/1000</f>
        <v>0.30579000000000001</v>
      </c>
      <c r="E7" s="31">
        <f t="shared" si="0"/>
        <v>0.69544000000000006</v>
      </c>
      <c r="F7" s="31">
        <f>'TABELA DE TARIFAS NOVAS'!G90/1000</f>
        <v>0.42333999999999999</v>
      </c>
      <c r="G7" s="31">
        <f>'TABELA DE TARIFAS NOVAS'!H90/1000</f>
        <v>0.32106999999999997</v>
      </c>
      <c r="H7" s="31">
        <f t="shared" si="1"/>
        <v>0.74441000000000002</v>
      </c>
      <c r="I7" s="31">
        <f t="shared" si="2"/>
        <v>0.40537199999999995</v>
      </c>
      <c r="J7" s="31">
        <f t="shared" si="2"/>
        <v>0.31292066666666668</v>
      </c>
      <c r="K7" s="32">
        <f t="shared" si="3"/>
        <v>0.71829266666666669</v>
      </c>
      <c r="M7" s="7" t="s">
        <v>17</v>
      </c>
      <c r="N7" s="15">
        <v>0.14199999999999999</v>
      </c>
      <c r="Q7" s="30" t="str">
        <f>B7</f>
        <v>B3 Fora Ponta</v>
      </c>
      <c r="R7" s="31">
        <f>'FIO B'!H32/1000</f>
        <v>0.41581471295327371</v>
      </c>
      <c r="U7" s="31">
        <f>'FIO B'!K32/1000</f>
        <v>0.42666928934112502</v>
      </c>
      <c r="X7" s="31">
        <f>((R7*$C$15)+(U7*$D$15))/($D$15+$C$15)</f>
        <v>0.42088018193427101</v>
      </c>
    </row>
    <row r="8" spans="1:26" customFormat="1" x14ac:dyDescent="0.3">
      <c r="B8" s="30" t="s">
        <v>246</v>
      </c>
      <c r="C8" s="31">
        <f>'TABELA DE TARIFAS ANTIGAS'!G87/1000</f>
        <v>0.72533999999999998</v>
      </c>
      <c r="D8" s="31">
        <f>'TABELA DE TARIFAS ANTIGAS'!H87/1000</f>
        <v>0.30579000000000001</v>
      </c>
      <c r="E8" s="31">
        <f t="shared" si="0"/>
        <v>1.0311300000000001</v>
      </c>
      <c r="F8" s="31">
        <f>'TABELA DE TARIFAS NOVAS'!G89/1000</f>
        <v>0.77600999999999998</v>
      </c>
      <c r="G8" s="31">
        <f>'TABELA DE TARIFAS NOVAS'!H89/1000</f>
        <v>0.32106999999999997</v>
      </c>
      <c r="H8" s="31">
        <f t="shared" si="1"/>
        <v>1.0970800000000001</v>
      </c>
      <c r="I8" s="31">
        <f t="shared" si="2"/>
        <v>0.74898600000000004</v>
      </c>
      <c r="J8" s="31">
        <f t="shared" si="2"/>
        <v>0.31292066666666668</v>
      </c>
      <c r="K8" s="32">
        <f t="shared" si="3"/>
        <v>1.0619066666666668</v>
      </c>
      <c r="Q8" s="30" t="str">
        <f>B8</f>
        <v>B3 Interm.</v>
      </c>
      <c r="R8" s="31">
        <f>'FIO B'!H33/1000</f>
        <v>0.13860487080740844</v>
      </c>
      <c r="U8" s="31">
        <f>'FIO B'!K33/1000</f>
        <v>0.14222306206192598</v>
      </c>
      <c r="X8" s="31">
        <f>((R8*$C$15)+(U8*$D$15))/($D$15+$C$15)</f>
        <v>0.14029336005951662</v>
      </c>
    </row>
    <row r="9" spans="1:26" customFormat="1" x14ac:dyDescent="0.3">
      <c r="B9" s="237" t="s">
        <v>173</v>
      </c>
      <c r="C9" s="32">
        <v>1.8774721494831901E-4</v>
      </c>
      <c r="D9" s="32">
        <v>-4.4031307414479802E-3</v>
      </c>
      <c r="E9" s="32">
        <f>SUM(C9+D9)</f>
        <v>-4.2153835264996612E-3</v>
      </c>
      <c r="F9" s="32">
        <f>T13</f>
        <v>1.84189231569235E-4</v>
      </c>
      <c r="G9" s="32">
        <f>U13</f>
        <v>-5.3182974871251499E-4</v>
      </c>
      <c r="H9" s="32">
        <f t="shared" si="1"/>
        <v>-3.4764051714327999E-4</v>
      </c>
      <c r="I9" s="31">
        <f t="shared" si="2"/>
        <v>1.8608682270474647E-4</v>
      </c>
      <c r="J9" s="31">
        <f t="shared" si="2"/>
        <v>-2.5965236115047629E-3</v>
      </c>
      <c r="K9" s="32">
        <f t="shared" si="3"/>
        <v>-2.4104367888000164E-3</v>
      </c>
    </row>
    <row r="10" spans="1:26" x14ac:dyDescent="0.3">
      <c r="G10" s="1"/>
      <c r="H10" s="1"/>
      <c r="I10" s="1"/>
      <c r="J10" s="1"/>
      <c r="K10" s="1"/>
      <c r="O10" s="20"/>
      <c r="P10" s="223" t="s">
        <v>167</v>
      </c>
      <c r="Q10" s="224"/>
      <c r="R10" s="225" t="s">
        <v>168</v>
      </c>
      <c r="S10" s="225" t="s">
        <v>169</v>
      </c>
      <c r="T10" s="225" t="s">
        <v>35</v>
      </c>
      <c r="U10" s="225" t="s">
        <v>76</v>
      </c>
      <c r="V10" s="1"/>
      <c r="W10" s="1"/>
      <c r="X10" s="1"/>
      <c r="Y10" s="1"/>
      <c r="Z10" s="1"/>
    </row>
    <row r="11" spans="1:26" x14ac:dyDescent="0.3">
      <c r="B11" s="34"/>
      <c r="C11" s="35"/>
      <c r="D11" s="36"/>
      <c r="E11" s="35"/>
      <c r="F11" s="35"/>
      <c r="G11" s="35"/>
      <c r="H11" s="37" t="s">
        <v>37</v>
      </c>
      <c r="I11" s="1"/>
      <c r="L11" s="20" t="s">
        <v>25</v>
      </c>
      <c r="M11" s="21">
        <f>EOMONTH(B15,0)+1</f>
        <v>46235</v>
      </c>
      <c r="P11" s="226" t="s">
        <v>170</v>
      </c>
      <c r="Q11" s="227"/>
      <c r="R11" s="228"/>
      <c r="S11" s="228"/>
      <c r="T11" s="229"/>
      <c r="U11" s="229"/>
    </row>
    <row r="12" spans="1:26" x14ac:dyDescent="0.3">
      <c r="B12" s="38" t="s">
        <v>38</v>
      </c>
      <c r="C12" s="422">
        <v>588890</v>
      </c>
      <c r="E12" s="1"/>
      <c r="F12" s="1"/>
      <c r="G12" s="1"/>
      <c r="H12" s="40">
        <f>E15</f>
        <v>46254</v>
      </c>
      <c r="K12" s="458" t="s">
        <v>26</v>
      </c>
      <c r="L12" s="458"/>
      <c r="P12" s="230" t="s">
        <v>171</v>
      </c>
      <c r="Q12" s="231"/>
      <c r="R12" s="232"/>
      <c r="S12" s="232"/>
      <c r="T12" s="233"/>
      <c r="U12" s="270">
        <v>0</v>
      </c>
    </row>
    <row r="13" spans="1:26" x14ac:dyDescent="0.3">
      <c r="B13" s="41"/>
      <c r="H13" s="42"/>
      <c r="K13" s="7" t="s">
        <v>14</v>
      </c>
      <c r="L13" s="7" t="s">
        <v>14</v>
      </c>
      <c r="P13" s="234" t="s">
        <v>172</v>
      </c>
      <c r="Q13" s="235"/>
      <c r="R13" s="236"/>
      <c r="S13" s="236"/>
      <c r="T13" s="271">
        <f>'B1 Res (GD) Branca OK'!T13</f>
        <v>1.84189231569235E-4</v>
      </c>
      <c r="U13" s="270">
        <f>'B1 Res (GD) Branca OK'!U13</f>
        <v>-5.3182974871251499E-4</v>
      </c>
    </row>
    <row r="14" spans="1:26" ht="27.6" x14ac:dyDescent="0.3">
      <c r="B14" s="16" t="s">
        <v>21</v>
      </c>
      <c r="C14" s="16" t="s">
        <v>22</v>
      </c>
      <c r="D14" s="16" t="s">
        <v>23</v>
      </c>
      <c r="E14" s="16" t="s">
        <v>24</v>
      </c>
      <c r="F14" s="1"/>
      <c r="G14" s="1"/>
      <c r="H14" s="43"/>
      <c r="J14" s="16" t="s">
        <v>21</v>
      </c>
      <c r="K14" s="16" t="s">
        <v>22</v>
      </c>
      <c r="L14" s="16" t="s">
        <v>23</v>
      </c>
      <c r="M14" s="16" t="s">
        <v>24</v>
      </c>
    </row>
    <row r="15" spans="1:26" x14ac:dyDescent="0.3">
      <c r="B15" s="17">
        <v>46224</v>
      </c>
      <c r="C15" s="18">
        <f>IF((F2-B15-1)&lt;0,0,(F2-B15-1))</f>
        <v>16</v>
      </c>
      <c r="D15" s="18">
        <f>E15-F2+1</f>
        <v>14</v>
      </c>
      <c r="E15" s="17">
        <v>46254</v>
      </c>
      <c r="F15" s="44"/>
      <c r="G15" s="44"/>
      <c r="H15" s="45"/>
      <c r="J15" s="22">
        <f>B15</f>
        <v>46224</v>
      </c>
      <c r="K15" s="23">
        <f>IF((M11-J15-1)&lt;0,0,(M11-J15-1))</f>
        <v>10</v>
      </c>
      <c r="L15" s="23">
        <f>M15-M11+1</f>
        <v>20</v>
      </c>
      <c r="M15" s="22">
        <f>E15</f>
        <v>46254</v>
      </c>
    </row>
    <row r="17" spans="2:22" x14ac:dyDescent="0.3">
      <c r="B17" s="1"/>
      <c r="F17" s="248"/>
      <c r="G17"/>
      <c r="H17" s="3"/>
    </row>
    <row r="18" spans="2:22" x14ac:dyDescent="0.3">
      <c r="B18" s="5" t="s">
        <v>55</v>
      </c>
      <c r="E18" s="26" t="s">
        <v>10</v>
      </c>
      <c r="F18" s="85">
        <v>1</v>
      </c>
      <c r="G18" s="86" t="s">
        <v>9</v>
      </c>
      <c r="H18" s="85">
        <v>1</v>
      </c>
      <c r="M18" s="377" t="s">
        <v>80</v>
      </c>
      <c r="N18" s="378"/>
      <c r="O18" s="379">
        <v>1025310403</v>
      </c>
    </row>
    <row r="19" spans="2:22" x14ac:dyDescent="0.3">
      <c r="I19"/>
      <c r="J19"/>
      <c r="K19"/>
      <c r="L19"/>
      <c r="M19"/>
      <c r="N19"/>
      <c r="O19"/>
      <c r="P19"/>
      <c r="Q19"/>
      <c r="R19"/>
      <c r="S19"/>
      <c r="V19"/>
    </row>
    <row r="20" spans="2:22" ht="42" customHeight="1" x14ac:dyDescent="0.3">
      <c r="B20" s="274" t="s">
        <v>212</v>
      </c>
      <c r="C20" s="274" t="s">
        <v>213</v>
      </c>
      <c r="D20" s="274" t="s">
        <v>214</v>
      </c>
      <c r="E20" s="275" t="s">
        <v>215</v>
      </c>
      <c r="F20" s="275" t="s">
        <v>216</v>
      </c>
      <c r="G20" s="275" t="s">
        <v>217</v>
      </c>
      <c r="H20" s="275" t="s">
        <v>218</v>
      </c>
      <c r="I20" s="275" t="s">
        <v>219</v>
      </c>
      <c r="J20" s="275" t="s">
        <v>220</v>
      </c>
      <c r="K20" s="276" t="s">
        <v>221</v>
      </c>
      <c r="L20" s="274" t="s">
        <v>222</v>
      </c>
      <c r="M20" s="275" t="s">
        <v>223</v>
      </c>
      <c r="N20" s="275" t="s">
        <v>224</v>
      </c>
      <c r="O20" s="275" t="s">
        <v>225</v>
      </c>
    </row>
    <row r="21" spans="2:22" x14ac:dyDescent="0.3"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8"/>
      <c r="M21" s="279"/>
      <c r="N21" s="279"/>
      <c r="O21" s="279"/>
    </row>
    <row r="22" spans="2:22" x14ac:dyDescent="0.3">
      <c r="B22" s="279" t="s">
        <v>267</v>
      </c>
      <c r="C22" s="280" t="s">
        <v>2</v>
      </c>
      <c r="D22" s="281">
        <v>64</v>
      </c>
      <c r="E22" s="282">
        <f t="shared" ref="E22:E27" si="4">IFERROR((ROUND(D22*K22,2)+ROUND(G22,2)+ROUND(J22,2))/ROUND(D22,4), 0)</f>
        <v>1.4029687500000001</v>
      </c>
      <c r="F22" s="283">
        <f>ROUND(D22*E22,2)</f>
        <v>89.79</v>
      </c>
      <c r="G22" s="283">
        <f>((D22*K22)/(1-$N$22-$N$24))*($N$22+$N$24)</f>
        <v>4.598146064442787</v>
      </c>
      <c r="H22" s="284">
        <f>((D22*K22)/(1-$N$22-$N$24)/(1-$I$22))</f>
        <v>89.788249876838705</v>
      </c>
      <c r="I22" s="285">
        <v>0.17</v>
      </c>
      <c r="J22" s="284">
        <f>(H22*$I$22)</f>
        <v>15.264002479062581</v>
      </c>
      <c r="K22" s="282">
        <f>E60</f>
        <v>1.0925953333333334</v>
      </c>
      <c r="L22" s="47" t="s">
        <v>68</v>
      </c>
      <c r="M22" s="283">
        <f>D80</f>
        <v>378.2692102738996</v>
      </c>
      <c r="N22" s="286">
        <f>'B1 Res (GD) Branca OK'!N19</f>
        <v>1.0999999999999999E-2</v>
      </c>
      <c r="O22" s="287">
        <f>ROUND(M22*N22,2)</f>
        <v>4.16</v>
      </c>
      <c r="Q22" s="26" t="s">
        <v>81</v>
      </c>
      <c r="R22" s="26" t="s">
        <v>82</v>
      </c>
    </row>
    <row r="23" spans="2:22" x14ac:dyDescent="0.3">
      <c r="B23" s="279" t="s">
        <v>269</v>
      </c>
      <c r="C23" s="280" t="s">
        <v>2</v>
      </c>
      <c r="D23" s="281">
        <v>0</v>
      </c>
      <c r="E23" s="282">
        <f t="shared" si="4"/>
        <v>0</v>
      </c>
      <c r="F23" s="283">
        <f t="shared" ref="F23:F24" si="5">ROUND(D23*E23,2)</f>
        <v>0</v>
      </c>
      <c r="G23" s="283">
        <f t="shared" ref="G23:G24" si="6">((D23*K23)/(1-$N$22-$N$24))*($N$22+$N$24)</f>
        <v>0</v>
      </c>
      <c r="H23" s="284">
        <f t="shared" ref="H23:H24" si="7">((D23*K23)/(1-$N$22-$N$24)/(1-$I$22))</f>
        <v>0</v>
      </c>
      <c r="I23" s="285">
        <f>I22</f>
        <v>0.17</v>
      </c>
      <c r="J23" s="284">
        <f t="shared" ref="J23:J24" si="8">(H23*$I$22)</f>
        <v>0</v>
      </c>
      <c r="K23" s="282">
        <f>E62</f>
        <v>0.74898600000000004</v>
      </c>
      <c r="L23" s="47" t="s">
        <v>235</v>
      </c>
      <c r="M23" s="283">
        <f>D83</f>
        <v>-256.84749014174571</v>
      </c>
      <c r="N23" s="286">
        <f>N22</f>
        <v>1.0999999999999999E-2</v>
      </c>
      <c r="O23" s="287">
        <f>ROUND(M23*N23,2)</f>
        <v>-2.83</v>
      </c>
      <c r="Q23" s="251">
        <f>IF(AND($B$15&lt;$F$2,$E$15&lt;$F$2),R6,IF($B$15&lt;$F$2,X6,U6))</f>
        <v>0.70146690205330464</v>
      </c>
      <c r="R23" s="134">
        <f>D60*Q23</f>
        <v>44.893881731411497</v>
      </c>
    </row>
    <row r="24" spans="2:22" x14ac:dyDescent="0.3">
      <c r="B24" s="279" t="s">
        <v>268</v>
      </c>
      <c r="C24" s="280" t="s">
        <v>2</v>
      </c>
      <c r="D24" s="281">
        <v>233</v>
      </c>
      <c r="E24" s="282">
        <f t="shared" si="4"/>
        <v>0.52051502145922746</v>
      </c>
      <c r="F24" s="283">
        <f t="shared" si="5"/>
        <v>121.28</v>
      </c>
      <c r="G24" s="283">
        <f t="shared" si="6"/>
        <v>6.2108796858147715</v>
      </c>
      <c r="H24" s="284">
        <f t="shared" si="7"/>
        <v>121.28018757327081</v>
      </c>
      <c r="I24" s="285">
        <f>I22</f>
        <v>0.17</v>
      </c>
      <c r="J24" s="284">
        <f t="shared" si="8"/>
        <v>20.617631887456039</v>
      </c>
      <c r="K24" s="282">
        <f>E61</f>
        <v>0.40537199999999995</v>
      </c>
      <c r="L24" s="47" t="s">
        <v>51</v>
      </c>
      <c r="M24" s="283">
        <f>M22</f>
        <v>378.2692102738996</v>
      </c>
      <c r="N24" s="286">
        <f>'B1 Res (GD) Branca OK'!N21</f>
        <v>5.0700000000000002E-2</v>
      </c>
      <c r="O24" s="287">
        <f>ROUND(M24*N24,2)</f>
        <v>19.18</v>
      </c>
      <c r="Q24" s="251">
        <f>IF(AND($B$15&lt;$F$2,$E$15&lt;$F$2),R7,IF($B$15&lt;$F$2,X7,U7))</f>
        <v>0.42088018193427101</v>
      </c>
      <c r="R24" s="134">
        <f>D61*Q24</f>
        <v>0</v>
      </c>
    </row>
    <row r="25" spans="2:22" x14ac:dyDescent="0.3">
      <c r="B25" s="279" t="s">
        <v>270</v>
      </c>
      <c r="C25" s="280" t="s">
        <v>2</v>
      </c>
      <c r="D25" s="288">
        <f>D22</f>
        <v>64</v>
      </c>
      <c r="E25" s="282">
        <f t="shared" si="4"/>
        <v>0.64156250000000004</v>
      </c>
      <c r="F25" s="283">
        <f>ROUND(D25*E25,2)</f>
        <v>41.06</v>
      </c>
      <c r="G25" s="283">
        <f>((D25*K25)/(1-$N$22-$N$24))*($N$22+$N$24)</f>
        <v>2.1026065897900459</v>
      </c>
      <c r="H25" s="284">
        <f>ROUND((D25*K25)/(1-$N$23-$N$24)/(1-$I$22),8)</f>
        <v>41.057713960000001</v>
      </c>
      <c r="I25" s="279"/>
      <c r="J25" s="284">
        <f>ROUND(H25*$I$22,2)</f>
        <v>6.98</v>
      </c>
      <c r="K25" s="282">
        <f>F60</f>
        <v>0.499614</v>
      </c>
      <c r="L25" s="47" t="s">
        <v>236</v>
      </c>
      <c r="M25" s="283">
        <f>M23</f>
        <v>-256.84749014174571</v>
      </c>
      <c r="N25" s="286">
        <f>N24</f>
        <v>5.0700000000000002E-2</v>
      </c>
      <c r="O25" s="287">
        <f>ROUND(M25*N25,2)</f>
        <v>-13.02</v>
      </c>
      <c r="Q25" s="251">
        <f>IF(AND($B$15&lt;$F$2,$E$15&lt;$F$2),R8,IF($B$15&lt;$F$2,X8,U8))</f>
        <v>0.14029336005951662</v>
      </c>
      <c r="R25" s="134">
        <f>D62*Q25</f>
        <v>32.688352893867375</v>
      </c>
    </row>
    <row r="26" spans="2:22" x14ac:dyDescent="0.3">
      <c r="B26" s="279" t="s">
        <v>271</v>
      </c>
      <c r="C26" s="280" t="s">
        <v>2</v>
      </c>
      <c r="D26" s="288">
        <f t="shared" ref="D26:D27" si="9">D23</f>
        <v>0</v>
      </c>
      <c r="E26" s="282">
        <f t="shared" si="4"/>
        <v>0</v>
      </c>
      <c r="F26" s="283">
        <f t="shared" ref="F26:F27" si="10">ROUND(D26*E26,2)</f>
        <v>0</v>
      </c>
      <c r="G26" s="283">
        <f t="shared" ref="G26:G27" si="11">((D26*K26)/(1-$N$22-$N$24))*($N$22+$N$24)</f>
        <v>0</v>
      </c>
      <c r="H26" s="284">
        <f t="shared" ref="H26:H27" si="12">ROUND((D26*K26)/(1-$N$23-$N$24)/(1-$I$22),8)</f>
        <v>0</v>
      </c>
      <c r="I26" s="279"/>
      <c r="J26" s="284">
        <f t="shared" ref="J26:J27" si="13">ROUND(H26*$I$22,2)</f>
        <v>0</v>
      </c>
      <c r="K26" s="282">
        <f>F62</f>
        <v>0.31292066666666668</v>
      </c>
      <c r="L26" s="47"/>
      <c r="M26" s="283"/>
      <c r="N26" s="286"/>
      <c r="O26" s="287"/>
      <c r="R26" s="141">
        <f>SUM(R23:R25)</f>
        <v>77.582234625278872</v>
      </c>
    </row>
    <row r="27" spans="2:22" x14ac:dyDescent="0.3">
      <c r="B27" s="279" t="s">
        <v>272</v>
      </c>
      <c r="C27" s="280" t="s">
        <v>2</v>
      </c>
      <c r="D27" s="288">
        <f t="shared" si="9"/>
        <v>233</v>
      </c>
      <c r="E27" s="282">
        <f t="shared" si="4"/>
        <v>0.40180257510729617</v>
      </c>
      <c r="F27" s="283">
        <f t="shared" si="10"/>
        <v>93.62</v>
      </c>
      <c r="G27" s="283">
        <f t="shared" si="11"/>
        <v>4.7943928339195008</v>
      </c>
      <c r="H27" s="284">
        <f t="shared" si="12"/>
        <v>93.620371289999994</v>
      </c>
      <c r="I27" s="279"/>
      <c r="J27" s="284">
        <f t="shared" si="13"/>
        <v>15.92</v>
      </c>
      <c r="K27" s="282">
        <f>F61</f>
        <v>0.31292066666666668</v>
      </c>
      <c r="L27" s="47"/>
      <c r="M27" s="283"/>
      <c r="N27" s="286"/>
      <c r="O27" s="287"/>
    </row>
    <row r="28" spans="2:22" x14ac:dyDescent="0.3">
      <c r="B28" s="279" t="s">
        <v>43</v>
      </c>
      <c r="C28" s="280" t="s">
        <v>2</v>
      </c>
      <c r="D28" s="288">
        <f>IF($K$13=M4,(($D$22+$D$23+$D$24)*($K$15)/($K$15+$L$15)),0)+IF($L$13=M4,(($D$22+$D$23+$D$24)*($L$15)/($K$15+$L$15)),0)</f>
        <v>297</v>
      </c>
      <c r="E28" s="282">
        <f>IFERROR((ROUND(D28*K28,2)+ROUND(G28,2)+ROUND(J28,2))/ROUND(D28,4), 0)</f>
        <v>2.4208754208754207E-2</v>
      </c>
      <c r="F28" s="283">
        <f>ROUND(D28*E28,2)</f>
        <v>7.19</v>
      </c>
      <c r="G28" s="283">
        <f>((D28*K28)/(1-$N$22-$N$24))*($N$22+$N$24)</f>
        <v>0.36813851113716295</v>
      </c>
      <c r="H28" s="284">
        <f>ROUND((D28*K28)/(1-$N$22-$N$24)/(1-$I$22),8)</f>
        <v>7.1886608599999997</v>
      </c>
      <c r="I28" s="279"/>
      <c r="J28" s="284">
        <f>ROUND(H28*$I$22,2)</f>
        <v>1.22</v>
      </c>
      <c r="K28" s="282">
        <f>N4</f>
        <v>1.8849999999999999E-2</v>
      </c>
      <c r="L28" s="343"/>
      <c r="M28" s="344"/>
      <c r="N28" s="345"/>
      <c r="O28" s="346"/>
    </row>
    <row r="29" spans="2:22" x14ac:dyDescent="0.3">
      <c r="B29" s="279" t="s">
        <v>258</v>
      </c>
      <c r="C29" s="280" t="s">
        <v>2</v>
      </c>
      <c r="D29" s="288">
        <f>IF($K$13=M5,(($D$22+$D$23+$D$24)*($K$15)/($K$15+$L$15)),0)+IF($L$13=M5,(($D$22+$D$23+$D$24)*($L$15)/($K$15+$L$15)),0)</f>
        <v>0</v>
      </c>
      <c r="E29" s="282">
        <f t="shared" ref="E29:E31" si="14">IFERROR((ROUND(D29*K29,2)+ROUND(G29,2)+ROUND(J29,2))/ROUND(D29,4), 0)</f>
        <v>0</v>
      </c>
      <c r="F29" s="283">
        <f t="shared" ref="F29:F31" si="15">ROUND(D29*E29,2)</f>
        <v>0</v>
      </c>
      <c r="G29" s="283">
        <f t="shared" ref="G29:G31" si="16">((D29*K29)/(1-$N$22-$N$24))*($N$22+$N$24)</f>
        <v>0</v>
      </c>
      <c r="H29" s="284">
        <f t="shared" ref="H29:H31" si="17">ROUND((D29*K29)/(1-$N$22-$N$24)/(1-$I$22),8)</f>
        <v>0</v>
      </c>
      <c r="I29" s="279"/>
      <c r="J29" s="284">
        <f t="shared" ref="J29:J31" si="18">ROUND(H29*$I$22,2)</f>
        <v>0</v>
      </c>
      <c r="K29" s="282">
        <f t="shared" ref="K29:K31" si="19">N5</f>
        <v>4.4630000000000003E-2</v>
      </c>
      <c r="O29" s="278"/>
    </row>
    <row r="30" spans="2:22" x14ac:dyDescent="0.3">
      <c r="B30" s="279" t="s">
        <v>265</v>
      </c>
      <c r="C30" s="280" t="s">
        <v>2</v>
      </c>
      <c r="D30" s="288">
        <f t="shared" ref="D30:D31" si="20">IF($K$13=M6,(($D$22+$D$23+$D$24)*($K$15)/($K$15+$L$15)),0)+IF($L$13=M6,(($D$22+$D$23+$D$24)*($L$15)/($K$15+$L$15)),0)</f>
        <v>0</v>
      </c>
      <c r="E30" s="282">
        <f t="shared" si="14"/>
        <v>0</v>
      </c>
      <c r="F30" s="283">
        <f t="shared" si="15"/>
        <v>0</v>
      </c>
      <c r="G30" s="283">
        <f t="shared" si="16"/>
        <v>0</v>
      </c>
      <c r="H30" s="284">
        <f t="shared" si="17"/>
        <v>0</v>
      </c>
      <c r="I30" s="279"/>
      <c r="J30" s="284">
        <f t="shared" si="18"/>
        <v>0</v>
      </c>
      <c r="K30" s="282">
        <f t="shared" si="19"/>
        <v>7.8770000000000007E-2</v>
      </c>
      <c r="O30" s="278"/>
    </row>
    <row r="31" spans="2:22" x14ac:dyDescent="0.3">
      <c r="B31" s="279" t="s">
        <v>266</v>
      </c>
      <c r="C31" s="280" t="s">
        <v>2</v>
      </c>
      <c r="D31" s="288">
        <f t="shared" si="20"/>
        <v>0</v>
      </c>
      <c r="E31" s="282">
        <f t="shared" si="14"/>
        <v>0</v>
      </c>
      <c r="F31" s="283">
        <f t="shared" si="15"/>
        <v>0</v>
      </c>
      <c r="G31" s="283">
        <f t="shared" si="16"/>
        <v>0</v>
      </c>
      <c r="H31" s="284">
        <f t="shared" si="17"/>
        <v>0</v>
      </c>
      <c r="I31" s="279"/>
      <c r="J31" s="284">
        <f t="shared" si="18"/>
        <v>0</v>
      </c>
      <c r="K31" s="282">
        <f t="shared" si="19"/>
        <v>0.14199999999999999</v>
      </c>
      <c r="O31" s="278"/>
      <c r="S31" s="252"/>
      <c r="U31" s="252"/>
    </row>
    <row r="32" spans="2:22" x14ac:dyDescent="0.3">
      <c r="B32" s="279"/>
      <c r="C32" s="280"/>
      <c r="D32" s="288"/>
      <c r="E32" s="282"/>
      <c r="F32" s="283"/>
      <c r="G32" s="283"/>
      <c r="H32" s="284"/>
      <c r="I32" s="279"/>
      <c r="J32" s="284"/>
      <c r="K32" s="282"/>
      <c r="O32" s="278"/>
      <c r="S32" s="252"/>
      <c r="U32" s="252"/>
    </row>
    <row r="33" spans="2:21" x14ac:dyDescent="0.3">
      <c r="B33" s="279" t="s">
        <v>273</v>
      </c>
      <c r="C33" s="280" t="s">
        <v>2</v>
      </c>
      <c r="D33" s="281">
        <v>-52.973500000000001</v>
      </c>
      <c r="E33" s="282">
        <f t="shared" ref="E33:E38" si="21">IFERROR((ROUND(D33*K33,2)+ROUND(G33,2)+ROUND(J33,2))/ROUND(D33,4),0)</f>
        <v>1.1645445364191531</v>
      </c>
      <c r="F33" s="283">
        <f>ROUND(D33*E33,2)</f>
        <v>-61.69</v>
      </c>
      <c r="G33" s="283">
        <f>((D33*K33)/(1-$N$23-$N$25))*($N$23+$N$25)</f>
        <v>-3.8059357897618749</v>
      </c>
      <c r="H33" s="284">
        <v>0</v>
      </c>
      <c r="I33" s="285">
        <v>0</v>
      </c>
      <c r="J33" s="284">
        <f>H33*$I$33</f>
        <v>0</v>
      </c>
      <c r="K33" s="282">
        <f>K22</f>
        <v>1.0925953333333334</v>
      </c>
      <c r="O33" s="278"/>
      <c r="S33" s="252"/>
      <c r="U33" s="252"/>
    </row>
    <row r="34" spans="2:21" x14ac:dyDescent="0.3">
      <c r="B34" s="279" t="s">
        <v>379</v>
      </c>
      <c r="C34" s="280" t="s">
        <v>2</v>
      </c>
      <c r="D34" s="281">
        <v>0</v>
      </c>
      <c r="E34" s="282">
        <f t="shared" si="21"/>
        <v>0</v>
      </c>
      <c r="F34" s="283">
        <f t="shared" ref="F34:F35" si="22">ROUND(D34*E34,2)</f>
        <v>0</v>
      </c>
      <c r="G34" s="283">
        <f t="shared" ref="G34:G35" si="23">((D34*K34)/(1-$N$23-$N$25))*($N$23+$N$25)</f>
        <v>0</v>
      </c>
      <c r="H34" s="284">
        <v>0</v>
      </c>
      <c r="I34" s="285">
        <v>0</v>
      </c>
      <c r="J34" s="284">
        <f t="shared" ref="J34:J35" si="24">H34*$I$33</f>
        <v>0</v>
      </c>
      <c r="K34" s="282">
        <f t="shared" ref="K34:K35" si="25">K23</f>
        <v>0.74898600000000004</v>
      </c>
      <c r="O34" s="278"/>
      <c r="S34" s="252"/>
      <c r="U34" s="252"/>
    </row>
    <row r="35" spans="2:21" x14ac:dyDescent="0.3">
      <c r="B35" s="279" t="s">
        <v>275</v>
      </c>
      <c r="C35" s="280" t="s">
        <v>2</v>
      </c>
      <c r="D35" s="281">
        <v>-144.02070000000001</v>
      </c>
      <c r="E35" s="282">
        <f t="shared" si="21"/>
        <v>0.43202123028148037</v>
      </c>
      <c r="F35" s="283">
        <f t="shared" si="22"/>
        <v>-62.22</v>
      </c>
      <c r="G35" s="283">
        <f t="shared" si="23"/>
        <v>-3.8390353646644781</v>
      </c>
      <c r="H35" s="284">
        <v>0</v>
      </c>
      <c r="I35" s="285">
        <v>0</v>
      </c>
      <c r="J35" s="284">
        <f t="shared" si="24"/>
        <v>0</v>
      </c>
      <c r="K35" s="282">
        <f t="shared" si="25"/>
        <v>0.40537199999999995</v>
      </c>
      <c r="O35" s="278"/>
      <c r="S35" s="252"/>
      <c r="U35" s="252"/>
    </row>
    <row r="36" spans="2:21" x14ac:dyDescent="0.3">
      <c r="B36" s="279" t="s">
        <v>276</v>
      </c>
      <c r="C36" s="280" t="s">
        <v>2</v>
      </c>
      <c r="D36" s="288">
        <f>D33</f>
        <v>-52.973500000000001</v>
      </c>
      <c r="E36" s="282">
        <f t="shared" si="21"/>
        <v>0.64164157550473333</v>
      </c>
      <c r="F36" s="283">
        <f>ROUND(D36*E36,2)</f>
        <v>-33.99</v>
      </c>
      <c r="G36" s="283">
        <f>((D36*K36)/(1-$N$23-$N$25))*($N$23+$N$25)</f>
        <v>-1.740350471628797</v>
      </c>
      <c r="H36" s="284">
        <f>ROUND((D36*K36)/(1-$N$23-$N$25)/(1-$I$36),8)</f>
        <v>-33.983918920000001</v>
      </c>
      <c r="I36" s="285">
        <v>0.17</v>
      </c>
      <c r="J36" s="284">
        <f>H36*$I$36</f>
        <v>-5.7772662164000002</v>
      </c>
      <c r="K36" s="282">
        <f>K25</f>
        <v>0.499614</v>
      </c>
      <c r="O36" s="278"/>
      <c r="S36" s="252"/>
      <c r="U36" s="252"/>
    </row>
    <row r="37" spans="2:21" x14ac:dyDescent="0.3">
      <c r="B37" s="279" t="s">
        <v>277</v>
      </c>
      <c r="C37" s="280" t="s">
        <v>2</v>
      </c>
      <c r="D37" s="288">
        <f t="shared" ref="D37:D38" si="26">D34</f>
        <v>0</v>
      </c>
      <c r="E37" s="282">
        <f t="shared" si="21"/>
        <v>0</v>
      </c>
      <c r="F37" s="283">
        <f t="shared" ref="F37" si="27">ROUND(D37*E37,2)</f>
        <v>0</v>
      </c>
      <c r="G37" s="283">
        <f t="shared" ref="G37" si="28">((D37*K37)/(1-$N$23-$N$25))*($N$23+$N$25)</f>
        <v>0</v>
      </c>
      <c r="H37" s="284">
        <f t="shared" ref="H37" si="29">ROUND((D37*K37)/(1-$N$23-$N$25)/(1-$I$36),8)</f>
        <v>0</v>
      </c>
      <c r="I37" s="285">
        <f>I36</f>
        <v>0.17</v>
      </c>
      <c r="J37" s="284">
        <f t="shared" ref="J37" si="30">H37*$I$36</f>
        <v>0</v>
      </c>
      <c r="K37" s="282">
        <f t="shared" ref="K37:K38" si="31">K26</f>
        <v>0.31292066666666668</v>
      </c>
      <c r="O37" s="278"/>
      <c r="S37" s="252"/>
      <c r="U37" s="252"/>
    </row>
    <row r="38" spans="2:21" x14ac:dyDescent="0.3">
      <c r="B38" s="279" t="s">
        <v>278</v>
      </c>
      <c r="C38" s="280" t="s">
        <v>2</v>
      </c>
      <c r="D38" s="288">
        <f t="shared" si="26"/>
        <v>-144.02070000000001</v>
      </c>
      <c r="E38" s="282">
        <f t="shared" si="21"/>
        <v>0.40181723877192654</v>
      </c>
      <c r="F38" s="283">
        <f>ROUND(D38*E38,2)</f>
        <v>-57.87</v>
      </c>
      <c r="G38" s="283">
        <f>((D38*K38)/(1-$N$23-$N$25))*($N$23+$N$25)</f>
        <v>-2.9634841717427904</v>
      </c>
      <c r="H38" s="284">
        <f>ROUND((D38*K38)/(1-$N$23-$N$25)/(1-$I$36),8)</f>
        <v>-57.86811763</v>
      </c>
      <c r="I38" s="285">
        <f>I36</f>
        <v>0.17</v>
      </c>
      <c r="J38" s="284">
        <f>H38*$I$36</f>
        <v>-9.8375799971000006</v>
      </c>
      <c r="K38" s="282">
        <f t="shared" si="31"/>
        <v>0.31292066666666668</v>
      </c>
      <c r="O38" s="278"/>
      <c r="S38" s="252"/>
      <c r="U38" s="252"/>
    </row>
    <row r="39" spans="2:21" x14ac:dyDescent="0.3">
      <c r="B39" s="279" t="s">
        <v>234</v>
      </c>
      <c r="C39" s="280" t="s">
        <v>2</v>
      </c>
      <c r="D39" s="288">
        <f>IF($K$13=M4,(($D$33+$D$34+$D$35)*($K$15)/($K$15+$L$15)),0)+IF($L$13=M4,(($D$33+$D$34+$D$35)*($L$15)/($K$15+$L$15)),0)</f>
        <v>-196.99419999999998</v>
      </c>
      <c r="E39" s="282">
        <f>IFERROR((ROUND(D39*K39,2)+ROUND(G39,2)+ROUND(J39,2))/ROUND(D39,4),0)</f>
        <v>2.4163147950548795E-2</v>
      </c>
      <c r="F39" s="283">
        <f t="shared" ref="F39" si="32">ROUND(D39*E39,2)</f>
        <v>-4.76</v>
      </c>
      <c r="G39" s="283">
        <f>((D39*K39)/(1-$N$23-$N$25))*($N$23+$N$25)</f>
        <v>-0.24417896124800165</v>
      </c>
      <c r="H39" s="284">
        <f>(D39*K39)/(1-$N$23-$N$25)/(1-$I$36)</f>
        <v>-4.7680959412626516</v>
      </c>
      <c r="I39" s="279"/>
      <c r="J39" s="284">
        <f>H39*$I$36</f>
        <v>-0.8105763100146508</v>
      </c>
      <c r="K39" s="282">
        <f>N4</f>
        <v>1.8849999999999999E-2</v>
      </c>
      <c r="O39" s="278"/>
    </row>
    <row r="40" spans="2:21" x14ac:dyDescent="0.3">
      <c r="B40" s="279" t="s">
        <v>261</v>
      </c>
      <c r="C40" s="280" t="s">
        <v>2</v>
      </c>
      <c r="D40" s="288">
        <f t="shared" ref="D40:D41" si="33">IF($K$13=M5,(($D$33+$D$34+$D$35)*($K$15)/($K$15+$L$15)),0)+IF($L$13=M5,(($D$33+$D$34+$D$35)*($L$15)/($K$15+$L$15)),0)</f>
        <v>0</v>
      </c>
      <c r="E40" s="282">
        <f t="shared" ref="E40:E42" si="34">IFERROR((ROUND(D40*K40,2)+ROUND(G40,2)+ROUND(J40,2))/ROUND(D40,4),0)</f>
        <v>0</v>
      </c>
      <c r="F40" s="283">
        <f t="shared" ref="F40:F42" si="35">ROUND(D40*E40,2)</f>
        <v>0</v>
      </c>
      <c r="G40" s="283">
        <f t="shared" ref="G40:G42" si="36">((D40*K40)/(1-$N$23-$N$25))*($N$23+$N$25)</f>
        <v>0</v>
      </c>
      <c r="H40" s="284">
        <f t="shared" ref="H40:H42" si="37">(D40*K40)/(1-$N$23-$N$25)/(1-$I$36)</f>
        <v>0</v>
      </c>
      <c r="I40" s="279"/>
      <c r="J40" s="284">
        <f t="shared" ref="J40:J42" si="38">H40*$I$36</f>
        <v>0</v>
      </c>
      <c r="K40" s="282">
        <f t="shared" ref="K40:K42" si="39">N5</f>
        <v>4.4630000000000003E-2</v>
      </c>
      <c r="O40" s="278"/>
      <c r="Q40" s="56"/>
      <c r="R40" s="56"/>
      <c r="T40" s="56"/>
    </row>
    <row r="41" spans="2:21" x14ac:dyDescent="0.3">
      <c r="B41" s="279" t="s">
        <v>262</v>
      </c>
      <c r="C41" s="280" t="s">
        <v>2</v>
      </c>
      <c r="D41" s="288">
        <f t="shared" si="33"/>
        <v>0</v>
      </c>
      <c r="E41" s="282">
        <f t="shared" si="34"/>
        <v>0</v>
      </c>
      <c r="F41" s="283">
        <f t="shared" si="35"/>
        <v>0</v>
      </c>
      <c r="G41" s="283">
        <f t="shared" si="36"/>
        <v>0</v>
      </c>
      <c r="H41" s="284">
        <f t="shared" si="37"/>
        <v>0</v>
      </c>
      <c r="I41" s="279"/>
      <c r="J41" s="284">
        <f t="shared" si="38"/>
        <v>0</v>
      </c>
      <c r="K41" s="282">
        <f t="shared" si="39"/>
        <v>7.8770000000000007E-2</v>
      </c>
      <c r="O41" s="278"/>
      <c r="S41" s="291"/>
    </row>
    <row r="42" spans="2:21" x14ac:dyDescent="0.3">
      <c r="B42" s="279" t="s">
        <v>263</v>
      </c>
      <c r="C42" s="280" t="s">
        <v>2</v>
      </c>
      <c r="D42" s="288"/>
      <c r="E42" s="282">
        <f t="shared" si="34"/>
        <v>0</v>
      </c>
      <c r="F42" s="283">
        <f t="shared" si="35"/>
        <v>0</v>
      </c>
      <c r="G42" s="283">
        <f t="shared" si="36"/>
        <v>0</v>
      </c>
      <c r="H42" s="284">
        <f t="shared" si="37"/>
        <v>0</v>
      </c>
      <c r="I42" s="279"/>
      <c r="J42" s="284">
        <f t="shared" si="38"/>
        <v>0</v>
      </c>
      <c r="K42" s="282">
        <f t="shared" si="39"/>
        <v>0.14199999999999999</v>
      </c>
      <c r="O42" s="278"/>
      <c r="S42" s="291"/>
    </row>
    <row r="43" spans="2:21" x14ac:dyDescent="0.3">
      <c r="B43" s="279"/>
      <c r="C43" s="280"/>
      <c r="D43" s="288"/>
      <c r="E43" s="282"/>
      <c r="F43" s="283"/>
      <c r="G43" s="283"/>
      <c r="H43" s="284"/>
      <c r="I43" s="279"/>
      <c r="J43" s="284"/>
      <c r="K43" s="282"/>
      <c r="O43" s="278"/>
      <c r="S43" s="291"/>
    </row>
    <row r="44" spans="2:21" x14ac:dyDescent="0.3">
      <c r="B44" s="279" t="s">
        <v>229</v>
      </c>
      <c r="C44" s="279"/>
      <c r="D44" s="288"/>
      <c r="E44" s="279"/>
      <c r="F44" s="292"/>
      <c r="G44" s="279"/>
      <c r="H44" s="279"/>
      <c r="I44" s="279"/>
      <c r="J44" s="279"/>
      <c r="K44" s="279"/>
      <c r="O44" s="278"/>
      <c r="S44" s="291"/>
    </row>
    <row r="45" spans="2:21" x14ac:dyDescent="0.3">
      <c r="B45" s="279" t="s">
        <v>228</v>
      </c>
      <c r="C45" s="279"/>
      <c r="D45" s="288"/>
      <c r="E45" s="279"/>
      <c r="F45" s="292"/>
      <c r="G45" s="279"/>
      <c r="H45" s="279"/>
      <c r="I45" s="279"/>
      <c r="J45" s="279"/>
      <c r="K45" s="279"/>
      <c r="O45" s="278"/>
      <c r="S45" s="291"/>
    </row>
    <row r="46" spans="2:21" x14ac:dyDescent="0.3">
      <c r="B46" s="279" t="s">
        <v>377</v>
      </c>
      <c r="C46" s="279"/>
      <c r="D46" s="288"/>
      <c r="E46" s="279"/>
      <c r="F46" s="292"/>
      <c r="G46" s="279"/>
      <c r="H46" s="279"/>
      <c r="I46" s="279"/>
      <c r="J46" s="279"/>
      <c r="K46" s="279"/>
      <c r="O46" s="278"/>
      <c r="S46" s="291"/>
    </row>
    <row r="47" spans="2:21" x14ac:dyDescent="0.3">
      <c r="B47" s="279" t="s">
        <v>260</v>
      </c>
      <c r="C47" s="279"/>
      <c r="D47" s="288"/>
      <c r="E47" s="279"/>
      <c r="F47" s="292"/>
      <c r="G47" s="279"/>
      <c r="H47" s="279"/>
      <c r="I47" s="279"/>
      <c r="J47" s="279"/>
      <c r="K47" s="279"/>
      <c r="O47" s="278"/>
      <c r="S47" s="291"/>
    </row>
    <row r="48" spans="2:21" x14ac:dyDescent="0.3">
      <c r="B48" s="279" t="s">
        <v>230</v>
      </c>
      <c r="C48" s="279"/>
      <c r="D48" s="288"/>
      <c r="E48" s="279"/>
      <c r="F48" s="292">
        <v>44.32</v>
      </c>
      <c r="G48" s="279"/>
      <c r="H48" s="279"/>
      <c r="I48" s="279"/>
      <c r="J48" s="279"/>
      <c r="K48" s="279"/>
      <c r="O48" s="278"/>
    </row>
    <row r="49" spans="2:22" x14ac:dyDescent="0.3">
      <c r="B49" s="279"/>
      <c r="C49" s="279"/>
      <c r="D49" s="288"/>
      <c r="E49" s="279"/>
      <c r="F49" s="279"/>
      <c r="G49" s="279"/>
      <c r="H49" s="279"/>
      <c r="I49" s="279"/>
      <c r="J49" s="279"/>
      <c r="K49" s="279"/>
      <c r="O49" s="278"/>
    </row>
    <row r="50" spans="2:22" x14ac:dyDescent="0.3">
      <c r="B50" s="279"/>
      <c r="C50" s="279"/>
      <c r="D50" s="288"/>
      <c r="E50" s="279"/>
      <c r="F50" s="279"/>
      <c r="G50" s="279"/>
      <c r="H50" s="279"/>
      <c r="I50" s="279"/>
      <c r="J50" s="279"/>
      <c r="K50" s="279"/>
      <c r="O50" s="278"/>
    </row>
    <row r="51" spans="2:22" x14ac:dyDescent="0.3">
      <c r="B51" s="293" t="s">
        <v>135</v>
      </c>
      <c r="C51" s="289"/>
      <c r="D51" s="294"/>
      <c r="E51" s="289"/>
      <c r="F51" s="295">
        <f>SUM(F22:F50)</f>
        <v>176.73</v>
      </c>
      <c r="G51" s="296">
        <f>SUM(G22:G50)</f>
        <v>5.4811789260583268</v>
      </c>
      <c r="H51" s="297">
        <f>SUM(H22:H50)</f>
        <v>256.31505106884691</v>
      </c>
      <c r="I51" s="289"/>
      <c r="J51" s="297">
        <f>SUM(J22:J50)</f>
        <v>43.576211843003961</v>
      </c>
      <c r="K51" s="289"/>
      <c r="L51" s="75"/>
      <c r="M51" s="75"/>
      <c r="N51" s="75"/>
      <c r="O51" s="261"/>
    </row>
    <row r="53" spans="2:22" x14ac:dyDescent="0.3">
      <c r="B53" s="298" t="s">
        <v>231</v>
      </c>
      <c r="C53" s="299">
        <f>D86</f>
        <v>100.00579999999999</v>
      </c>
      <c r="D53" s="300">
        <f>E86</f>
        <v>1.8608682270474647E-4</v>
      </c>
      <c r="E53" s="300">
        <f>F86</f>
        <v>-2.5965236115047629E-3</v>
      </c>
      <c r="F53" s="298">
        <f>C53*(D53+E53)</f>
        <v>-0.24105765941337667</v>
      </c>
    </row>
    <row r="55" spans="2:22" x14ac:dyDescent="0.3"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2:22" x14ac:dyDescent="0.3">
      <c r="B56" s="459" t="s">
        <v>183</v>
      </c>
      <c r="C56" s="460"/>
      <c r="D56" s="460"/>
      <c r="E56" s="460"/>
      <c r="F56" s="460"/>
      <c r="G56" s="460"/>
      <c r="H56" s="461"/>
      <c r="I56" s="1"/>
      <c r="J56" s="124"/>
      <c r="K56" s="1"/>
      <c r="L56" s="1"/>
      <c r="M56" s="1"/>
      <c r="N56" s="1"/>
      <c r="O56" s="1"/>
      <c r="P56" s="1"/>
    </row>
    <row r="57" spans="2:22" x14ac:dyDescent="0.3">
      <c r="B57" s="41"/>
      <c r="D57" s="46" t="s">
        <v>40</v>
      </c>
      <c r="E57" s="46" t="s">
        <v>10</v>
      </c>
      <c r="F57" s="46" t="s">
        <v>9</v>
      </c>
      <c r="G57" s="46" t="s">
        <v>34</v>
      </c>
      <c r="H57" s="47" t="s">
        <v>7</v>
      </c>
      <c r="I57" s="1"/>
      <c r="M57" s="1"/>
      <c r="N57" s="1"/>
      <c r="O57" s="1"/>
      <c r="P57" s="1"/>
    </row>
    <row r="58" spans="2:22" x14ac:dyDescent="0.3">
      <c r="B58" s="48" t="s">
        <v>41</v>
      </c>
      <c r="C58" s="49"/>
      <c r="D58" s="50"/>
      <c r="E58" s="50"/>
      <c r="F58" s="50"/>
      <c r="G58" s="50"/>
      <c r="H58" s="51">
        <f>SUM(H60:H67)+SUM(H80:H84)</f>
        <v>439.89854633283215</v>
      </c>
      <c r="I58" s="1"/>
      <c r="J58" s="1"/>
      <c r="K58" s="1"/>
      <c r="L58" s="1"/>
      <c r="M58" s="1"/>
      <c r="N58" s="1"/>
      <c r="O58" s="1"/>
      <c r="P58" s="1"/>
    </row>
    <row r="59" spans="2:22" x14ac:dyDescent="0.3">
      <c r="B59" s="41"/>
      <c r="D59" s="46"/>
      <c r="E59" s="46"/>
      <c r="F59" s="46"/>
      <c r="G59" s="46"/>
      <c r="H59" s="52"/>
      <c r="I59" s="1"/>
      <c r="J59"/>
      <c r="K59"/>
      <c r="L59"/>
      <c r="M59" s="1"/>
      <c r="N59" s="1"/>
      <c r="O59" s="1"/>
      <c r="P59" s="1"/>
    </row>
    <row r="60" spans="2:22" x14ac:dyDescent="0.3">
      <c r="B60" s="41" t="s">
        <v>83</v>
      </c>
      <c r="D60" s="249">
        <f>D22</f>
        <v>64</v>
      </c>
      <c r="E60" s="53">
        <f t="shared" ref="E60:F62" si="40">IF(AND($B$15&lt;$F$2,$E$15&lt;$F$2),C6,IF($B$15&lt;$F$2,I6,F6))</f>
        <v>1.0925953333333334</v>
      </c>
      <c r="F60" s="250">
        <f t="shared" si="40"/>
        <v>0.499614</v>
      </c>
      <c r="G60" s="53">
        <f>E60+F60</f>
        <v>1.5922093333333334</v>
      </c>
      <c r="H60" s="54">
        <f>ROUND((D60*E60),2)+ROUND((D60*F60),2)</f>
        <v>101.91000000000001</v>
      </c>
      <c r="I60" s="1"/>
      <c r="J60"/>
      <c r="K60"/>
      <c r="L60"/>
      <c r="M60" s="1"/>
      <c r="N60" s="1"/>
      <c r="O60" s="1"/>
      <c r="P60" s="1"/>
      <c r="U60" s="252"/>
    </row>
    <row r="61" spans="2:22" x14ac:dyDescent="0.3">
      <c r="B61" s="41" t="s">
        <v>84</v>
      </c>
      <c r="D61" s="249">
        <f>D23</f>
        <v>0</v>
      </c>
      <c r="E61" s="53">
        <f t="shared" si="40"/>
        <v>0.40537199999999995</v>
      </c>
      <c r="F61" s="250">
        <f t="shared" si="40"/>
        <v>0.31292066666666668</v>
      </c>
      <c r="G61" s="53">
        <f t="shared" ref="G61:G62" si="41">E61+F61</f>
        <v>0.71829266666666669</v>
      </c>
      <c r="H61" s="54">
        <f t="shared" ref="H61:H62" si="42">ROUND((D61*E61),2)+ROUND((D61*F61),2)</f>
        <v>0</v>
      </c>
      <c r="I61" s="1"/>
      <c r="J61" s="1"/>
      <c r="K61" s="1"/>
      <c r="L61" s="253"/>
      <c r="M61" s="1"/>
      <c r="N61" s="1"/>
      <c r="O61" s="1"/>
      <c r="P61" s="1"/>
      <c r="U61" s="252"/>
    </row>
    <row r="62" spans="2:22" x14ac:dyDescent="0.3">
      <c r="B62" s="41" t="s">
        <v>184</v>
      </c>
      <c r="D62" s="249">
        <f>D24</f>
        <v>233</v>
      </c>
      <c r="E62" s="53">
        <f t="shared" si="40"/>
        <v>0.74898600000000004</v>
      </c>
      <c r="F62" s="250">
        <f t="shared" si="40"/>
        <v>0.31292066666666668</v>
      </c>
      <c r="G62" s="53">
        <f t="shared" si="41"/>
        <v>1.0619066666666668</v>
      </c>
      <c r="H62" s="54">
        <f t="shared" si="42"/>
        <v>247.42</v>
      </c>
      <c r="I62" s="1"/>
      <c r="J62" s="1"/>
      <c r="K62" s="1"/>
      <c r="L62" s="253"/>
      <c r="M62" s="1"/>
      <c r="N62" s="1"/>
      <c r="O62" s="1"/>
      <c r="P62" s="1"/>
      <c r="U62" s="252"/>
    </row>
    <row r="63" spans="2:22" x14ac:dyDescent="0.3">
      <c r="B63" s="41"/>
      <c r="D63" s="55"/>
      <c r="E63" s="56"/>
      <c r="F63" s="57"/>
      <c r="G63" s="57"/>
      <c r="H63" s="54"/>
      <c r="I63" s="1"/>
      <c r="J63" s="1"/>
      <c r="K63" s="1"/>
      <c r="L63" s="1"/>
      <c r="M63" s="1"/>
      <c r="N63" s="1"/>
      <c r="O63" s="1"/>
      <c r="P63" s="1"/>
      <c r="U63" s="252"/>
    </row>
    <row r="64" spans="2:22" x14ac:dyDescent="0.3">
      <c r="B64" s="41" t="s">
        <v>43</v>
      </c>
      <c r="D64" s="58">
        <f>IF($K$13=M4,((D60+D61+D62)*(K15)/(K15+L15)),0)+IF($L$13=M4,((D60+D61+D62)*(L15)/(K15+L15)),0)</f>
        <v>297</v>
      </c>
      <c r="F64" s="59">
        <f>N4</f>
        <v>1.8849999999999999E-2</v>
      </c>
      <c r="G64" s="59"/>
      <c r="H64" s="54">
        <f>ROUND(D64*(E64+F64),2)</f>
        <v>5.6</v>
      </c>
      <c r="I64" s="1"/>
      <c r="J64" s="1"/>
      <c r="K64" s="1"/>
      <c r="L64" s="1"/>
      <c r="M64" s="1"/>
      <c r="N64" s="1"/>
      <c r="O64" s="1"/>
      <c r="P64" s="1"/>
    </row>
    <row r="65" spans="2:16" x14ac:dyDescent="0.3">
      <c r="B65" s="41" t="s">
        <v>44</v>
      </c>
      <c r="D65" s="58">
        <f>IF($K$13=M5,((D60+D61+D62)*(K15)/(K15+L15)),0)+IF($L$13=M5,((D60+D61+D62)*(L15)/(K15+L15)),0)</f>
        <v>0</v>
      </c>
      <c r="F65" s="59">
        <f>N5</f>
        <v>4.4630000000000003E-2</v>
      </c>
      <c r="G65" s="59"/>
      <c r="H65" s="54">
        <f>ROUND(D65*(E65+F65),2)</f>
        <v>0</v>
      </c>
      <c r="I65" s="1"/>
      <c r="J65" s="1"/>
      <c r="K65" s="1"/>
      <c r="L65" s="1"/>
      <c r="M65" s="1"/>
      <c r="N65" s="1"/>
      <c r="O65" s="1"/>
      <c r="P65" s="1"/>
    </row>
    <row r="66" spans="2:16" x14ac:dyDescent="0.3">
      <c r="B66" s="41" t="s">
        <v>45</v>
      </c>
      <c r="D66" s="58">
        <f>IF($K$13=M6,((D60+D61+D62)*(K15)/(K15+L15)),0)+IF($L$13=M6,((D60+D61+D62)*(L15)/(K15+L15)),0)</f>
        <v>0</v>
      </c>
      <c r="F66" s="59">
        <f>N6</f>
        <v>7.8770000000000007E-2</v>
      </c>
      <c r="G66" s="59"/>
      <c r="H66" s="54">
        <f>ROUND(D66*(E66+F66),2)</f>
        <v>0</v>
      </c>
      <c r="I66" s="1"/>
      <c r="J66" s="1"/>
      <c r="K66" s="1"/>
      <c r="L66" s="1"/>
      <c r="M66" s="1"/>
      <c r="N66" s="1"/>
      <c r="O66" s="1"/>
      <c r="P66" s="1"/>
    </row>
    <row r="67" spans="2:16" x14ac:dyDescent="0.3">
      <c r="B67" s="41" t="s">
        <v>46</v>
      </c>
      <c r="D67" s="58">
        <f>IF($K$13=M7,((D60+D61+D62)*(K15)/(K15+L15)),0)+IF($L$13=M7,((D60+D61+D62)*(L15)/(K15+L15)),0)</f>
        <v>0</v>
      </c>
      <c r="F67" s="59">
        <f>N7</f>
        <v>0.14199999999999999</v>
      </c>
      <c r="G67" s="59"/>
      <c r="H67" s="54">
        <f>ROUND(D67*(E67+F67),2)</f>
        <v>0</v>
      </c>
      <c r="I67" s="1"/>
      <c r="J67" s="1"/>
      <c r="K67" s="1">
        <v>58.22</v>
      </c>
      <c r="L67" s="1">
        <v>82.53</v>
      </c>
      <c r="M67" s="1"/>
      <c r="N67" s="1"/>
      <c r="O67" s="1"/>
      <c r="P67" s="1"/>
    </row>
    <row r="68" spans="2:16" x14ac:dyDescent="0.3">
      <c r="B68" s="41"/>
      <c r="D68" s="60"/>
      <c r="H68" s="54"/>
      <c r="I68" s="1"/>
      <c r="J68" s="1"/>
      <c r="K68" s="1">
        <v>6.63</v>
      </c>
      <c r="L68" s="1">
        <v>9.4</v>
      </c>
      <c r="M68" s="1"/>
      <c r="N68" s="1"/>
      <c r="O68" s="1"/>
      <c r="P68" s="1"/>
    </row>
    <row r="69" spans="2:16" x14ac:dyDescent="0.3">
      <c r="B69" s="41" t="s">
        <v>205</v>
      </c>
      <c r="D69" s="218">
        <f>D33</f>
        <v>-52.973500000000001</v>
      </c>
      <c r="E69" s="53">
        <f>E60*F18</f>
        <v>1.0925953333333334</v>
      </c>
      <c r="F69" s="250">
        <f>F60</f>
        <v>0.499614</v>
      </c>
      <c r="G69" s="53">
        <f>E69+F69</f>
        <v>1.5922093333333334</v>
      </c>
      <c r="H69" s="54">
        <f>ROUND((D69*E69),2)+ROUND((D69*F69),2)</f>
        <v>-84.35</v>
      </c>
      <c r="I69" s="1"/>
      <c r="J69" s="1"/>
      <c r="K69" s="1">
        <f>SUM(K67:K68)</f>
        <v>64.849999999999994</v>
      </c>
      <c r="L69" s="1">
        <f>SUM(L67:L68)</f>
        <v>91.93</v>
      </c>
      <c r="M69" s="1"/>
      <c r="N69" s="1"/>
      <c r="O69" s="1"/>
      <c r="P69" s="1"/>
    </row>
    <row r="70" spans="2:16" x14ac:dyDescent="0.3">
      <c r="B70" s="41" t="s">
        <v>206</v>
      </c>
      <c r="D70" s="218">
        <f>D34</f>
        <v>0</v>
      </c>
      <c r="E70" s="53">
        <f>E61*F18</f>
        <v>0.40537199999999995</v>
      </c>
      <c r="F70" s="250">
        <f t="shared" ref="F70:F71" si="43">F61</f>
        <v>0.31292066666666668</v>
      </c>
      <c r="G70" s="53">
        <f t="shared" ref="G70:G71" si="44">E70+F70</f>
        <v>0.71829266666666669</v>
      </c>
      <c r="H70" s="54">
        <f t="shared" ref="H70:H71" si="45">ROUND((D70*E70),2)+ROUND((D70*F70),2)</f>
        <v>0</v>
      </c>
      <c r="I70" s="1"/>
      <c r="J70" s="1"/>
      <c r="K70" s="1"/>
      <c r="L70" s="1"/>
      <c r="M70" s="1"/>
      <c r="N70" s="1"/>
      <c r="O70" s="1"/>
      <c r="P70" s="1"/>
    </row>
    <row r="71" spans="2:16" x14ac:dyDescent="0.3">
      <c r="B71" s="41" t="s">
        <v>207</v>
      </c>
      <c r="D71" s="218">
        <f>D35</f>
        <v>-144.02070000000001</v>
      </c>
      <c r="E71" s="53">
        <f>E62*F18</f>
        <v>0.74898600000000004</v>
      </c>
      <c r="F71" s="250">
        <f t="shared" si="43"/>
        <v>0.31292066666666668</v>
      </c>
      <c r="G71" s="53">
        <f t="shared" si="44"/>
        <v>1.0619066666666668</v>
      </c>
      <c r="H71" s="54">
        <f t="shared" si="45"/>
        <v>-152.94</v>
      </c>
      <c r="I71" s="1"/>
      <c r="J71" s="1"/>
      <c r="K71" s="1"/>
      <c r="L71" s="1"/>
      <c r="M71" s="1"/>
      <c r="N71" s="1"/>
      <c r="O71" s="1"/>
      <c r="P71" s="1"/>
    </row>
    <row r="72" spans="2:16" x14ac:dyDescent="0.3">
      <c r="B72" s="41"/>
      <c r="D72" s="56"/>
      <c r="E72" s="56"/>
      <c r="F72" s="57"/>
      <c r="G72" s="57"/>
      <c r="H72" s="54"/>
      <c r="I72" s="1"/>
      <c r="J72" s="1"/>
      <c r="K72" s="1"/>
      <c r="L72" s="1"/>
      <c r="M72" s="1"/>
      <c r="N72" s="1"/>
      <c r="O72" s="1"/>
      <c r="P72" s="1"/>
    </row>
    <row r="73" spans="2:16" x14ac:dyDescent="0.3">
      <c r="B73" s="41" t="s">
        <v>208</v>
      </c>
      <c r="D73" s="58">
        <f>IF($K$13=M4,(($D$69+$D$70+$D$71)*($K$15)/($K$15+$L$15)),0)+IF($L$13=M4,(($D$69+$D$70+$D$71)*($L$15)/($K$15+$L$15)),0)</f>
        <v>-196.99419999999998</v>
      </c>
      <c r="F73" s="59">
        <f>N4</f>
        <v>1.8849999999999999E-2</v>
      </c>
      <c r="G73" s="59"/>
      <c r="H73" s="54">
        <f>ROUND(D73*(E73+F73),2)</f>
        <v>-3.71</v>
      </c>
      <c r="I73" s="1"/>
      <c r="J73" s="1"/>
      <c r="K73" s="1"/>
      <c r="L73" s="1"/>
      <c r="M73" s="1"/>
      <c r="N73" s="1"/>
      <c r="O73" s="1"/>
      <c r="P73" s="1"/>
    </row>
    <row r="74" spans="2:16" x14ac:dyDescent="0.3">
      <c r="B74" s="41" t="s">
        <v>209</v>
      </c>
      <c r="D74" s="58">
        <f>IF($K$13=M5,(($D$69+$D$70+$D$71)*($K$15)/($K$15+$L$15)),0)+IF($L$13=M5,(($D$69+$D$70+$D$71)*($L$15)/($K$15+$L$15)),0)</f>
        <v>0</v>
      </c>
      <c r="F74" s="59">
        <f>N14</f>
        <v>0</v>
      </c>
      <c r="G74" s="59"/>
      <c r="H74" s="54">
        <f>ROUND(D74*(E74+F74),2)</f>
        <v>0</v>
      </c>
      <c r="I74" s="1"/>
      <c r="J74" s="1"/>
      <c r="K74" s="1"/>
      <c r="L74" s="1"/>
      <c r="M74" s="1"/>
      <c r="N74" s="1"/>
      <c r="O74" s="1"/>
      <c r="P74" s="1"/>
    </row>
    <row r="75" spans="2:16" x14ac:dyDescent="0.3">
      <c r="B75" s="41" t="s">
        <v>210</v>
      </c>
      <c r="D75" s="58">
        <f>IF($K$13=M6,(($D$69+$D$70+$D$71)*($K$15)/($K$15+$L$15)),0)+IF($L$13=M6,(($D$69+$D$70+$D$71)*($L$15)/($K$15+$L$15)),0)</f>
        <v>0</v>
      </c>
      <c r="F75" s="59">
        <f>N15</f>
        <v>0</v>
      </c>
      <c r="G75" s="59"/>
      <c r="H75" s="54">
        <f>ROUND(D75*(E75+F75),2)</f>
        <v>0</v>
      </c>
      <c r="I75" s="1"/>
      <c r="J75" s="1"/>
      <c r="K75" s="1"/>
      <c r="L75" s="1"/>
      <c r="M75" s="1"/>
      <c r="N75" s="1"/>
      <c r="O75" s="1"/>
      <c r="P75" s="1"/>
    </row>
    <row r="76" spans="2:16" x14ac:dyDescent="0.3">
      <c r="B76" s="41" t="s">
        <v>211</v>
      </c>
      <c r="D76" s="58">
        <f>IF($K$13=M7,(($D$69+$D$70+$D$71)*($K$15)/($K$15+$L$15)),0)+IF($L$13=M7,(($D$69+$D$70+$D$71)*($L$15)/($K$15+$L$15)),0)</f>
        <v>0</v>
      </c>
      <c r="F76" s="59">
        <f>N16</f>
        <v>0</v>
      </c>
      <c r="G76" s="59"/>
      <c r="H76" s="54">
        <f>ROUND(D76*(E76+F76),2)</f>
        <v>0</v>
      </c>
      <c r="I76" s="1"/>
      <c r="J76" s="1"/>
      <c r="K76" s="1"/>
      <c r="L76" s="1"/>
      <c r="M76" s="1"/>
      <c r="N76" s="1"/>
      <c r="O76" s="1"/>
      <c r="P76" s="1"/>
    </row>
    <row r="77" spans="2:16" x14ac:dyDescent="0.3">
      <c r="B77" s="74"/>
      <c r="C77" s="75"/>
      <c r="D77" s="254"/>
      <c r="E77" s="255"/>
      <c r="F77" s="75"/>
      <c r="G77" s="75"/>
      <c r="H77" s="256"/>
      <c r="I77" s="1"/>
      <c r="J77" s="1"/>
      <c r="K77" s="1"/>
      <c r="L77" s="1"/>
      <c r="M77" s="1"/>
      <c r="N77" s="1"/>
      <c r="O77" s="1"/>
      <c r="P77" s="1"/>
    </row>
    <row r="78" spans="2:16" x14ac:dyDescent="0.3">
      <c r="B78" s="34"/>
      <c r="C78" s="35"/>
      <c r="D78" s="35"/>
      <c r="E78" s="35"/>
      <c r="F78" s="35"/>
      <c r="G78" s="35"/>
      <c r="H78" s="338">
        <v>77.59</v>
      </c>
      <c r="I78" s="1"/>
      <c r="L78" s="1"/>
      <c r="M78" s="1"/>
      <c r="N78" s="1"/>
      <c r="O78" s="1"/>
      <c r="P78" s="1"/>
    </row>
    <row r="79" spans="2:16" x14ac:dyDescent="0.3">
      <c r="B79" s="41"/>
      <c r="D79" s="63" t="s">
        <v>48</v>
      </c>
      <c r="E79" s="64"/>
      <c r="F79" s="64"/>
      <c r="G79" s="64"/>
      <c r="H79" s="65"/>
      <c r="I79" s="66"/>
      <c r="K79" s="67"/>
      <c r="L79" s="1"/>
      <c r="M79" s="1"/>
      <c r="N79" s="1"/>
      <c r="O79" s="1"/>
      <c r="P79" s="1"/>
    </row>
    <row r="80" spans="2:16" x14ac:dyDescent="0.3">
      <c r="B80" s="41" t="s">
        <v>49</v>
      </c>
      <c r="D80" s="67">
        <f>(SUM(H60:H67)/(1-E80-E82))</f>
        <v>378.2692102738996</v>
      </c>
      <c r="E80" s="258">
        <f>N22</f>
        <v>1.0999999999999999E-2</v>
      </c>
      <c r="H80" s="54">
        <f t="shared" ref="H80:H85" si="46">D80*E80</f>
        <v>4.1609613130128951</v>
      </c>
      <c r="I80" s="67"/>
      <c r="L80" s="1"/>
      <c r="M80" s="1"/>
      <c r="N80" s="1"/>
      <c r="O80" s="1"/>
      <c r="P80" s="1"/>
    </row>
    <row r="81" spans="2:16" x14ac:dyDescent="0.3">
      <c r="B81" s="41" t="s">
        <v>241</v>
      </c>
      <c r="D81" s="67">
        <f>(SUM(H69:H76)/(1-E81-E83))</f>
        <v>-256.84749014174571</v>
      </c>
      <c r="E81" s="258">
        <f>E80</f>
        <v>1.0999999999999999E-2</v>
      </c>
      <c r="H81" s="54">
        <f t="shared" si="46"/>
        <v>-2.8253223915592027</v>
      </c>
      <c r="I81" s="67"/>
      <c r="L81" s="1"/>
      <c r="M81" s="1"/>
      <c r="N81" s="1"/>
      <c r="O81" s="1"/>
      <c r="P81" s="1"/>
    </row>
    <row r="82" spans="2:16" x14ac:dyDescent="0.3">
      <c r="B82" s="41" t="s">
        <v>51</v>
      </c>
      <c r="D82" s="67">
        <f>D80</f>
        <v>378.2692102738996</v>
      </c>
      <c r="E82" s="258">
        <f>N24</f>
        <v>5.0700000000000002E-2</v>
      </c>
      <c r="H82" s="54">
        <f t="shared" si="46"/>
        <v>19.178248960886712</v>
      </c>
      <c r="I82" s="67"/>
      <c r="L82" s="1"/>
      <c r="M82" s="1"/>
      <c r="N82" s="1"/>
      <c r="O82" s="1"/>
      <c r="P82" s="1"/>
    </row>
    <row r="83" spans="2:16" x14ac:dyDescent="0.3">
      <c r="B83" s="41" t="s">
        <v>242</v>
      </c>
      <c r="D83" s="67">
        <f>D81</f>
        <v>-256.84749014174571</v>
      </c>
      <c r="E83" s="258">
        <f>E82</f>
        <v>5.0700000000000002E-2</v>
      </c>
      <c r="H83" s="54">
        <f t="shared" si="46"/>
        <v>-13.022167750186508</v>
      </c>
      <c r="I83" s="67"/>
      <c r="L83" s="1"/>
      <c r="M83" s="1"/>
      <c r="N83" s="1"/>
      <c r="O83" s="1"/>
      <c r="P83" s="1"/>
    </row>
    <row r="84" spans="2:16" x14ac:dyDescent="0.3">
      <c r="B84" s="41" t="s">
        <v>11</v>
      </c>
      <c r="D84" s="259">
        <f>D80/(1-E84)</f>
        <v>455.74603647457786</v>
      </c>
      <c r="E84" s="260">
        <v>0.17</v>
      </c>
      <c r="H84" s="54">
        <f t="shared" si="46"/>
        <v>77.476826200678246</v>
      </c>
      <c r="I84" s="67"/>
      <c r="L84" s="1"/>
      <c r="M84" s="1"/>
      <c r="N84" s="1"/>
      <c r="O84" s="1"/>
      <c r="P84" s="1"/>
    </row>
    <row r="85" spans="2:16" x14ac:dyDescent="0.3">
      <c r="B85" s="41" t="s">
        <v>243</v>
      </c>
      <c r="D85" s="259">
        <f>((D69*F69)+(D70*F70)+(D71*F71)+H73+H74+H75+H76)/(1-E81-E83)/(1-E85)</f>
        <v>-96.615842913549116</v>
      </c>
      <c r="E85" s="260">
        <v>0.17</v>
      </c>
      <c r="H85" s="54">
        <f t="shared" si="46"/>
        <v>-16.424693295303349</v>
      </c>
      <c r="L85" s="1"/>
      <c r="M85" s="1"/>
      <c r="N85" s="1"/>
      <c r="O85" s="1"/>
      <c r="P85" s="1"/>
    </row>
    <row r="86" spans="2:16" x14ac:dyDescent="0.3">
      <c r="B86" s="219" t="s">
        <v>166</v>
      </c>
      <c r="C86" s="130"/>
      <c r="D86" s="220">
        <f>SUM(D60:D62)+SUM(D69:D71)</f>
        <v>100.00579999999999</v>
      </c>
      <c r="E86" s="221">
        <f>IF(AND($B$15&lt;$F$2,$E$15&lt;$F$2),C9,IF($B$15&lt;$F$2,I9,F9))</f>
        <v>1.8608682270474647E-4</v>
      </c>
      <c r="F86" s="221">
        <f>IF(AND($B$15&lt;$F$2,$E$15&lt;$F$2),D9,IF($B$15&lt;$F$2,J9,G9))</f>
        <v>-2.5965236115047629E-3</v>
      </c>
      <c r="G86" s="130"/>
      <c r="H86" s="219">
        <f>D86*(E86+F86)</f>
        <v>-0.24105765941337667</v>
      </c>
      <c r="L86" s="1"/>
      <c r="M86" s="1"/>
      <c r="N86" s="1"/>
      <c r="O86" s="1"/>
      <c r="P86" s="1"/>
    </row>
    <row r="87" spans="2:16" x14ac:dyDescent="0.3">
      <c r="L87" s="1"/>
      <c r="M87" s="1"/>
      <c r="N87" s="1"/>
      <c r="O87" s="1"/>
      <c r="P87" s="1"/>
    </row>
    <row r="88" spans="2:16" x14ac:dyDescent="0.3">
      <c r="B88" s="127" t="s">
        <v>185</v>
      </c>
      <c r="D88" s="64"/>
      <c r="E88" s="64" t="s">
        <v>8</v>
      </c>
      <c r="F88" s="64"/>
      <c r="G88" s="64"/>
      <c r="H88" s="66"/>
    </row>
    <row r="89" spans="2:16" x14ac:dyDescent="0.3">
      <c r="B89" s="262"/>
      <c r="C89" s="263" t="s">
        <v>7</v>
      </c>
    </row>
    <row r="90" spans="2:16" x14ac:dyDescent="0.3">
      <c r="B90" s="262" t="s">
        <v>186</v>
      </c>
      <c r="C90" s="264">
        <f>(SUM(H60:H67)*IF($B$15&lt;$F$2,D128,D100))</f>
        <v>153.59095725608685</v>
      </c>
    </row>
    <row r="91" spans="2:16" x14ac:dyDescent="0.3">
      <c r="B91" s="262" t="s">
        <v>187</v>
      </c>
      <c r="C91" s="264">
        <f>(SUM(H60:H67)*IF($B$15&lt;$F$2,F128,F100))</f>
        <v>92.211579301256378</v>
      </c>
    </row>
    <row r="92" spans="2:16" x14ac:dyDescent="0.3">
      <c r="B92" s="262" t="s">
        <v>188</v>
      </c>
      <c r="C92" s="264">
        <f>(SUM(H60:H67)*IF($B$15&lt;$F$2,E128,E100))</f>
        <v>28.90053823814884</v>
      </c>
    </row>
    <row r="93" spans="2:16" x14ac:dyDescent="0.3">
      <c r="B93" s="262" t="s">
        <v>189</v>
      </c>
      <c r="C93" s="264">
        <f>(SUM(H60:H67)*IF($B$15&lt;$F$2,G128,G100))</f>
        <v>80.226925204507978</v>
      </c>
    </row>
    <row r="94" spans="2:16" x14ac:dyDescent="0.3">
      <c r="B94" s="262" t="s">
        <v>190</v>
      </c>
      <c r="C94" s="265">
        <f>H80+H82+H84</f>
        <v>100.81603647457786</v>
      </c>
    </row>
    <row r="95" spans="2:16" x14ac:dyDescent="0.3">
      <c r="B95" s="266" t="s">
        <v>191</v>
      </c>
      <c r="C95" s="267">
        <f>SUM(C90:C94)</f>
        <v>455.74603647457792</v>
      </c>
    </row>
    <row r="97" spans="2:10" x14ac:dyDescent="0.3">
      <c r="B97" s="190">
        <v>2023</v>
      </c>
      <c r="C97" s="190"/>
      <c r="D97" s="190" t="s">
        <v>186</v>
      </c>
      <c r="E97" s="190" t="s">
        <v>188</v>
      </c>
      <c r="F97" s="190" t="s">
        <v>187</v>
      </c>
      <c r="G97" s="190" t="s">
        <v>192</v>
      </c>
    </row>
    <row r="98" spans="2:10" x14ac:dyDescent="0.3">
      <c r="B98" s="190" t="s">
        <v>193</v>
      </c>
      <c r="C98" s="190"/>
      <c r="D98" s="190" t="s">
        <v>194</v>
      </c>
      <c r="E98" s="190" t="s">
        <v>194</v>
      </c>
      <c r="F98" s="190" t="s">
        <v>194</v>
      </c>
      <c r="G98" s="190" t="s">
        <v>194</v>
      </c>
    </row>
    <row r="99" spans="2:10" x14ac:dyDescent="0.3">
      <c r="B99" s="190"/>
      <c r="C99" s="190"/>
      <c r="D99" s="190"/>
      <c r="E99" s="190"/>
      <c r="F99" s="190"/>
      <c r="G99" s="190"/>
    </row>
    <row r="100" spans="2:10" x14ac:dyDescent="0.3">
      <c r="B100" s="190" t="s">
        <v>195</v>
      </c>
      <c r="C100" s="190"/>
      <c r="D100" s="268">
        <v>0.43273591202796846</v>
      </c>
      <c r="E100" s="268">
        <v>8.1426022703487561E-2</v>
      </c>
      <c r="F100" s="268">
        <v>0.25980215620335384</v>
      </c>
      <c r="G100" s="268">
        <v>0.22603590906519025</v>
      </c>
    </row>
    <row r="101" spans="2:10" x14ac:dyDescent="0.3">
      <c r="B101" s="190" t="s">
        <v>196</v>
      </c>
      <c r="C101" s="190"/>
      <c r="D101" s="268">
        <v>0.52914974745856724</v>
      </c>
      <c r="E101" s="268">
        <v>9.9567792162627941E-2</v>
      </c>
      <c r="F101" s="268">
        <v>0.31768624124570172</v>
      </c>
      <c r="G101" s="268">
        <v>5.3596219133103154E-2</v>
      </c>
    </row>
    <row r="102" spans="2:10" x14ac:dyDescent="0.3">
      <c r="B102" s="190" t="s">
        <v>197</v>
      </c>
      <c r="C102" s="190"/>
      <c r="D102" s="268">
        <v>0.43273591202796835</v>
      </c>
      <c r="E102" s="268">
        <v>8.1426022703487574E-2</v>
      </c>
      <c r="F102" s="268">
        <v>0.25980215620335428</v>
      </c>
      <c r="G102" s="268">
        <v>0.22603590906518967</v>
      </c>
    </row>
    <row r="103" spans="2:10" x14ac:dyDescent="0.3">
      <c r="B103" s="190" t="s">
        <v>198</v>
      </c>
      <c r="C103" s="190"/>
      <c r="D103" s="268">
        <v>0.43273591202796835</v>
      </c>
      <c r="E103" s="268">
        <v>8.1426022703487574E-2</v>
      </c>
      <c r="F103" s="268">
        <v>0.25980215620335428</v>
      </c>
      <c r="G103" s="268">
        <v>0.22603590906518967</v>
      </c>
    </row>
    <row r="104" spans="2:10" x14ac:dyDescent="0.3">
      <c r="B104" s="190" t="s">
        <v>199</v>
      </c>
      <c r="C104" s="190"/>
      <c r="D104" s="268">
        <v>0.43273591202796846</v>
      </c>
      <c r="E104" s="268">
        <v>8.1426022703487491E-2</v>
      </c>
      <c r="F104" s="268">
        <v>0.25980215620335423</v>
      </c>
      <c r="G104" s="268">
        <v>0.22603590906518969</v>
      </c>
    </row>
    <row r="105" spans="2:10" x14ac:dyDescent="0.3">
      <c r="B105" s="190" t="s">
        <v>200</v>
      </c>
      <c r="C105" s="190"/>
      <c r="D105" s="268">
        <v>0.43273591202796846</v>
      </c>
      <c r="E105" s="268">
        <v>8.1426022703487561E-2</v>
      </c>
      <c r="F105" s="268">
        <v>0.25980215620335384</v>
      </c>
      <c r="G105" s="268">
        <v>0.22603590906519025</v>
      </c>
    </row>
    <row r="106" spans="2:10" x14ac:dyDescent="0.3">
      <c r="B106" s="190" t="s">
        <v>201</v>
      </c>
      <c r="C106" s="190"/>
      <c r="D106" s="268">
        <v>0.43273591202796846</v>
      </c>
      <c r="E106" s="268">
        <v>8.1426022703487561E-2</v>
      </c>
      <c r="F106" s="268">
        <v>0.25980215620335384</v>
      </c>
      <c r="G106" s="268">
        <v>0.22603590906519025</v>
      </c>
    </row>
    <row r="107" spans="2:10" x14ac:dyDescent="0.3">
      <c r="B107" s="190" t="s">
        <v>202</v>
      </c>
      <c r="C107" s="190"/>
      <c r="D107" s="268">
        <v>0.43273591202796818</v>
      </c>
      <c r="E107" s="268">
        <v>8.1426022703487477E-2</v>
      </c>
      <c r="F107" s="268">
        <v>0.25980215620335462</v>
      </c>
      <c r="G107" s="268">
        <v>0.22603590906518975</v>
      </c>
      <c r="J107" s="24"/>
    </row>
    <row r="108" spans="2:10" x14ac:dyDescent="0.3">
      <c r="B108" s="190" t="s">
        <v>203</v>
      </c>
      <c r="C108" s="190"/>
      <c r="D108" s="268">
        <v>0.43273591202796957</v>
      </c>
      <c r="E108" s="268">
        <v>8.1426022703487561E-2</v>
      </c>
      <c r="F108" s="268">
        <v>0.25980215620335317</v>
      </c>
      <c r="G108" s="268">
        <v>0.22603590906518972</v>
      </c>
    </row>
    <row r="109" spans="2:10" x14ac:dyDescent="0.3">
      <c r="B109" s="127"/>
      <c r="C109" s="127"/>
      <c r="D109" s="127"/>
      <c r="E109" s="127"/>
      <c r="F109" s="127"/>
      <c r="G109" s="127"/>
    </row>
    <row r="110" spans="2:10" x14ac:dyDescent="0.3">
      <c r="B110" s="127"/>
      <c r="C110" s="127"/>
      <c r="D110" s="127"/>
      <c r="E110" s="127"/>
      <c r="F110" s="127"/>
      <c r="G110" s="127"/>
    </row>
    <row r="111" spans="2:10" x14ac:dyDescent="0.3">
      <c r="B111" s="127">
        <v>2022</v>
      </c>
      <c r="C111" s="190"/>
      <c r="D111" s="190" t="s">
        <v>186</v>
      </c>
      <c r="E111" s="190" t="s">
        <v>188</v>
      </c>
      <c r="F111" s="190" t="s">
        <v>187</v>
      </c>
      <c r="G111" s="190" t="s">
        <v>192</v>
      </c>
    </row>
    <row r="112" spans="2:10" x14ac:dyDescent="0.3">
      <c r="B112" s="190" t="s">
        <v>193</v>
      </c>
      <c r="C112" s="190"/>
      <c r="D112" s="190" t="s">
        <v>194</v>
      </c>
      <c r="E112" s="190" t="s">
        <v>194</v>
      </c>
      <c r="F112" s="190" t="s">
        <v>194</v>
      </c>
      <c r="G112" s="190" t="s">
        <v>194</v>
      </c>
    </row>
    <row r="113" spans="2:7" x14ac:dyDescent="0.3">
      <c r="B113" s="190"/>
      <c r="C113" s="190"/>
      <c r="D113" s="190"/>
      <c r="E113" s="190"/>
      <c r="F113" s="190"/>
      <c r="G113" s="190"/>
    </row>
    <row r="114" spans="2:7" x14ac:dyDescent="0.3">
      <c r="B114" s="190" t="s">
        <v>195</v>
      </c>
      <c r="C114" s="190"/>
      <c r="D114" s="268">
        <v>0.43273591202796846</v>
      </c>
      <c r="E114" s="268">
        <v>8.1426022703487561E-2</v>
      </c>
      <c r="F114" s="268">
        <v>0.25980215620335384</v>
      </c>
      <c r="G114" s="268">
        <v>0.22603590906519025</v>
      </c>
    </row>
    <row r="115" spans="2:7" x14ac:dyDescent="0.3">
      <c r="B115" s="190" t="s">
        <v>196</v>
      </c>
      <c r="C115" s="190"/>
      <c r="D115" s="268">
        <v>0.52914974745856724</v>
      </c>
      <c r="E115" s="268">
        <v>9.9567792162627941E-2</v>
      </c>
      <c r="F115" s="268">
        <v>0.31768624124570172</v>
      </c>
      <c r="G115" s="268">
        <v>5.3596219133103154E-2</v>
      </c>
    </row>
    <row r="116" spans="2:7" x14ac:dyDescent="0.3">
      <c r="B116" s="190" t="s">
        <v>197</v>
      </c>
      <c r="C116" s="190"/>
      <c r="D116" s="268">
        <v>0.43273591202796835</v>
      </c>
      <c r="E116" s="268">
        <v>8.1426022703487574E-2</v>
      </c>
      <c r="F116" s="268">
        <v>0.25980215620335428</v>
      </c>
      <c r="G116" s="268">
        <v>0.22603590906518967</v>
      </c>
    </row>
    <row r="117" spans="2:7" x14ac:dyDescent="0.3">
      <c r="B117" s="190" t="s">
        <v>198</v>
      </c>
      <c r="C117" s="190"/>
      <c r="D117" s="268">
        <v>0.43273591202796835</v>
      </c>
      <c r="E117" s="268">
        <v>8.1426022703487574E-2</v>
      </c>
      <c r="F117" s="268">
        <v>0.25980215620335428</v>
      </c>
      <c r="G117" s="268">
        <v>0.22603590906518967</v>
      </c>
    </row>
    <row r="118" spans="2:7" x14ac:dyDescent="0.3">
      <c r="B118" s="190" t="s">
        <v>199</v>
      </c>
      <c r="C118" s="190"/>
      <c r="D118" s="268">
        <v>0.43273591202796846</v>
      </c>
      <c r="E118" s="268">
        <v>8.1426022703487491E-2</v>
      </c>
      <c r="F118" s="268">
        <v>0.25980215620335423</v>
      </c>
      <c r="G118" s="268">
        <v>0.22603590906518969</v>
      </c>
    </row>
    <row r="119" spans="2:7" x14ac:dyDescent="0.3">
      <c r="B119" s="190" t="s">
        <v>200</v>
      </c>
      <c r="C119" s="190"/>
      <c r="D119" s="268">
        <v>0.43273591202796846</v>
      </c>
      <c r="E119" s="268">
        <v>8.1426022703487561E-2</v>
      </c>
      <c r="F119" s="268">
        <v>0.25980215620335384</v>
      </c>
      <c r="G119" s="268">
        <v>0.22603590906519025</v>
      </c>
    </row>
    <row r="120" spans="2:7" x14ac:dyDescent="0.3">
      <c r="B120" s="190" t="s">
        <v>201</v>
      </c>
      <c r="C120" s="190"/>
      <c r="D120" s="268">
        <v>0.43273591202796846</v>
      </c>
      <c r="E120" s="268">
        <v>8.1426022703487561E-2</v>
      </c>
      <c r="F120" s="268">
        <v>0.25980215620335384</v>
      </c>
      <c r="G120" s="268">
        <v>0.22603590906519025</v>
      </c>
    </row>
    <row r="121" spans="2:7" x14ac:dyDescent="0.3">
      <c r="B121" s="190" t="s">
        <v>202</v>
      </c>
      <c r="C121" s="190"/>
      <c r="D121" s="268">
        <v>0.43273591202796818</v>
      </c>
      <c r="E121" s="268">
        <v>8.1426022703487477E-2</v>
      </c>
      <c r="F121" s="268">
        <v>0.25980215620335462</v>
      </c>
      <c r="G121" s="268">
        <v>0.22603590906518975</v>
      </c>
    </row>
    <row r="122" spans="2:7" x14ac:dyDescent="0.3">
      <c r="B122" s="190" t="s">
        <v>203</v>
      </c>
      <c r="C122" s="190"/>
      <c r="D122" s="268">
        <v>0.43273591202796957</v>
      </c>
      <c r="E122" s="268">
        <v>8.1426022703487561E-2</v>
      </c>
      <c r="F122" s="268">
        <v>0.25980215620335317</v>
      </c>
      <c r="G122" s="268">
        <v>0.22603590906518972</v>
      </c>
    </row>
    <row r="123" spans="2:7" x14ac:dyDescent="0.3">
      <c r="B123" s="127"/>
      <c r="C123" s="127"/>
      <c r="D123" s="127"/>
      <c r="E123" s="127"/>
      <c r="F123" s="127"/>
      <c r="G123" s="127"/>
    </row>
    <row r="124" spans="2:7" x14ac:dyDescent="0.3">
      <c r="B124" s="269" t="s">
        <v>204</v>
      </c>
      <c r="C124" s="127"/>
      <c r="D124" s="127"/>
      <c r="E124" s="127"/>
      <c r="F124" s="127"/>
      <c r="G124" s="127"/>
    </row>
    <row r="125" spans="2:7" x14ac:dyDescent="0.3">
      <c r="B125" s="190"/>
      <c r="C125" s="190"/>
      <c r="D125" s="190" t="s">
        <v>186</v>
      </c>
      <c r="E125" s="190" t="s">
        <v>188</v>
      </c>
      <c r="F125" s="190" t="s">
        <v>187</v>
      </c>
      <c r="G125" s="190" t="s">
        <v>192</v>
      </c>
    </row>
    <row r="126" spans="2:7" x14ac:dyDescent="0.3">
      <c r="B126" s="190" t="s">
        <v>193</v>
      </c>
      <c r="C126" s="190"/>
      <c r="D126" s="268" t="s">
        <v>194</v>
      </c>
      <c r="E126" s="268" t="s">
        <v>194</v>
      </c>
      <c r="F126" s="268" t="s">
        <v>194</v>
      </c>
      <c r="G126" s="268" t="s">
        <v>194</v>
      </c>
    </row>
    <row r="127" spans="2:7" x14ac:dyDescent="0.3">
      <c r="B127" s="190"/>
      <c r="C127" s="190"/>
      <c r="D127" s="268"/>
      <c r="E127" s="268"/>
      <c r="F127" s="268"/>
      <c r="G127" s="268"/>
    </row>
    <row r="128" spans="2:7" x14ac:dyDescent="0.3">
      <c r="B128" s="190" t="s">
        <v>195</v>
      </c>
      <c r="C128" s="190"/>
      <c r="D128" s="268">
        <f t="shared" ref="D128:G136" si="47">((D114*$C$15)+(D100*$D$15))/($C$15+$D$15)</f>
        <v>0.43273591202796846</v>
      </c>
      <c r="E128" s="268">
        <f t="shared" si="47"/>
        <v>8.1426022703487561E-2</v>
      </c>
      <c r="F128" s="268">
        <f t="shared" si="47"/>
        <v>0.25980215620335384</v>
      </c>
      <c r="G128" s="268">
        <f t="shared" si="47"/>
        <v>0.22603590906519025</v>
      </c>
    </row>
    <row r="129" spans="2:7" x14ac:dyDescent="0.3">
      <c r="B129" s="190" t="s">
        <v>196</v>
      </c>
      <c r="C129" s="190"/>
      <c r="D129" s="268">
        <f t="shared" si="47"/>
        <v>0.52914974745856724</v>
      </c>
      <c r="E129" s="268">
        <f t="shared" si="47"/>
        <v>9.9567792162627941E-2</v>
      </c>
      <c r="F129" s="268">
        <f t="shared" si="47"/>
        <v>0.31768624124570172</v>
      </c>
      <c r="G129" s="268">
        <f t="shared" si="47"/>
        <v>5.3596219133103154E-2</v>
      </c>
    </row>
    <row r="130" spans="2:7" x14ac:dyDescent="0.3">
      <c r="B130" s="190" t="s">
        <v>197</v>
      </c>
      <c r="C130" s="190"/>
      <c r="D130" s="268">
        <f t="shared" si="47"/>
        <v>0.43273591202796829</v>
      </c>
      <c r="E130" s="268">
        <f t="shared" si="47"/>
        <v>8.1426022703487574E-2</v>
      </c>
      <c r="F130" s="268">
        <f t="shared" si="47"/>
        <v>0.25980215620335428</v>
      </c>
      <c r="G130" s="268">
        <f t="shared" si="47"/>
        <v>0.22603590906518967</v>
      </c>
    </row>
    <row r="131" spans="2:7" x14ac:dyDescent="0.3">
      <c r="B131" s="190" t="s">
        <v>198</v>
      </c>
      <c r="C131" s="190"/>
      <c r="D131" s="268">
        <f t="shared" si="47"/>
        <v>0.43273591202796829</v>
      </c>
      <c r="E131" s="268">
        <f t="shared" si="47"/>
        <v>8.1426022703487574E-2</v>
      </c>
      <c r="F131" s="268">
        <f t="shared" si="47"/>
        <v>0.25980215620335428</v>
      </c>
      <c r="G131" s="268">
        <f t="shared" si="47"/>
        <v>0.22603590906518967</v>
      </c>
    </row>
    <row r="132" spans="2:7" x14ac:dyDescent="0.3">
      <c r="B132" s="190" t="s">
        <v>199</v>
      </c>
      <c r="C132" s="190"/>
      <c r="D132" s="268">
        <f t="shared" si="47"/>
        <v>0.43273591202796846</v>
      </c>
      <c r="E132" s="268">
        <f t="shared" si="47"/>
        <v>8.1426022703487491E-2</v>
      </c>
      <c r="F132" s="268">
        <f t="shared" si="47"/>
        <v>0.25980215620335423</v>
      </c>
      <c r="G132" s="268">
        <f t="shared" si="47"/>
        <v>0.22603590906518969</v>
      </c>
    </row>
    <row r="133" spans="2:7" x14ac:dyDescent="0.3">
      <c r="B133" s="190" t="s">
        <v>200</v>
      </c>
      <c r="C133" s="190"/>
      <c r="D133" s="268">
        <f t="shared" si="47"/>
        <v>0.43273591202796846</v>
      </c>
      <c r="E133" s="268">
        <f t="shared" si="47"/>
        <v>8.1426022703487561E-2</v>
      </c>
      <c r="F133" s="268">
        <f t="shared" si="47"/>
        <v>0.25980215620335384</v>
      </c>
      <c r="G133" s="268">
        <f t="shared" si="47"/>
        <v>0.22603590906519025</v>
      </c>
    </row>
    <row r="134" spans="2:7" x14ac:dyDescent="0.3">
      <c r="B134" s="190" t="s">
        <v>201</v>
      </c>
      <c r="C134" s="190"/>
      <c r="D134" s="268">
        <f t="shared" si="47"/>
        <v>0.43273591202796846</v>
      </c>
      <c r="E134" s="268">
        <f t="shared" si="47"/>
        <v>8.1426022703487561E-2</v>
      </c>
      <c r="F134" s="268">
        <f t="shared" si="47"/>
        <v>0.25980215620335384</v>
      </c>
      <c r="G134" s="268">
        <f t="shared" si="47"/>
        <v>0.22603590906519025</v>
      </c>
    </row>
    <row r="135" spans="2:7" x14ac:dyDescent="0.3">
      <c r="B135" s="190" t="s">
        <v>202</v>
      </c>
      <c r="C135" s="190"/>
      <c r="D135" s="268">
        <f t="shared" si="47"/>
        <v>0.43273591202796818</v>
      </c>
      <c r="E135" s="268">
        <f t="shared" si="47"/>
        <v>8.1426022703487477E-2</v>
      </c>
      <c r="F135" s="268">
        <f t="shared" si="47"/>
        <v>0.25980215620335462</v>
      </c>
      <c r="G135" s="268">
        <f t="shared" si="47"/>
        <v>0.22603590906518975</v>
      </c>
    </row>
    <row r="136" spans="2:7" x14ac:dyDescent="0.3">
      <c r="B136" s="190" t="s">
        <v>203</v>
      </c>
      <c r="C136" s="190"/>
      <c r="D136" s="268">
        <f t="shared" si="47"/>
        <v>0.43273591202796957</v>
      </c>
      <c r="E136" s="268">
        <f t="shared" si="47"/>
        <v>8.1426022703487561E-2</v>
      </c>
      <c r="F136" s="268">
        <f t="shared" si="47"/>
        <v>0.25980215620335317</v>
      </c>
      <c r="G136" s="268">
        <f t="shared" si="47"/>
        <v>0.22603590906518972</v>
      </c>
    </row>
  </sheetData>
  <mergeCells count="11">
    <mergeCell ref="R4:T4"/>
    <mergeCell ref="U4:W4"/>
    <mergeCell ref="X4:Z4"/>
    <mergeCell ref="K12:L12"/>
    <mergeCell ref="B56:H56"/>
    <mergeCell ref="Q4:Q5"/>
    <mergeCell ref="H2:I2"/>
    <mergeCell ref="B4:B5"/>
    <mergeCell ref="C4:E4"/>
    <mergeCell ref="F4:H4"/>
    <mergeCell ref="I4:K4"/>
  </mergeCells>
  <conditionalFormatting sqref="K13:L13">
    <cfRule type="cellIs" dxfId="83" priority="1" operator="equal">
      <formula>"Escassez Hídrica"</formula>
    </cfRule>
    <cfRule type="cellIs" dxfId="82" priority="2" operator="equal">
      <formula>"VERDE"</formula>
    </cfRule>
    <cfRule type="cellIs" dxfId="81" priority="3" operator="equal">
      <formula>"BVM2"</formula>
    </cfRule>
    <cfRule type="cellIs" dxfId="80" priority="4" operator="equal">
      <formula>"BVM1"</formula>
    </cfRule>
    <cfRule type="cellIs" dxfId="79" priority="5" operator="equal">
      <formula>"BAM"</formula>
    </cfRule>
  </conditionalFormatting>
  <conditionalFormatting sqref="M3">
    <cfRule type="cellIs" dxfId="78" priority="16" operator="equal">
      <formula>"VERDE"</formula>
    </cfRule>
    <cfRule type="cellIs" dxfId="77" priority="17" operator="equal">
      <formula>"BVM2"</formula>
    </cfRule>
    <cfRule type="cellIs" dxfId="76" priority="18" operator="equal">
      <formula>"BVM1"</formula>
    </cfRule>
    <cfRule type="cellIs" dxfId="75" priority="19" operator="equal">
      <formula>"BAM"</formula>
    </cfRule>
  </conditionalFormatting>
  <conditionalFormatting sqref="M7">
    <cfRule type="containsText" dxfId="74" priority="11" operator="containsText" text="Escassez Hídrica">
      <formula>NOT(ISERROR(SEARCH("Escassez Hídrica",M7)))</formula>
    </cfRule>
    <cfRule type="cellIs" dxfId="73" priority="12" operator="equal">
      <formula>"VERDE"</formula>
    </cfRule>
    <cfRule type="cellIs" dxfId="72" priority="13" operator="equal">
      <formula>"BVM2"</formula>
    </cfRule>
    <cfRule type="cellIs" dxfId="71" priority="14" operator="equal">
      <formula>"BVM1"</formula>
    </cfRule>
    <cfRule type="cellIs" dxfId="70" priority="15" operator="equal">
      <formula>"BAM"</formula>
    </cfRule>
  </conditionalFormatting>
  <dataValidations count="1">
    <dataValidation type="list" allowBlank="1" showInputMessage="1" showErrorMessage="1" sqref="K13:L13" xr:uid="{368793F6-AD10-4CC6-BA94-D4032BB29A8F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ignoredErrors>
    <ignoredError sqref="E81:E82" 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2E40-3ABB-4150-86C4-5C2FF820F710}">
  <dimension ref="A1:Z180"/>
  <sheetViews>
    <sheetView showGridLines="0" topLeftCell="A9" zoomScale="80" zoomScaleNormal="80" workbookViewId="0">
      <selection activeCell="O19" sqref="O19"/>
    </sheetView>
  </sheetViews>
  <sheetFormatPr defaultColWidth="9.109375" defaultRowHeight="14.4" x14ac:dyDescent="0.3"/>
  <cols>
    <col min="1" max="1" width="5.44140625" style="19" customWidth="1"/>
    <col min="2" max="2" width="28.44140625" style="19" customWidth="1"/>
    <col min="3" max="4" width="12.6640625" style="19" customWidth="1"/>
    <col min="5" max="5" width="15" style="19" customWidth="1"/>
    <col min="6" max="7" width="14.44140625" style="19" customWidth="1"/>
    <col min="8" max="10" width="12.6640625" style="19" customWidth="1"/>
    <col min="11" max="12" width="14.33203125" style="19" customWidth="1"/>
    <col min="13" max="13" width="15" style="19" customWidth="1"/>
    <col min="14" max="14" width="12.6640625" style="19" customWidth="1"/>
    <col min="15" max="15" width="14.109375" style="19" customWidth="1"/>
    <col min="16" max="16" width="12.6640625" style="19" customWidth="1"/>
    <col min="17" max="17" width="11.8867187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20.44140625" style="19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280</v>
      </c>
      <c r="E2" s="20" t="s">
        <v>28</v>
      </c>
      <c r="F2" s="21">
        <f>'B1 Res (GD) Branca OK'!F2</f>
        <v>46241</v>
      </c>
      <c r="G2" s="1" t="s">
        <v>8</v>
      </c>
      <c r="H2" s="450" t="s">
        <v>179</v>
      </c>
      <c r="I2" s="450"/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'[4]B1 (Res) Branca OK'!N3</f>
        <v>0</v>
      </c>
    </row>
    <row r="4" spans="1:26" ht="15" customHeight="1" x14ac:dyDescent="0.3">
      <c r="B4" s="451" t="s">
        <v>31</v>
      </c>
      <c r="C4" s="453" t="str">
        <f>'Fatura B1 (GD) OK'!C4:E4</f>
        <v>TARIFA ANTIGA - REH 3370/2024</v>
      </c>
      <c r="D4" s="454"/>
      <c r="E4" s="455"/>
      <c r="F4" s="456" t="str">
        <f>'Fatura B1 (GD) OK'!F4</f>
        <v>TARIFA NOVA - REH xxxx/2025</v>
      </c>
      <c r="G4" s="456"/>
      <c r="H4" s="456"/>
      <c r="I4" s="457" t="s">
        <v>32</v>
      </c>
      <c r="J4" s="457"/>
      <c r="K4" s="457"/>
      <c r="M4" s="9" t="s">
        <v>14</v>
      </c>
      <c r="N4" s="10">
        <f>'[4]B1 (Res) Branca OK'!N4</f>
        <v>1.8849999999999999E-2</v>
      </c>
      <c r="Q4" s="451" t="s">
        <v>31</v>
      </c>
      <c r="R4" s="453" t="str">
        <f>C4</f>
        <v>TARIFA ANTIGA - REH 3370/2024</v>
      </c>
      <c r="S4" s="454"/>
      <c r="T4" s="455"/>
      <c r="U4" s="453" t="str">
        <f>F4</f>
        <v>TARIFA NOVA - REH xxxx/2025</v>
      </c>
      <c r="V4" s="454"/>
      <c r="W4" s="455"/>
      <c r="X4" s="453" t="s">
        <v>32</v>
      </c>
      <c r="Y4" s="454"/>
      <c r="Z4" s="455"/>
    </row>
    <row r="5" spans="1:26" x14ac:dyDescent="0.3">
      <c r="B5" s="452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'[4]B1 (Res) Branca OK'!N5</f>
        <v>4.4630000000000003E-2</v>
      </c>
      <c r="Q5" s="452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247</v>
      </c>
      <c r="C6" s="31">
        <f>'TABELA DE TARIFAS ANTIGAS'!G74/1000</f>
        <v>1.0610299999999999</v>
      </c>
      <c r="D6" s="31">
        <f>'TABELA DE TARIFAS ANTIGAS'!H74/1000</f>
        <v>0.48448000000000002</v>
      </c>
      <c r="E6" s="31">
        <f t="shared" ref="E6:E8" si="0">C6+D6</f>
        <v>1.5455099999999999</v>
      </c>
      <c r="F6" s="31">
        <f>'TABELA DE TARIFAS NOVAS'!G76/1000</f>
        <v>1.1286700000000001</v>
      </c>
      <c r="G6" s="31">
        <f>'TABELA DE TARIFAS NOVAS'!H76/1000</f>
        <v>0.51690999999999998</v>
      </c>
      <c r="H6" s="31">
        <f t="shared" ref="H6:H9" si="1">F6+G6</f>
        <v>1.64558</v>
      </c>
      <c r="I6" s="31">
        <f>((C6*$C$15)+(F6*$D$15))/($D$15+$C$15)</f>
        <v>1.0715987499999999</v>
      </c>
      <c r="J6" s="31">
        <f>((D6*$C$15)+(G6*$D$15))/($D$15+$C$15)</f>
        <v>0.48954718750000004</v>
      </c>
      <c r="K6" s="32">
        <f t="shared" ref="K6:K9" si="2">I6+J6</f>
        <v>1.5611459375000001</v>
      </c>
      <c r="M6" s="13" t="s">
        <v>16</v>
      </c>
      <c r="N6" s="14">
        <f>'[4]B1 (Res) Branca OK'!N6</f>
        <v>7.8770000000000007E-2</v>
      </c>
      <c r="Q6" s="30" t="str">
        <f>B6</f>
        <v>B2 Ponta</v>
      </c>
      <c r="R6" s="31">
        <f>'FIO B'!H16/1000</f>
        <v>0.69302445456809059</v>
      </c>
      <c r="S6"/>
      <c r="T6"/>
      <c r="U6" s="31">
        <f>'FIO B'!K16/1000</f>
        <v>0.71111541346497797</v>
      </c>
      <c r="V6"/>
      <c r="W6"/>
      <c r="X6" s="31">
        <f>((R6*$C$15)+(U6*$D$15))/($D$15+$C$15)</f>
        <v>0.69585116689572923</v>
      </c>
      <c r="Y6"/>
      <c r="Z6"/>
    </row>
    <row r="7" spans="1:26" customFormat="1" x14ac:dyDescent="0.3">
      <c r="B7" s="30" t="s">
        <v>248</v>
      </c>
      <c r="C7" s="31">
        <f>'TABELA DE TARIFAS ANTIGAS'!G76/1000</f>
        <v>0.38965</v>
      </c>
      <c r="D7" s="31">
        <f>'TABELA DE TARIFAS ANTIGAS'!H76/1000</f>
        <v>0.30579000000000001</v>
      </c>
      <c r="E7" s="31">
        <f t="shared" si="0"/>
        <v>0.69544000000000006</v>
      </c>
      <c r="F7" s="31">
        <f>'TABELA DE TARIFAS NOVAS'!G78/1000</f>
        <v>0.42333999999999999</v>
      </c>
      <c r="G7" s="31">
        <f>'TABELA DE TARIFAS NOVAS'!H78/1000</f>
        <v>0.32106999999999997</v>
      </c>
      <c r="H7" s="31">
        <f t="shared" si="1"/>
        <v>0.74441000000000002</v>
      </c>
      <c r="I7" s="31">
        <f>((C7*$C$15)+(F7*$D$15))/($D$15+$C$15)</f>
        <v>0.3949140625</v>
      </c>
      <c r="J7" s="31">
        <f>((D7*$C$15)+(G7*$D$15))/($D$15+$C$15)</f>
        <v>0.30817749999999999</v>
      </c>
      <c r="K7" s="32">
        <f t="shared" si="2"/>
        <v>0.70309156250000004</v>
      </c>
      <c r="M7" s="7" t="s">
        <v>17</v>
      </c>
      <c r="N7" s="15">
        <v>0.14199999999999999</v>
      </c>
      <c r="Q7" s="30" t="str">
        <f>B7</f>
        <v>B2 Fora Ponta</v>
      </c>
      <c r="R7" s="31">
        <f>'FIO B'!H17/1000</f>
        <v>0.41581471295327371</v>
      </c>
      <c r="U7" s="31">
        <f>'FIO B'!K17/1000</f>
        <v>0.42666928934112502</v>
      </c>
      <c r="X7" s="31">
        <f>((R7*$C$15)+(U7*$D$15))/($D$15+$C$15)</f>
        <v>0.41751074051387549</v>
      </c>
    </row>
    <row r="8" spans="1:26" customFormat="1" x14ac:dyDescent="0.3">
      <c r="B8" s="30" t="s">
        <v>249</v>
      </c>
      <c r="C8" s="31">
        <f>'TABELA DE TARIFAS ANTIGAS'!G75/1000</f>
        <v>0.72533999999999998</v>
      </c>
      <c r="D8" s="31">
        <f>'TABELA DE TARIFAS ANTIGAS'!H75/1000</f>
        <v>0.30579000000000001</v>
      </c>
      <c r="E8" s="31">
        <f t="shared" si="0"/>
        <v>1.0311300000000001</v>
      </c>
      <c r="F8" s="31">
        <f>'TABELA DE TARIFAS NOVAS'!G77/1000</f>
        <v>0.77600999999999998</v>
      </c>
      <c r="G8" s="31">
        <f>'TABELA DE TARIFAS NOVAS'!H77/1000</f>
        <v>0.32106999999999997</v>
      </c>
      <c r="H8" s="31">
        <f t="shared" si="1"/>
        <v>1.0970800000000001</v>
      </c>
      <c r="I8" s="31">
        <f>((C8*$C$15)+(F8*$D$15))/($D$15+$C$15)</f>
        <v>0.73325718750000002</v>
      </c>
      <c r="J8" s="31">
        <f t="shared" ref="J8" si="3">((D8*$C$15)+(G8*$D$15))/($D$15+$C$15)</f>
        <v>0.30817749999999999</v>
      </c>
      <c r="K8" s="32">
        <f t="shared" si="2"/>
        <v>1.0414346875</v>
      </c>
      <c r="Q8" s="30" t="str">
        <f>B8</f>
        <v>B2 Interm.</v>
      </c>
      <c r="R8" s="31">
        <f>'FIO B'!H18/1000</f>
        <v>0.13860487080740844</v>
      </c>
      <c r="U8" s="31">
        <f>'FIO B'!K18/1000</f>
        <v>0.14222306206192598</v>
      </c>
      <c r="X8" s="31">
        <f>((R8*$C$15)+(U8*$D$15))/($D$15+$C$15)</f>
        <v>0.13917021319092682</v>
      </c>
    </row>
    <row r="9" spans="1:26" customFormat="1" x14ac:dyDescent="0.3">
      <c r="B9" s="237" t="s">
        <v>173</v>
      </c>
      <c r="C9" s="32">
        <v>1.8774721494831901E-4</v>
      </c>
      <c r="D9" s="32">
        <v>-4.4031307414479802E-3</v>
      </c>
      <c r="E9" s="32">
        <f>SUM(C9+D9)</f>
        <v>-4.2153835264996612E-3</v>
      </c>
      <c r="F9" s="32">
        <f>T13</f>
        <v>1.84189231569235E-4</v>
      </c>
      <c r="G9" s="32">
        <f>U13</f>
        <v>-5.3182974871251499E-4</v>
      </c>
      <c r="H9" s="32">
        <f t="shared" si="1"/>
        <v>-3.4764051714327999E-4</v>
      </c>
      <c r="I9" s="31">
        <f>((C9*$C$15)+(F9*$D$15))/($D$15+$C$15)</f>
        <v>1.8719128004533714E-4</v>
      </c>
      <c r="J9" s="31">
        <f>((D9*$C$15)+(G9*$D$15))/($D$15+$C$15)</f>
        <v>-3.7982399613330636E-3</v>
      </c>
      <c r="K9" s="32">
        <f t="shared" si="2"/>
        <v>-3.6110486812877263E-3</v>
      </c>
    </row>
    <row r="10" spans="1:26" x14ac:dyDescent="0.3">
      <c r="G10" s="1"/>
      <c r="H10" s="1"/>
      <c r="I10" s="1"/>
      <c r="J10" s="1"/>
      <c r="K10" s="1"/>
      <c r="O10" s="20"/>
      <c r="P10" s="223" t="s">
        <v>167</v>
      </c>
      <c r="Q10" s="224"/>
      <c r="R10" s="225" t="s">
        <v>168</v>
      </c>
      <c r="S10" s="225" t="s">
        <v>169</v>
      </c>
      <c r="T10" s="225" t="s">
        <v>35</v>
      </c>
      <c r="U10" s="225" t="s">
        <v>76</v>
      </c>
      <c r="V10" s="1"/>
      <c r="W10" s="1"/>
      <c r="X10" s="1"/>
      <c r="Y10" s="1"/>
      <c r="Z10" s="1"/>
    </row>
    <row r="11" spans="1:26" x14ac:dyDescent="0.3">
      <c r="B11" s="34"/>
      <c r="C11" s="35"/>
      <c r="D11" s="36"/>
      <c r="E11" s="35"/>
      <c r="F11" s="35"/>
      <c r="G11" s="35"/>
      <c r="H11" s="37" t="s">
        <v>37</v>
      </c>
      <c r="I11" s="1"/>
      <c r="L11" s="20" t="s">
        <v>25</v>
      </c>
      <c r="M11" s="21">
        <f>EOMONTH(B15,0)+1</f>
        <v>46235</v>
      </c>
      <c r="P11" s="226" t="s">
        <v>170</v>
      </c>
      <c r="Q11" s="227"/>
      <c r="R11" s="228"/>
      <c r="S11" s="228"/>
      <c r="T11" s="229"/>
      <c r="U11" s="229"/>
    </row>
    <row r="12" spans="1:26" x14ac:dyDescent="0.3">
      <c r="B12" s="38" t="s">
        <v>38</v>
      </c>
      <c r="C12" s="422">
        <v>584185</v>
      </c>
      <c r="E12" s="1"/>
      <c r="F12" s="1"/>
      <c r="G12" s="1"/>
      <c r="H12" s="40">
        <f>E15</f>
        <v>46245</v>
      </c>
      <c r="K12" s="458" t="s">
        <v>26</v>
      </c>
      <c r="L12" s="458"/>
      <c r="P12" s="230" t="s">
        <v>171</v>
      </c>
      <c r="Q12" s="231"/>
      <c r="R12" s="232"/>
      <c r="S12" s="232"/>
      <c r="T12" s="233"/>
      <c r="U12" s="270">
        <v>0</v>
      </c>
    </row>
    <row r="13" spans="1:26" x14ac:dyDescent="0.3">
      <c r="B13" s="41"/>
      <c r="H13" s="42"/>
      <c r="K13" s="7" t="s">
        <v>14</v>
      </c>
      <c r="L13" s="7" t="s">
        <v>14</v>
      </c>
      <c r="P13" s="234" t="s">
        <v>172</v>
      </c>
      <c r="Q13" s="235"/>
      <c r="R13" s="236"/>
      <c r="S13" s="236"/>
      <c r="T13" s="271">
        <f>'B1 Res (GD) Branca OK'!T13</f>
        <v>1.84189231569235E-4</v>
      </c>
      <c r="U13" s="270">
        <f>'B1 Res (GD) Branca OK'!U13</f>
        <v>-5.3182974871251499E-4</v>
      </c>
    </row>
    <row r="14" spans="1:26" ht="27.6" x14ac:dyDescent="0.3">
      <c r="B14" s="16" t="s">
        <v>21</v>
      </c>
      <c r="C14" s="16" t="s">
        <v>22</v>
      </c>
      <c r="D14" s="16" t="s">
        <v>23</v>
      </c>
      <c r="E14" s="16" t="s">
        <v>24</v>
      </c>
      <c r="F14" s="1"/>
      <c r="G14" s="1"/>
      <c r="H14" s="43"/>
      <c r="J14" s="16" t="s">
        <v>21</v>
      </c>
      <c r="K14" s="16" t="s">
        <v>22</v>
      </c>
      <c r="L14" s="16" t="s">
        <v>23</v>
      </c>
      <c r="M14" s="16" t="s">
        <v>24</v>
      </c>
    </row>
    <row r="15" spans="1:26" x14ac:dyDescent="0.3">
      <c r="B15" s="17">
        <v>46213</v>
      </c>
      <c r="C15" s="18">
        <f>IF((F2-B15-1)&lt;0,0,(F2-B15-1))</f>
        <v>27</v>
      </c>
      <c r="D15" s="18">
        <f>E15-F2+1</f>
        <v>5</v>
      </c>
      <c r="E15" s="17">
        <v>46245</v>
      </c>
      <c r="F15" s="44"/>
      <c r="G15" s="44"/>
      <c r="H15" s="45"/>
      <c r="J15" s="22">
        <f>B15</f>
        <v>46213</v>
      </c>
      <c r="K15" s="23">
        <f>IF((M11-J15-1)&lt;0,0,(M11-J15-1))</f>
        <v>21</v>
      </c>
      <c r="L15" s="23">
        <f>M15-M11+1</f>
        <v>11</v>
      </c>
      <c r="M15" s="22">
        <f>E15</f>
        <v>46245</v>
      </c>
    </row>
    <row r="16" spans="1:26" x14ac:dyDescent="0.3">
      <c r="Q16" s="19" t="s">
        <v>423</v>
      </c>
    </row>
    <row r="17" spans="2:22" x14ac:dyDescent="0.3">
      <c r="B17" s="1"/>
      <c r="F17" s="248"/>
      <c r="G17"/>
      <c r="H17" s="3"/>
      <c r="Q17" s="19">
        <v>584185</v>
      </c>
    </row>
    <row r="18" spans="2:22" x14ac:dyDescent="0.3">
      <c r="B18" s="5" t="s">
        <v>55</v>
      </c>
      <c r="E18" s="26" t="s">
        <v>10</v>
      </c>
      <c r="F18" s="85">
        <v>1</v>
      </c>
      <c r="G18" s="86" t="s">
        <v>9</v>
      </c>
      <c r="H18" s="85">
        <v>1</v>
      </c>
      <c r="M18" s="377" t="s">
        <v>80</v>
      </c>
      <c r="N18" s="378"/>
      <c r="O18" s="440">
        <v>1025310408</v>
      </c>
      <c r="Q18">
        <v>160671516</v>
      </c>
    </row>
    <row r="19" spans="2:22" x14ac:dyDescent="0.3">
      <c r="I19"/>
      <c r="J19"/>
      <c r="K19"/>
      <c r="L19"/>
      <c r="M19"/>
      <c r="N19"/>
      <c r="O19"/>
      <c r="P19"/>
      <c r="Q19" s="19">
        <v>645437</v>
      </c>
      <c r="R19"/>
      <c r="S19"/>
      <c r="T19"/>
      <c r="U19"/>
      <c r="V19"/>
    </row>
    <row r="20" spans="2:22" ht="42" customHeight="1" x14ac:dyDescent="0.3">
      <c r="B20" s="274" t="s">
        <v>212</v>
      </c>
      <c r="C20" s="274" t="s">
        <v>213</v>
      </c>
      <c r="D20" s="274" t="s">
        <v>214</v>
      </c>
      <c r="E20" s="275" t="s">
        <v>215</v>
      </c>
      <c r="F20" s="275" t="s">
        <v>216</v>
      </c>
      <c r="G20" s="275" t="s">
        <v>217</v>
      </c>
      <c r="H20" s="275" t="s">
        <v>218</v>
      </c>
      <c r="I20" s="275" t="s">
        <v>219</v>
      </c>
      <c r="J20" s="275" t="s">
        <v>220</v>
      </c>
      <c r="K20" s="276" t="s">
        <v>221</v>
      </c>
      <c r="L20" s="274" t="s">
        <v>222</v>
      </c>
      <c r="M20" s="275" t="s">
        <v>223</v>
      </c>
      <c r="N20" s="275" t="s">
        <v>224</v>
      </c>
      <c r="O20" s="275" t="s">
        <v>225</v>
      </c>
    </row>
    <row r="21" spans="2:22" x14ac:dyDescent="0.3"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8"/>
      <c r="M21" s="279"/>
      <c r="N21" s="279"/>
      <c r="O21" s="279"/>
    </row>
    <row r="22" spans="2:22" x14ac:dyDescent="0.3">
      <c r="B22" s="279" t="s">
        <v>267</v>
      </c>
      <c r="C22" s="280" t="s">
        <v>2</v>
      </c>
      <c r="D22" s="281">
        <v>204</v>
      </c>
      <c r="E22" s="282">
        <f t="shared" ref="E22:E27" si="4">IFERROR((ROUND(D22*K22,2)+ROUND(G22,2)+ROUND(J22,2))/ROUND(D22,4), 0)</f>
        <v>1.1896568627450981</v>
      </c>
      <c r="F22" s="283">
        <f>ROUND(D22*E22,2)</f>
        <v>242.69</v>
      </c>
      <c r="G22" s="283">
        <f>((D22*K22)/(1-$N$22-$N$24))*($N$22+$N$24)</f>
        <v>14.374932480549932</v>
      </c>
      <c r="H22" s="284">
        <f>(IF($I$22=12%,(D22*K22)/(1-$N$22-$N$24)/(1-$C$93)/$F$93*$C$93,(D22*K22)/(1-$N$22-$N$24)/(1-$I$22)))</f>
        <v>80.896207458524273</v>
      </c>
      <c r="I22" s="417">
        <v>0.12</v>
      </c>
      <c r="J22" s="284">
        <f>(H22*$I$22)</f>
        <v>9.7075448950229131</v>
      </c>
      <c r="K22" s="282">
        <f>E60</f>
        <v>1.0715987499999999</v>
      </c>
      <c r="L22" s="47" t="s">
        <v>68</v>
      </c>
      <c r="M22" s="283">
        <f>D80</f>
        <v>805.69114355749764</v>
      </c>
      <c r="N22" s="286">
        <f>'B1 Res (GD) Branca OK'!N19</f>
        <v>1.0999999999999999E-2</v>
      </c>
      <c r="O22" s="287">
        <f>ROUND(M22*N22,2)</f>
        <v>8.86</v>
      </c>
      <c r="R22" s="19">
        <v>60.906708074534102</v>
      </c>
    </row>
    <row r="23" spans="2:22" x14ac:dyDescent="0.3">
      <c r="B23" s="279" t="s">
        <v>269</v>
      </c>
      <c r="C23" s="280" t="s">
        <v>2</v>
      </c>
      <c r="D23" s="281">
        <v>0</v>
      </c>
      <c r="E23" s="282">
        <f t="shared" si="4"/>
        <v>0</v>
      </c>
      <c r="F23" s="283">
        <f t="shared" ref="F23" si="5">ROUND(D23*E23,2)</f>
        <v>0</v>
      </c>
      <c r="G23" s="283">
        <f t="shared" ref="G23:G27" si="6">((D23*K23)/(1-$N$22-$N$24))*($N$22+$N$24)</f>
        <v>0</v>
      </c>
      <c r="H23" s="284">
        <f>(IF($I$22=12%,(D23*K23)/(1-$N$22-$N$24)/(1-$C$93)/$F$93*$C$93,(D23*K23)/(1-$N$22-$N$24)/(1-$I$22)))</f>
        <v>0</v>
      </c>
      <c r="I23" s="285">
        <f>I22</f>
        <v>0.12</v>
      </c>
      <c r="J23" s="284">
        <f t="shared" ref="J23:J27" si="7">(H23*$I$22)</f>
        <v>0</v>
      </c>
      <c r="K23" s="282">
        <f>E62</f>
        <v>0.73325718750000002</v>
      </c>
      <c r="L23" s="47" t="s">
        <v>235</v>
      </c>
      <c r="M23" s="283">
        <f t="shared" ref="M23:M25" si="8">D81</f>
        <v>-691.49525738036868</v>
      </c>
      <c r="N23" s="286">
        <f>N22</f>
        <v>1.0999999999999999E-2</v>
      </c>
      <c r="O23" s="287">
        <f>ROUND(M23*N23,2)</f>
        <v>-7.61</v>
      </c>
      <c r="R23" s="19">
        <v>23.773291925465799</v>
      </c>
    </row>
    <row r="24" spans="2:22" x14ac:dyDescent="0.3">
      <c r="B24" s="279" t="s">
        <v>268</v>
      </c>
      <c r="C24" s="280" t="s">
        <v>2</v>
      </c>
      <c r="D24" s="281">
        <v>409</v>
      </c>
      <c r="E24" s="282">
        <f t="shared" si="4"/>
        <v>0.43841075794621026</v>
      </c>
      <c r="F24" s="283">
        <f>ROUND(D24*E24,2)</f>
        <v>179.31</v>
      </c>
      <c r="G24" s="283">
        <f>((D24*K24)/(1-$N$22-$N$24))*($N$22+$N$24)</f>
        <v>10.621096495157467</v>
      </c>
      <c r="H24" s="284">
        <f>(IF($I$22=12%,(D24*K24)/(1-$N$22-$N$24)/(1-$C$93)/$F$93*$C$93,(D24*K24)/(1-$N$22-$N$24)/(1-$I$22)))</f>
        <v>59.771162520019963</v>
      </c>
      <c r="I24" s="285">
        <f>I22</f>
        <v>0.12</v>
      </c>
      <c r="J24" s="284">
        <f t="shared" si="7"/>
        <v>7.1725395024023957</v>
      </c>
      <c r="K24" s="282">
        <f>E61</f>
        <v>0.3949140625</v>
      </c>
      <c r="L24" s="47" t="s">
        <v>51</v>
      </c>
      <c r="M24" s="283">
        <f t="shared" si="8"/>
        <v>805.69114355749764</v>
      </c>
      <c r="N24" s="286">
        <f>'B1 Res (GD) Branca OK'!N21</f>
        <v>5.0700000000000002E-2</v>
      </c>
      <c r="O24" s="287">
        <f>ROUND(M24*N24,2)</f>
        <v>40.85</v>
      </c>
    </row>
    <row r="25" spans="2:22" x14ac:dyDescent="0.3">
      <c r="B25" s="279" t="s">
        <v>270</v>
      </c>
      <c r="C25" s="280" t="s">
        <v>2</v>
      </c>
      <c r="D25" s="288">
        <f>D22</f>
        <v>204</v>
      </c>
      <c r="E25" s="282">
        <f t="shared" si="4"/>
        <v>0.54348039215686272</v>
      </c>
      <c r="F25" s="283">
        <f>ROUND(D25*E25,2)</f>
        <v>110.87</v>
      </c>
      <c r="G25" s="283">
        <f>((D25*K25)/(1-$N$22-$N$24))*($N$22+$N$24)</f>
        <v>6.5670175206490464</v>
      </c>
      <c r="H25" s="284">
        <f t="shared" ref="H25:H31" si="9">(IF($I$22=12%,(D25*K25)/(1-$N$22-$N$24)/(1-$C$93)/$F$93*$C$93,(D25*K25)/(1-$N$22-$N$24)/(1-$I$22)))</f>
        <v>36.956473531475361</v>
      </c>
      <c r="I25" s="279"/>
      <c r="J25" s="284">
        <f t="shared" si="7"/>
        <v>4.4347768237770433</v>
      </c>
      <c r="K25" s="282">
        <f>F60</f>
        <v>0.48954718750000004</v>
      </c>
      <c r="L25" s="47" t="s">
        <v>236</v>
      </c>
      <c r="M25" s="283">
        <f t="shared" si="8"/>
        <v>-691.49525738036868</v>
      </c>
      <c r="N25" s="286">
        <f>N24</f>
        <v>5.0700000000000002E-2</v>
      </c>
      <c r="O25" s="287">
        <f>ROUND(M25*N25,2)</f>
        <v>-35.06</v>
      </c>
    </row>
    <row r="26" spans="2:22" x14ac:dyDescent="0.3">
      <c r="B26" s="279" t="s">
        <v>271</v>
      </c>
      <c r="C26" s="280" t="s">
        <v>2</v>
      </c>
      <c r="D26" s="288">
        <f t="shared" ref="D26:D27" si="10">D23</f>
        <v>0</v>
      </c>
      <c r="E26" s="282">
        <f t="shared" si="4"/>
        <v>0</v>
      </c>
      <c r="F26" s="283">
        <f t="shared" ref="F26:F27" si="11">ROUND(D26*E26,2)</f>
        <v>0</v>
      </c>
      <c r="G26" s="283">
        <f t="shared" si="6"/>
        <v>0</v>
      </c>
      <c r="H26" s="284">
        <f t="shared" si="9"/>
        <v>0</v>
      </c>
      <c r="I26" s="279"/>
      <c r="J26" s="284">
        <f t="shared" si="7"/>
        <v>0</v>
      </c>
      <c r="K26" s="282">
        <f>F62</f>
        <v>0.30817749999999999</v>
      </c>
      <c r="L26" s="47"/>
      <c r="M26" s="283"/>
      <c r="N26" s="286"/>
      <c r="O26" s="287"/>
    </row>
    <row r="27" spans="2:22" x14ac:dyDescent="0.3">
      <c r="B27" s="279" t="s">
        <v>272</v>
      </c>
      <c r="C27" s="280" t="s">
        <v>2</v>
      </c>
      <c r="D27" s="288">
        <f t="shared" si="10"/>
        <v>409</v>
      </c>
      <c r="E27" s="282">
        <f t="shared" si="4"/>
        <v>0.34212713936430317</v>
      </c>
      <c r="F27" s="283">
        <f t="shared" si="11"/>
        <v>139.93</v>
      </c>
      <c r="G27" s="283">
        <f t="shared" si="6"/>
        <v>8.2883423912927636</v>
      </c>
      <c r="H27" s="284">
        <f t="shared" si="9"/>
        <v>46.643381906698885</v>
      </c>
      <c r="I27" s="279"/>
      <c r="J27" s="284">
        <f t="shared" si="7"/>
        <v>5.5972058288038662</v>
      </c>
      <c r="K27" s="282">
        <f>F61</f>
        <v>0.30817749999999999</v>
      </c>
      <c r="L27" s="47"/>
      <c r="M27" s="283"/>
      <c r="N27" s="286"/>
      <c r="O27" s="287"/>
    </row>
    <row r="28" spans="2:22" x14ac:dyDescent="0.3">
      <c r="B28" s="279" t="s">
        <v>43</v>
      </c>
      <c r="C28" s="280" t="s">
        <v>2</v>
      </c>
      <c r="D28" s="288">
        <f>IF($K$13=M4,(($D$22+$D$23+$D$24)*($K$15)/($K$15+$L$15)),0)+IF($L$13=M4,(($D$22+$D$23+$D$24)*($L$15)/($K$15+$L$15)),0)</f>
        <v>613</v>
      </c>
      <c r="E28" s="282">
        <f>IFERROR((ROUND(D28*K28,2)+ROUND(G28,2)+ROUND(J28,2))/ROUND(D28,4), 0)</f>
        <v>2.0929853181076673E-2</v>
      </c>
      <c r="F28" s="283">
        <f>ROUND(D28*E28,2)</f>
        <v>12.83</v>
      </c>
      <c r="G28" s="283">
        <f>((D28*K28)/(1-$N$22-$N$24))*($N$22+$N$24)</f>
        <v>0.75982797079825215</v>
      </c>
      <c r="H28" s="284">
        <f t="shared" si="9"/>
        <v>4.2759992954160593</v>
      </c>
      <c r="I28" s="279"/>
      <c r="J28" s="284">
        <f>ROUND(H28*$I$22,2)</f>
        <v>0.51</v>
      </c>
      <c r="K28" s="282">
        <f>N4</f>
        <v>1.8849999999999999E-2</v>
      </c>
      <c r="L28" s="343"/>
      <c r="M28" s="344"/>
      <c r="N28" s="345"/>
      <c r="O28" s="346"/>
    </row>
    <row r="29" spans="2:22" x14ac:dyDescent="0.3">
      <c r="B29" s="279" t="s">
        <v>378</v>
      </c>
      <c r="C29" s="280" t="s">
        <v>2</v>
      </c>
      <c r="D29" s="288">
        <f t="shared" ref="D29:D31" si="12">IF($K$13=M5,(($D$22+$D$23+$D$24)*($K$15)/($K$15+$L$15)),0)+IF($L$13=M5,(($D$22+$D$23+$D$24)*($L$15)/($K$15+$L$15)),0)</f>
        <v>0</v>
      </c>
      <c r="E29" s="282">
        <f t="shared" ref="E29:E31" si="13">IFERROR((ROUND(D29*K29,2)+ROUND(G29,2)+ROUND(J29,2))/ROUND(D29,4), 0)</f>
        <v>0</v>
      </c>
      <c r="F29" s="283">
        <f t="shared" ref="F29:F31" si="14">ROUND(D29*E29,2)</f>
        <v>0</v>
      </c>
      <c r="G29" s="283">
        <f t="shared" ref="G29:G31" si="15">((D29*K29)/(1-$N$22-$N$24))*($N$22+$N$24)</f>
        <v>0</v>
      </c>
      <c r="H29" s="284">
        <f t="shared" si="9"/>
        <v>0</v>
      </c>
      <c r="I29" s="279"/>
      <c r="J29" s="284">
        <f t="shared" ref="J29:J31" si="16">ROUND(H29*$I$22,2)</f>
        <v>0</v>
      </c>
      <c r="K29" s="282">
        <f t="shared" ref="K29:K31" si="17">N5</f>
        <v>4.4630000000000003E-2</v>
      </c>
      <c r="O29" s="278"/>
    </row>
    <row r="30" spans="2:22" x14ac:dyDescent="0.3">
      <c r="B30" s="279" t="s">
        <v>259</v>
      </c>
      <c r="C30" s="280" t="s">
        <v>2</v>
      </c>
      <c r="D30" s="288">
        <f t="shared" si="12"/>
        <v>0</v>
      </c>
      <c r="E30" s="282">
        <f t="shared" si="13"/>
        <v>0</v>
      </c>
      <c r="F30" s="283">
        <f t="shared" si="14"/>
        <v>0</v>
      </c>
      <c r="G30" s="283">
        <f t="shared" si="15"/>
        <v>0</v>
      </c>
      <c r="H30" s="284">
        <f t="shared" si="9"/>
        <v>0</v>
      </c>
      <c r="I30" s="279"/>
      <c r="J30" s="284">
        <f t="shared" si="16"/>
        <v>0</v>
      </c>
      <c r="K30" s="282">
        <f t="shared" si="17"/>
        <v>7.8770000000000007E-2</v>
      </c>
      <c r="O30" s="278"/>
      <c r="R30" s="26" t="s">
        <v>81</v>
      </c>
      <c r="S30" s="26" t="s">
        <v>82</v>
      </c>
    </row>
    <row r="31" spans="2:22" x14ac:dyDescent="0.3">
      <c r="B31" s="279" t="s">
        <v>266</v>
      </c>
      <c r="C31" s="280" t="s">
        <v>2</v>
      </c>
      <c r="D31" s="288">
        <f t="shared" si="12"/>
        <v>0</v>
      </c>
      <c r="E31" s="282">
        <f t="shared" si="13"/>
        <v>0</v>
      </c>
      <c r="F31" s="283">
        <f t="shared" si="14"/>
        <v>0</v>
      </c>
      <c r="G31" s="283">
        <f t="shared" si="15"/>
        <v>0</v>
      </c>
      <c r="H31" s="284">
        <f t="shared" si="9"/>
        <v>0</v>
      </c>
      <c r="I31" s="279"/>
      <c r="J31" s="284">
        <f t="shared" si="16"/>
        <v>0</v>
      </c>
      <c r="K31" s="282">
        <f t="shared" si="17"/>
        <v>0.14199999999999999</v>
      </c>
      <c r="O31" s="278"/>
      <c r="R31" s="251">
        <f>IF(AND($B$15&lt;$F$2,$E$15&lt;$F$2),R6,IF($B$15&lt;$F$2,X6,U6))</f>
        <v>0.69585116689572923</v>
      </c>
      <c r="S31" s="134">
        <f>D60*R31</f>
        <v>141.95363804672877</v>
      </c>
      <c r="U31" s="252"/>
    </row>
    <row r="32" spans="2:22" x14ac:dyDescent="0.3">
      <c r="B32" s="279"/>
      <c r="C32" s="280"/>
      <c r="D32" s="288"/>
      <c r="E32" s="282"/>
      <c r="F32" s="283"/>
      <c r="G32" s="283"/>
      <c r="H32" s="284"/>
      <c r="I32" s="279"/>
      <c r="J32" s="284"/>
      <c r="K32" s="282"/>
      <c r="O32" s="278"/>
      <c r="R32" s="251">
        <f>IF(AND($B$15&lt;$F$2,$E$15&lt;$F$2),R7,IF($B$15&lt;$F$2,X7,U7))</f>
        <v>0.41751074051387549</v>
      </c>
      <c r="S32" s="134">
        <f>D61*R32</f>
        <v>0</v>
      </c>
      <c r="U32" s="252"/>
    </row>
    <row r="33" spans="2:21" x14ac:dyDescent="0.3">
      <c r="B33" s="279" t="s">
        <v>273</v>
      </c>
      <c r="C33" s="280" t="s">
        <v>2</v>
      </c>
      <c r="D33" s="281">
        <v>-186.99449999999999</v>
      </c>
      <c r="E33" s="282">
        <f t="shared" ref="E33:E38" si="18">IFERROR((ROUND(D33*K33,2)+ROUND(G33,2)+ROUND(J33,2))/ROUND(D33,4),0)</f>
        <v>1.1420656757284307</v>
      </c>
      <c r="F33" s="283">
        <f t="shared" ref="F33:F37" si="19">ROUND(D33*E33,2)</f>
        <v>-213.56</v>
      </c>
      <c r="G33" s="283">
        <f t="shared" ref="G33:G37" si="20">((D33*K33)/(1-$N$23-$N$25))*($N$23+$N$25)</f>
        <v>-13.176633881049968</v>
      </c>
      <c r="H33" s="284">
        <v>0</v>
      </c>
      <c r="I33" s="285">
        <v>0</v>
      </c>
      <c r="J33" s="284">
        <f>H33*$I$25</f>
        <v>0</v>
      </c>
      <c r="K33" s="282">
        <f>K22</f>
        <v>1.0715987499999999</v>
      </c>
      <c r="O33" s="278"/>
      <c r="R33" s="251">
        <f>IF(AND($B$15&lt;$F$2,$E$15&lt;$F$2),R8,IF($B$15&lt;$F$2,X8,U8))</f>
        <v>0.13917021319092682</v>
      </c>
      <c r="S33" s="134">
        <f>D62*R33</f>
        <v>56.920617195089065</v>
      </c>
      <c r="U33" s="252"/>
    </row>
    <row r="34" spans="2:21" x14ac:dyDescent="0.3">
      <c r="B34" s="279" t="s">
        <v>274</v>
      </c>
      <c r="C34" s="280" t="s">
        <v>2</v>
      </c>
      <c r="D34" s="281">
        <v>0</v>
      </c>
      <c r="E34" s="282">
        <f t="shared" si="18"/>
        <v>0</v>
      </c>
      <c r="F34" s="283">
        <f t="shared" si="19"/>
        <v>0</v>
      </c>
      <c r="G34" s="283">
        <f t="shared" si="20"/>
        <v>0</v>
      </c>
      <c r="H34" s="284">
        <v>0</v>
      </c>
      <c r="I34" s="285">
        <v>0</v>
      </c>
      <c r="J34" s="284">
        <f t="shared" ref="J34:J35" si="21">H34*$I$25</f>
        <v>0</v>
      </c>
      <c r="K34" s="282">
        <f t="shared" ref="K34:K35" si="22">K23</f>
        <v>0.73325718750000002</v>
      </c>
      <c r="O34" s="278"/>
      <c r="S34" s="141">
        <f>SUM(S31:S33)</f>
        <v>198.87425524181782</v>
      </c>
      <c r="U34" s="252"/>
    </row>
    <row r="35" spans="2:21" x14ac:dyDescent="0.3">
      <c r="B35" s="279" t="s">
        <v>275</v>
      </c>
      <c r="C35" s="280" t="s">
        <v>2</v>
      </c>
      <c r="D35" s="281">
        <v>-333.29160000000002</v>
      </c>
      <c r="E35" s="282">
        <f t="shared" si="18"/>
        <v>0.42089269576550981</v>
      </c>
      <c r="F35" s="283">
        <f t="shared" si="19"/>
        <v>-140.28</v>
      </c>
      <c r="G35" s="283">
        <f>((D35*K35)/(1-$N$23-$N$25))*($N$23+$N$25)</f>
        <v>-8.655066612776098</v>
      </c>
      <c r="H35" s="284">
        <v>0</v>
      </c>
      <c r="I35" s="285">
        <v>0</v>
      </c>
      <c r="J35" s="284">
        <f t="shared" si="21"/>
        <v>0</v>
      </c>
      <c r="K35" s="282">
        <f t="shared" si="22"/>
        <v>0.3949140625</v>
      </c>
      <c r="O35" s="278"/>
      <c r="S35" s="252"/>
      <c r="U35" s="252"/>
    </row>
    <row r="36" spans="2:21" x14ac:dyDescent="0.3">
      <c r="B36" s="279" t="s">
        <v>276</v>
      </c>
      <c r="C36" s="280" t="s">
        <v>2</v>
      </c>
      <c r="D36" s="288">
        <f>D33</f>
        <v>-186.99449999999999</v>
      </c>
      <c r="E36" s="282">
        <f t="shared" si="18"/>
        <v>0.54349192088537368</v>
      </c>
      <c r="F36" s="283">
        <f t="shared" si="19"/>
        <v>-101.63</v>
      </c>
      <c r="G36" s="283">
        <f t="shared" si="20"/>
        <v>-6.0195890086520016</v>
      </c>
      <c r="H36" s="284">
        <f>(IF($I$36=12%,(D36*K36)/(1-$N$22-$N$24)/(1-$C$104)/$F$104*$C$104,(D36*K36)/(1-$N$22-$N$24)/(1-$I$36)))</f>
        <v>-33.875771028340544</v>
      </c>
      <c r="I36" s="285">
        <f>$I$22</f>
        <v>0.12</v>
      </c>
      <c r="J36" s="284">
        <f t="shared" ref="J36:J37" si="23">H36*$I$36</f>
        <v>-4.0650925234008648</v>
      </c>
      <c r="K36" s="282">
        <f>K25</f>
        <v>0.48954718750000004</v>
      </c>
      <c r="O36" s="278"/>
      <c r="S36" s="252"/>
      <c r="U36" s="252"/>
    </row>
    <row r="37" spans="2:21" x14ac:dyDescent="0.3">
      <c r="B37" s="279" t="s">
        <v>277</v>
      </c>
      <c r="C37" s="280" t="s">
        <v>2</v>
      </c>
      <c r="D37" s="288">
        <f t="shared" ref="D37:D38" si="24">D34</f>
        <v>0</v>
      </c>
      <c r="E37" s="282">
        <f t="shared" si="18"/>
        <v>0</v>
      </c>
      <c r="F37" s="283">
        <f t="shared" si="19"/>
        <v>0</v>
      </c>
      <c r="G37" s="283">
        <f t="shared" si="20"/>
        <v>0</v>
      </c>
      <c r="H37" s="284">
        <f t="shared" ref="H37:H42" si="25">(IF($I$36=12%,(D37*K37)/(1-$N$22-$N$24)/(1-$C$104)/$F$104*$C$104,(D37*K37)/(1-$N$22-$N$24)/(1-$I$36)))</f>
        <v>0</v>
      </c>
      <c r="I37" s="285">
        <f>$I$22</f>
        <v>0.12</v>
      </c>
      <c r="J37" s="284">
        <f t="shared" si="23"/>
        <v>0</v>
      </c>
      <c r="K37" s="282">
        <f t="shared" ref="K37:K38" si="26">K26</f>
        <v>0.30817749999999999</v>
      </c>
      <c r="O37" s="278"/>
      <c r="S37" s="252"/>
      <c r="U37" s="252"/>
    </row>
    <row r="38" spans="2:21" x14ac:dyDescent="0.3">
      <c r="B38" s="279" t="s">
        <v>278</v>
      </c>
      <c r="C38" s="280" t="s">
        <v>2</v>
      </c>
      <c r="D38" s="288">
        <f t="shared" si="24"/>
        <v>-333.29160000000002</v>
      </c>
      <c r="E38" s="282">
        <f t="shared" si="18"/>
        <v>0.34210283127447555</v>
      </c>
      <c r="F38" s="283">
        <f>ROUND(D38*E38,2)</f>
        <v>-114.02</v>
      </c>
      <c r="G38" s="283">
        <f>((D38*K38)/(1-$N$23-$N$25))*($N$23+$N$25)</f>
        <v>-6.7541195524249185</v>
      </c>
      <c r="H38" s="284">
        <f t="shared" si="25"/>
        <v>-38.009406809522545</v>
      </c>
      <c r="I38" s="285">
        <f>$I$22</f>
        <v>0.12</v>
      </c>
      <c r="J38" s="284">
        <f>H38*$I$36</f>
        <v>-4.5611288171427056</v>
      </c>
      <c r="K38" s="282">
        <f t="shared" si="26"/>
        <v>0.30817749999999999</v>
      </c>
      <c r="O38" s="278"/>
      <c r="S38" s="252"/>
      <c r="U38" s="252"/>
    </row>
    <row r="39" spans="2:21" x14ac:dyDescent="0.3">
      <c r="B39" s="279" t="s">
        <v>234</v>
      </c>
      <c r="C39" s="280" t="s">
        <v>2</v>
      </c>
      <c r="D39" s="288">
        <f>IF($K$13=M4,(($D$33+$D$34+$D$35)*($K$15)/($K$15+$L$15)),0)+IF($L$13=M4,(($D$33+$D$34+$D$35)*($L$15)/($K$15+$L$15)),0)</f>
        <v>-520.28610000000003</v>
      </c>
      <c r="E39" s="282">
        <f>IFERROR((ROUND(D39*K39,2)+ROUND(G39,2)+ROUND(J39,2))/ROUND(D39,4),0)</f>
        <v>2.0930791731703001E-2</v>
      </c>
      <c r="F39" s="283">
        <f t="shared" ref="F39" si="27">ROUND(D39*E39,2)</f>
        <v>-10.89</v>
      </c>
      <c r="G39" s="283">
        <f>((D39*K39)/(1-$N$23-$N$25))*($N$23+$N$25)</f>
        <v>-0.64490690309549192</v>
      </c>
      <c r="H39" s="284">
        <f t="shared" si="25"/>
        <v>-3.6292707944776015</v>
      </c>
      <c r="I39" s="279"/>
      <c r="J39" s="284">
        <f>H39*$I$36</f>
        <v>-0.43551249533731218</v>
      </c>
      <c r="K39" s="282">
        <f>N4</f>
        <v>1.8849999999999999E-2</v>
      </c>
      <c r="O39" s="278"/>
    </row>
    <row r="40" spans="2:21" x14ac:dyDescent="0.3">
      <c r="B40" s="279" t="s">
        <v>261</v>
      </c>
      <c r="C40" s="280" t="s">
        <v>2</v>
      </c>
      <c r="D40" s="288">
        <f t="shared" ref="D40:D42" si="28">IF($K$13=M5,(($D$33+$D$34+$D$35)*($K$15)/($K$15+$L$15)),0)+IF($L$13=M5,(($D$33+$D$34+$D$35)*($L$15)/($K$15+$L$15)),0)</f>
        <v>0</v>
      </c>
      <c r="E40" s="282">
        <f t="shared" ref="E40:E42" si="29">IFERROR((ROUND(D40*K40,2)+ROUND(G40,2)+ROUND(J40,2))/ROUND(D40,4),0)</f>
        <v>0</v>
      </c>
      <c r="F40" s="283">
        <f t="shared" ref="F40:F42" si="30">ROUND(D40*E40,2)</f>
        <v>0</v>
      </c>
      <c r="G40" s="283">
        <f>((D40*K40)/(1-$N$23-$N$25))*($N$23+$N$25)</f>
        <v>0</v>
      </c>
      <c r="H40" s="284">
        <f t="shared" si="25"/>
        <v>0</v>
      </c>
      <c r="I40" s="279"/>
      <c r="J40" s="284">
        <f t="shared" ref="J40:J42" si="31">H40*$I$36</f>
        <v>0</v>
      </c>
      <c r="K40" s="282">
        <f t="shared" ref="K40:K42" si="32">N5</f>
        <v>4.4630000000000003E-2</v>
      </c>
      <c r="O40" s="278"/>
      <c r="Q40" s="56"/>
      <c r="R40" s="56"/>
      <c r="T40" s="56"/>
    </row>
    <row r="41" spans="2:21" x14ac:dyDescent="0.3">
      <c r="B41" s="279" t="s">
        <v>262</v>
      </c>
      <c r="C41" s="280" t="s">
        <v>2</v>
      </c>
      <c r="D41" s="288">
        <f t="shared" si="28"/>
        <v>0</v>
      </c>
      <c r="E41" s="282">
        <f t="shared" si="29"/>
        <v>0</v>
      </c>
      <c r="F41" s="283">
        <f t="shared" si="30"/>
        <v>0</v>
      </c>
      <c r="G41" s="283">
        <f t="shared" ref="G41:G42" si="33">((D41*K41)/(1-$N$23-$N$25))*($N$23+$N$25)</f>
        <v>0</v>
      </c>
      <c r="H41" s="284">
        <f t="shared" si="25"/>
        <v>0</v>
      </c>
      <c r="I41" s="279"/>
      <c r="J41" s="284">
        <f t="shared" si="31"/>
        <v>0</v>
      </c>
      <c r="K41" s="282">
        <f t="shared" si="32"/>
        <v>7.8770000000000007E-2</v>
      </c>
      <c r="O41" s="278"/>
      <c r="S41" s="291"/>
    </row>
    <row r="42" spans="2:21" x14ac:dyDescent="0.3">
      <c r="B42" s="279" t="s">
        <v>263</v>
      </c>
      <c r="C42" s="280" t="s">
        <v>2</v>
      </c>
      <c r="D42" s="288">
        <f t="shared" si="28"/>
        <v>0</v>
      </c>
      <c r="E42" s="282">
        <f t="shared" si="29"/>
        <v>0</v>
      </c>
      <c r="F42" s="283">
        <f t="shared" si="30"/>
        <v>0</v>
      </c>
      <c r="G42" s="283">
        <f t="shared" si="33"/>
        <v>0</v>
      </c>
      <c r="H42" s="284">
        <f t="shared" si="25"/>
        <v>0</v>
      </c>
      <c r="I42" s="279"/>
      <c r="J42" s="284">
        <f t="shared" si="31"/>
        <v>0</v>
      </c>
      <c r="K42" s="282">
        <f t="shared" si="32"/>
        <v>0.14199999999999999</v>
      </c>
      <c r="O42" s="278"/>
      <c r="S42" s="291"/>
    </row>
    <row r="43" spans="2:21" x14ac:dyDescent="0.3">
      <c r="B43" s="279"/>
      <c r="C43" s="280"/>
      <c r="D43" s="288"/>
      <c r="E43" s="282"/>
      <c r="F43" s="283"/>
      <c r="G43" s="283"/>
      <c r="H43" s="284"/>
      <c r="I43" s="279"/>
      <c r="J43" s="284"/>
      <c r="K43" s="282"/>
      <c r="O43" s="278"/>
      <c r="S43" s="291"/>
    </row>
    <row r="44" spans="2:21" x14ac:dyDescent="0.3">
      <c r="B44" s="279" t="s">
        <v>229</v>
      </c>
      <c r="C44" s="279"/>
      <c r="D44" s="288"/>
      <c r="E44" s="279"/>
      <c r="F44" s="292"/>
      <c r="G44" s="279"/>
      <c r="H44" s="279"/>
      <c r="I44" s="279"/>
      <c r="J44" s="279"/>
      <c r="K44" s="279"/>
      <c r="O44" s="278"/>
      <c r="S44" s="291"/>
    </row>
    <row r="45" spans="2:21" x14ac:dyDescent="0.3">
      <c r="B45" s="279" t="s">
        <v>228</v>
      </c>
      <c r="C45" s="279"/>
      <c r="D45" s="288"/>
      <c r="E45" s="279"/>
      <c r="F45" s="292"/>
      <c r="G45" s="279"/>
      <c r="H45" s="279"/>
      <c r="I45" s="279"/>
      <c r="J45" s="279"/>
      <c r="K45" s="279"/>
      <c r="O45" s="278"/>
      <c r="S45" s="291"/>
    </row>
    <row r="46" spans="2:21" x14ac:dyDescent="0.3">
      <c r="B46" s="279" t="s">
        <v>260</v>
      </c>
      <c r="C46" s="279"/>
      <c r="D46" s="288"/>
      <c r="E46" s="279"/>
      <c r="F46" s="292">
        <v>-8.35</v>
      </c>
      <c r="G46" s="279"/>
      <c r="H46" s="279"/>
      <c r="I46" s="279"/>
      <c r="J46" s="279"/>
      <c r="K46" s="279"/>
      <c r="O46" s="278"/>
      <c r="S46" s="291"/>
    </row>
    <row r="47" spans="2:21" x14ac:dyDescent="0.3">
      <c r="B47" s="279" t="s">
        <v>230</v>
      </c>
      <c r="C47" s="279"/>
      <c r="D47" s="288"/>
      <c r="E47" s="279"/>
      <c r="F47" s="292"/>
      <c r="G47" s="279"/>
      <c r="H47" s="279"/>
      <c r="I47" s="279"/>
      <c r="J47" s="279"/>
      <c r="K47" s="279"/>
      <c r="O47" s="278"/>
    </row>
    <row r="48" spans="2:21" x14ac:dyDescent="0.3">
      <c r="B48" s="279"/>
      <c r="C48" s="279"/>
      <c r="D48" s="288"/>
      <c r="E48" s="279"/>
      <c r="F48" s="279"/>
      <c r="G48" s="279"/>
      <c r="H48" s="279"/>
      <c r="I48" s="279"/>
      <c r="J48" s="279"/>
      <c r="K48" s="279"/>
      <c r="O48" s="278"/>
    </row>
    <row r="49" spans="2:22" x14ac:dyDescent="0.3">
      <c r="B49" s="279"/>
      <c r="C49" s="279"/>
      <c r="D49" s="288"/>
      <c r="E49" s="279"/>
      <c r="F49" s="279"/>
      <c r="G49" s="279"/>
      <c r="H49" s="279"/>
      <c r="I49" s="279"/>
      <c r="J49" s="279"/>
      <c r="K49" s="279"/>
      <c r="O49" s="278"/>
    </row>
    <row r="50" spans="2:22" x14ac:dyDescent="0.3">
      <c r="B50" s="293" t="s">
        <v>135</v>
      </c>
      <c r="C50" s="289"/>
      <c r="D50" s="294"/>
      <c r="E50" s="289"/>
      <c r="F50" s="295">
        <f>SUM(F22:F49)</f>
        <v>96.899999999999977</v>
      </c>
      <c r="G50" s="296">
        <f>SUM(G22:G49)</f>
        <v>5.3609009004489891</v>
      </c>
      <c r="H50" s="297">
        <f>SUM(H22:H49)</f>
        <v>153.02877607979383</v>
      </c>
      <c r="I50" s="289"/>
      <c r="J50" s="297">
        <f>SUM(J22:J49)</f>
        <v>18.360333214125333</v>
      </c>
      <c r="K50" s="289"/>
      <c r="L50" s="75"/>
      <c r="M50" s="75"/>
      <c r="N50" s="75"/>
      <c r="O50" s="261"/>
    </row>
    <row r="52" spans="2:22" x14ac:dyDescent="0.3">
      <c r="B52" s="298" t="s">
        <v>231</v>
      </c>
      <c r="C52" s="299">
        <f>D86</f>
        <v>92.713899999999967</v>
      </c>
      <c r="D52" s="300">
        <f>E86</f>
        <v>1.8719128004533714E-4</v>
      </c>
      <c r="E52" s="300">
        <f>F86</f>
        <v>-3.7982399613330636E-3</v>
      </c>
      <c r="F52" s="298">
        <f>C52*(D52+E52)</f>
        <v>-0.33479440633204199</v>
      </c>
    </row>
    <row r="54" spans="2:22" x14ac:dyDescent="0.3"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2:22" x14ac:dyDescent="0.3"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2:22" x14ac:dyDescent="0.3">
      <c r="B56" s="459" t="s">
        <v>183</v>
      </c>
      <c r="C56" s="460"/>
      <c r="D56" s="460"/>
      <c r="E56" s="460"/>
      <c r="F56" s="460"/>
      <c r="G56" s="460"/>
      <c r="H56" s="461"/>
      <c r="I56" s="1"/>
      <c r="J56" s="124"/>
      <c r="K56" s="1"/>
      <c r="L56" s="1"/>
      <c r="M56" s="1"/>
      <c r="N56" s="1"/>
      <c r="O56" s="1"/>
      <c r="P56" s="1"/>
    </row>
    <row r="57" spans="2:22" x14ac:dyDescent="0.3">
      <c r="B57" s="41"/>
      <c r="D57" s="46" t="s">
        <v>40</v>
      </c>
      <c r="E57" s="46" t="s">
        <v>10</v>
      </c>
      <c r="F57" s="46" t="s">
        <v>9</v>
      </c>
      <c r="G57" s="46" t="s">
        <v>34</v>
      </c>
      <c r="H57" s="47" t="s">
        <v>7</v>
      </c>
      <c r="I57" s="1"/>
      <c r="M57" s="1"/>
      <c r="N57" s="1"/>
      <c r="O57" s="1"/>
      <c r="P57" s="1"/>
    </row>
    <row r="58" spans="2:22" x14ac:dyDescent="0.3">
      <c r="B58" s="48" t="s">
        <v>41</v>
      </c>
      <c r="C58" s="49"/>
      <c r="D58" s="50"/>
      <c r="E58" s="50"/>
      <c r="F58" s="50"/>
      <c r="G58" s="50"/>
      <c r="H58" s="51">
        <f>SUM(H60:H67)+SUM(H80:H84)</f>
        <v>796.59635049202461</v>
      </c>
      <c r="I58" s="1"/>
      <c r="J58" s="1"/>
      <c r="K58" s="1"/>
      <c r="L58" s="1"/>
      <c r="M58" s="1"/>
      <c r="N58" s="1"/>
      <c r="O58" s="1"/>
      <c r="P58" s="1"/>
    </row>
    <row r="59" spans="2:22" x14ac:dyDescent="0.3">
      <c r="B59" s="41"/>
      <c r="D59" s="46"/>
      <c r="E59" s="46"/>
      <c r="F59" s="46"/>
      <c r="G59" s="46"/>
      <c r="H59" s="52"/>
      <c r="I59" s="1"/>
      <c r="J59"/>
      <c r="K59"/>
      <c r="L59"/>
      <c r="M59" s="1"/>
      <c r="N59" s="1"/>
      <c r="O59" s="1"/>
      <c r="P59" s="1"/>
    </row>
    <row r="60" spans="2:22" x14ac:dyDescent="0.3">
      <c r="B60" s="41" t="s">
        <v>83</v>
      </c>
      <c r="D60" s="249">
        <f>D22</f>
        <v>204</v>
      </c>
      <c r="E60" s="53">
        <f t="shared" ref="E60:F62" si="34">IF(AND($B$15&lt;$F$2,$E$15&lt;$F$2),C6,IF($B$15&lt;$F$2,I6,F6))</f>
        <v>1.0715987499999999</v>
      </c>
      <c r="F60" s="250">
        <f t="shared" si="34"/>
        <v>0.48954718750000004</v>
      </c>
      <c r="G60" s="53">
        <f>E60+F60</f>
        <v>1.5611459375000001</v>
      </c>
      <c r="H60" s="54">
        <f>ROUND((D60*E60),2)+ROUND((D60*F60),2)</f>
        <v>318.48</v>
      </c>
      <c r="I60" s="1"/>
      <c r="J60"/>
      <c r="K60"/>
      <c r="L60"/>
      <c r="M60" s="1"/>
      <c r="N60" s="1"/>
      <c r="O60" s="1"/>
      <c r="P60" s="1"/>
      <c r="U60" s="252"/>
    </row>
    <row r="61" spans="2:22" x14ac:dyDescent="0.3">
      <c r="B61" s="41" t="s">
        <v>84</v>
      </c>
      <c r="D61" s="249">
        <f t="shared" ref="D61:D62" si="35">D23</f>
        <v>0</v>
      </c>
      <c r="E61" s="53">
        <f t="shared" si="34"/>
        <v>0.3949140625</v>
      </c>
      <c r="F61" s="250">
        <f t="shared" si="34"/>
        <v>0.30817749999999999</v>
      </c>
      <c r="G61" s="53">
        <f t="shared" ref="G61:G62" si="36">E61+F61</f>
        <v>0.70309156250000004</v>
      </c>
      <c r="H61" s="54">
        <f t="shared" ref="H61:H62" si="37">ROUND((D61*E61),2)+ROUND((D61*F61),2)</f>
        <v>0</v>
      </c>
      <c r="I61" s="1"/>
      <c r="J61" s="1"/>
      <c r="K61" s="1"/>
      <c r="L61" s="327"/>
      <c r="M61" s="1"/>
      <c r="N61" s="1"/>
      <c r="O61" s="1"/>
      <c r="P61" s="1"/>
      <c r="U61" s="252"/>
    </row>
    <row r="62" spans="2:22" x14ac:dyDescent="0.3">
      <c r="B62" s="41" t="s">
        <v>184</v>
      </c>
      <c r="D62" s="249">
        <f t="shared" si="35"/>
        <v>409</v>
      </c>
      <c r="E62" s="53">
        <f t="shared" si="34"/>
        <v>0.73325718750000002</v>
      </c>
      <c r="F62" s="250">
        <f t="shared" si="34"/>
        <v>0.30817749999999999</v>
      </c>
      <c r="G62" s="53">
        <f t="shared" si="36"/>
        <v>1.0414346875</v>
      </c>
      <c r="H62" s="54">
        <f t="shared" si="37"/>
        <v>425.94</v>
      </c>
      <c r="I62" s="1"/>
      <c r="J62" s="1"/>
      <c r="K62" s="1"/>
      <c r="L62" s="327"/>
      <c r="M62" s="1"/>
      <c r="N62" s="1"/>
      <c r="O62" s="1"/>
      <c r="P62" s="1"/>
      <c r="U62" s="252"/>
    </row>
    <row r="63" spans="2:22" x14ac:dyDescent="0.3">
      <c r="B63" s="41"/>
      <c r="D63" s="55"/>
      <c r="E63" s="56"/>
      <c r="F63" s="57"/>
      <c r="G63" s="57"/>
      <c r="H63" s="54"/>
      <c r="I63" s="1"/>
      <c r="J63" s="1"/>
      <c r="K63"/>
      <c r="L63"/>
      <c r="M63"/>
      <c r="N63" s="1"/>
      <c r="O63" s="1"/>
      <c r="P63" s="1"/>
      <c r="U63" s="252"/>
    </row>
    <row r="64" spans="2:22" x14ac:dyDescent="0.3">
      <c r="B64" s="41" t="s">
        <v>43</v>
      </c>
      <c r="D64" s="58">
        <f>IF($K$13=M4,((D60+D61+D62)*(K15)/(K15+L15)),0)+IF($L$13=M4,((D60+D61+D62)*(L15)/(K15+L15)),0)</f>
        <v>613</v>
      </c>
      <c r="F64" s="59">
        <f>N4</f>
        <v>1.8849999999999999E-2</v>
      </c>
      <c r="G64" s="59"/>
      <c r="H64" s="54">
        <f>ROUND(D64*(E64+F64),2)</f>
        <v>11.56</v>
      </c>
      <c r="I64" s="1"/>
      <c r="J64" s="1"/>
      <c r="K64"/>
      <c r="L64"/>
      <c r="M64"/>
      <c r="N64" s="1"/>
      <c r="O64" s="1"/>
      <c r="P64" s="1"/>
    </row>
    <row r="65" spans="2:16" x14ac:dyDescent="0.3">
      <c r="B65" s="41" t="s">
        <v>44</v>
      </c>
      <c r="D65" s="58">
        <f>IF($K$13=M5,((D60+D61+D62)*(K15)/(K15+L15)),0)+IF($L$13=M5,((D60+D61+D62)*(L15)/(K15+L15)),0)</f>
        <v>0</v>
      </c>
      <c r="F65" s="59">
        <f>N5</f>
        <v>4.4630000000000003E-2</v>
      </c>
      <c r="G65" s="59"/>
      <c r="H65" s="54">
        <f>ROUND(D65*(E65+F65),2)</f>
        <v>0</v>
      </c>
      <c r="I65" s="1"/>
      <c r="J65" s="1"/>
      <c r="K65"/>
      <c r="L65"/>
      <c r="M65"/>
      <c r="N65" s="1"/>
      <c r="O65" s="1"/>
      <c r="P65" s="1"/>
    </row>
    <row r="66" spans="2:16" x14ac:dyDescent="0.3">
      <c r="B66" s="41" t="s">
        <v>45</v>
      </c>
      <c r="D66" s="58">
        <f>IF($K$13=M6,((D60+D61+D62)*(K15)/(K15+L15)),0)+IF($L$13=M6,((D60+D61+D62)*(L15)/(K15+L15)),0)</f>
        <v>0</v>
      </c>
      <c r="F66" s="59">
        <f>N6</f>
        <v>7.8770000000000007E-2</v>
      </c>
      <c r="G66" s="59"/>
      <c r="H66" s="54">
        <f>ROUND(D66*(E66+F66),2)</f>
        <v>0</v>
      </c>
      <c r="I66" s="1"/>
      <c r="J66" s="1"/>
      <c r="K66"/>
      <c r="L66"/>
      <c r="M66"/>
      <c r="N66" s="1"/>
      <c r="O66" s="1"/>
      <c r="P66" s="1"/>
    </row>
    <row r="67" spans="2:16" x14ac:dyDescent="0.3">
      <c r="B67" s="41" t="s">
        <v>46</v>
      </c>
      <c r="D67" s="58">
        <f>IF($K$13=M7,((D60+D61+D62)*(K15)/(K15+L15)),0)+IF($L$13=M7,((D60+D61+D62)*(L15)/(K15+L15)),0)</f>
        <v>0</v>
      </c>
      <c r="F67" s="59">
        <f>N7</f>
        <v>0.14199999999999999</v>
      </c>
      <c r="G67" s="59"/>
      <c r="H67" s="54">
        <f>ROUND(D67*(E67+F67),2)</f>
        <v>0</v>
      </c>
      <c r="I67" s="1"/>
      <c r="J67" s="1"/>
      <c r="K67"/>
      <c r="L67"/>
      <c r="M67"/>
      <c r="N67" s="1"/>
      <c r="O67" s="1"/>
      <c r="P67" s="1"/>
    </row>
    <row r="68" spans="2:16" x14ac:dyDescent="0.3">
      <c r="B68" s="41"/>
      <c r="H68" s="54"/>
      <c r="I68" s="1"/>
      <c r="J68" s="1"/>
      <c r="K68" s="1"/>
      <c r="L68" s="1"/>
      <c r="M68" s="1"/>
      <c r="N68" s="1"/>
      <c r="O68" s="1"/>
      <c r="P68" s="1"/>
    </row>
    <row r="69" spans="2:16" x14ac:dyDescent="0.3">
      <c r="B69" s="41" t="s">
        <v>205</v>
      </c>
      <c r="D69" s="218">
        <f>D33</f>
        <v>-186.99449999999999</v>
      </c>
      <c r="E69" s="53">
        <f>E60*F18</f>
        <v>1.0715987499999999</v>
      </c>
      <c r="F69" s="250">
        <f>F60</f>
        <v>0.48954718750000004</v>
      </c>
      <c r="G69" s="53">
        <f>E69+F69</f>
        <v>1.5611459375000001</v>
      </c>
      <c r="H69" s="54">
        <f>ROUND((D69*E69),2)+ROUND((D69*F69),2)</f>
        <v>-291.92</v>
      </c>
      <c r="I69" s="1"/>
      <c r="J69" s="1"/>
      <c r="K69" s="1"/>
      <c r="L69" s="1"/>
      <c r="M69" s="1"/>
      <c r="N69" s="1"/>
      <c r="O69" s="1"/>
      <c r="P69" s="1"/>
    </row>
    <row r="70" spans="2:16" x14ac:dyDescent="0.3">
      <c r="B70" s="41" t="s">
        <v>206</v>
      </c>
      <c r="D70" s="218">
        <f t="shared" ref="D70:D71" si="38">D34</f>
        <v>0</v>
      </c>
      <c r="E70" s="53">
        <f>E61*F18</f>
        <v>0.3949140625</v>
      </c>
      <c r="F70" s="250">
        <f t="shared" ref="F70:F71" si="39">F61</f>
        <v>0.30817749999999999</v>
      </c>
      <c r="G70" s="53">
        <f t="shared" ref="G70:G71" si="40">E70+F70</f>
        <v>0.70309156250000004</v>
      </c>
      <c r="H70" s="54">
        <f t="shared" ref="H70:H71" si="41">ROUND((D70*E70),2)+ROUND((D70*F70),2)</f>
        <v>0</v>
      </c>
      <c r="I70" s="1"/>
      <c r="J70" s="1"/>
      <c r="K70" s="1"/>
      <c r="L70" s="1"/>
      <c r="M70" s="1"/>
      <c r="N70" s="1"/>
      <c r="O70" s="1"/>
      <c r="P70" s="1"/>
    </row>
    <row r="71" spans="2:16" x14ac:dyDescent="0.3">
      <c r="B71" s="41" t="s">
        <v>207</v>
      </c>
      <c r="D71" s="218">
        <f t="shared" si="38"/>
        <v>-333.29160000000002</v>
      </c>
      <c r="E71" s="53">
        <f>E62*F18</f>
        <v>0.73325718750000002</v>
      </c>
      <c r="F71" s="250">
        <f t="shared" si="39"/>
        <v>0.30817749999999999</v>
      </c>
      <c r="G71" s="53">
        <f t="shared" si="40"/>
        <v>1.0414346875</v>
      </c>
      <c r="H71" s="54">
        <f t="shared" si="41"/>
        <v>-347.09999999999997</v>
      </c>
      <c r="I71" s="1"/>
      <c r="J71" s="1"/>
      <c r="K71" s="1"/>
      <c r="L71" s="1"/>
      <c r="M71" s="1"/>
      <c r="N71" s="1"/>
      <c r="O71" s="1"/>
      <c r="P71" s="1"/>
    </row>
    <row r="72" spans="2:16" x14ac:dyDescent="0.3">
      <c r="B72" s="41"/>
      <c r="D72" s="56"/>
      <c r="E72" s="56"/>
      <c r="F72" s="57"/>
      <c r="G72" s="57"/>
      <c r="H72" s="54"/>
      <c r="I72" s="1"/>
      <c r="J72" s="1"/>
      <c r="K72" s="1"/>
      <c r="L72" s="1"/>
      <c r="M72" s="1"/>
      <c r="N72" s="1"/>
      <c r="O72" s="1"/>
      <c r="P72" s="1"/>
    </row>
    <row r="73" spans="2:16" x14ac:dyDescent="0.3">
      <c r="B73" s="41" t="s">
        <v>208</v>
      </c>
      <c r="D73" s="58">
        <f>IF($K$13=M4,((D69+D70+D71)*(K15)/(K15+L15)),0)+IF($L$13=M4,((D69+D70+D71)*(L15)/(K15+L15)),0)</f>
        <v>-520.28610000000003</v>
      </c>
      <c r="F73" s="59">
        <f>N4</f>
        <v>1.8849999999999999E-2</v>
      </c>
      <c r="G73" s="59"/>
      <c r="H73" s="54">
        <f>ROUND(D73*(E73+F73),2)</f>
        <v>-9.81</v>
      </c>
      <c r="I73" s="1"/>
      <c r="J73" s="1"/>
      <c r="K73" s="1"/>
      <c r="L73" s="1"/>
      <c r="M73" s="1"/>
      <c r="N73" s="1"/>
      <c r="O73" s="1"/>
      <c r="P73" s="1"/>
    </row>
    <row r="74" spans="2:16" x14ac:dyDescent="0.3">
      <c r="B74" s="41" t="s">
        <v>209</v>
      </c>
      <c r="D74" s="58">
        <f>IF($K$13=M5,((D70+D71+D72)*(K15)/(K15+L15)),0)+IF($L$13=M5,((D70+D71+D72)*(L15)/(K15+L15)),0)</f>
        <v>0</v>
      </c>
      <c r="F74" s="59">
        <f>N14</f>
        <v>0</v>
      </c>
      <c r="G74" s="59"/>
      <c r="H74" s="54">
        <f>ROUND(D74*(E74+F74),2)</f>
        <v>0</v>
      </c>
      <c r="I74" s="1"/>
      <c r="J74" s="1"/>
      <c r="K74" s="1"/>
      <c r="L74" s="1"/>
      <c r="M74" s="1"/>
      <c r="N74" s="1"/>
      <c r="O74" s="1"/>
      <c r="P74" s="1"/>
    </row>
    <row r="75" spans="2:16" x14ac:dyDescent="0.3">
      <c r="B75" s="41" t="s">
        <v>210</v>
      </c>
      <c r="D75" s="58">
        <f>IF($K$13=M6,((D71+D72+D73)*(K15)/(K15+L15)),0)+IF($L$13=M6,((D71+D72+D73)*(L15)/(K15+L15)),0)</f>
        <v>0</v>
      </c>
      <c r="F75" s="59">
        <f>N15</f>
        <v>0</v>
      </c>
      <c r="G75" s="59"/>
      <c r="H75" s="54">
        <f>ROUND(D75*(E75+F75),2)</f>
        <v>0</v>
      </c>
      <c r="I75" s="1"/>
      <c r="J75" s="1"/>
      <c r="K75" s="1"/>
      <c r="L75" s="1"/>
      <c r="M75" s="1"/>
      <c r="N75" s="1"/>
      <c r="O75" s="1"/>
      <c r="P75" s="1"/>
    </row>
    <row r="76" spans="2:16" x14ac:dyDescent="0.3">
      <c r="B76" s="41" t="s">
        <v>211</v>
      </c>
      <c r="D76" s="58">
        <f>IF($K$13=M7,((D72+D73+D74)*(K15)/(K15+L15)),0)+IF($L$13=M7,((D72+D73+D74)*(L15)/(K15+L15)),0)</f>
        <v>0</v>
      </c>
      <c r="F76" s="59">
        <f>N16</f>
        <v>0</v>
      </c>
      <c r="G76" s="59"/>
      <c r="H76" s="54">
        <f>ROUND(D76*(E76+F76),2)</f>
        <v>0</v>
      </c>
      <c r="I76" s="1"/>
      <c r="J76" s="1"/>
      <c r="K76" s="1"/>
      <c r="L76" s="1"/>
      <c r="M76" s="1"/>
      <c r="N76" s="1"/>
      <c r="O76" s="1"/>
      <c r="P76" s="1"/>
    </row>
    <row r="77" spans="2:16" x14ac:dyDescent="0.3">
      <c r="B77" s="74"/>
      <c r="C77" s="75"/>
      <c r="D77" s="254"/>
      <c r="E77" s="255"/>
      <c r="F77" s="75"/>
      <c r="G77" s="75"/>
      <c r="H77" s="256"/>
      <c r="I77" s="1"/>
      <c r="J77" s="1"/>
      <c r="K77" s="1"/>
      <c r="L77" s="1"/>
      <c r="M77" s="1"/>
      <c r="N77" s="1"/>
      <c r="O77" s="1"/>
      <c r="P77" s="1"/>
    </row>
    <row r="78" spans="2:16" x14ac:dyDescent="0.3">
      <c r="B78" s="34"/>
      <c r="C78" s="35"/>
      <c r="D78" s="35"/>
      <c r="E78" s="35"/>
      <c r="F78" s="35"/>
      <c r="G78" s="35"/>
      <c r="H78" s="257"/>
      <c r="I78" s="1"/>
      <c r="L78" s="1"/>
      <c r="M78" s="1"/>
      <c r="N78" s="1"/>
      <c r="O78" s="1"/>
      <c r="P78" s="1"/>
    </row>
    <row r="79" spans="2:16" x14ac:dyDescent="0.3">
      <c r="B79" s="41"/>
      <c r="D79" s="63" t="s">
        <v>48</v>
      </c>
      <c r="E79" s="64"/>
      <c r="F79" s="64"/>
      <c r="G79" s="64"/>
      <c r="H79" s="65"/>
      <c r="I79" s="66"/>
      <c r="K79" s="67"/>
      <c r="L79" s="1"/>
      <c r="M79" s="1"/>
      <c r="N79" s="1"/>
      <c r="O79" s="1"/>
      <c r="P79" s="1"/>
    </row>
    <row r="80" spans="2:16" x14ac:dyDescent="0.3">
      <c r="B80" s="41" t="s">
        <v>49</v>
      </c>
      <c r="D80" s="67">
        <f>(SUM(H60:H67)/(1-E80-E82))</f>
        <v>805.69114355749764</v>
      </c>
      <c r="E80" s="258">
        <f>N22</f>
        <v>1.0999999999999999E-2</v>
      </c>
      <c r="H80" s="54">
        <f t="shared" ref="H80:H85" si="42">D80*E80</f>
        <v>8.8626025791324743</v>
      </c>
      <c r="I80" s="67"/>
      <c r="L80" s="1"/>
      <c r="M80" s="1"/>
      <c r="N80" s="1"/>
      <c r="O80" s="1"/>
      <c r="P80" s="1"/>
    </row>
    <row r="81" spans="1:16" x14ac:dyDescent="0.3">
      <c r="B81" s="41" t="s">
        <v>241</v>
      </c>
      <c r="D81" s="67">
        <f>(SUM(H69:H76)/(1-E81-E83))</f>
        <v>-691.49525738036868</v>
      </c>
      <c r="E81" s="258">
        <f>E80</f>
        <v>1.0999999999999999E-2</v>
      </c>
      <c r="H81" s="54">
        <f t="shared" si="42"/>
        <v>-7.6064478311840551</v>
      </c>
      <c r="I81" s="67"/>
      <c r="L81" s="1"/>
      <c r="M81" s="1"/>
      <c r="N81" s="1"/>
      <c r="O81" s="1"/>
      <c r="P81" s="1"/>
    </row>
    <row r="82" spans="1:16" x14ac:dyDescent="0.3">
      <c r="B82" s="41" t="s">
        <v>51</v>
      </c>
      <c r="D82" s="67">
        <f>D80</f>
        <v>805.69114355749764</v>
      </c>
      <c r="E82" s="258">
        <f>N24</f>
        <v>5.0700000000000002E-2</v>
      </c>
      <c r="H82" s="54">
        <f t="shared" si="42"/>
        <v>40.848540978365129</v>
      </c>
      <c r="I82" s="67"/>
      <c r="L82" s="1"/>
      <c r="M82" s="1"/>
      <c r="N82" s="1"/>
      <c r="O82" s="1"/>
      <c r="P82" s="1"/>
    </row>
    <row r="83" spans="1:16" x14ac:dyDescent="0.3">
      <c r="B83" s="41" t="s">
        <v>242</v>
      </c>
      <c r="D83" s="67">
        <f>D81</f>
        <v>-691.49525738036868</v>
      </c>
      <c r="E83" s="258">
        <f>E82</f>
        <v>5.0700000000000002E-2</v>
      </c>
      <c r="H83" s="54">
        <f t="shared" si="42"/>
        <v>-35.058809549184694</v>
      </c>
      <c r="I83" s="67"/>
      <c r="L83" s="1"/>
      <c r="M83" s="1"/>
      <c r="N83" s="1"/>
      <c r="O83" s="1"/>
      <c r="P83" s="1"/>
    </row>
    <row r="84" spans="1:16" x14ac:dyDescent="0.3">
      <c r="B84" s="41" t="s">
        <v>11</v>
      </c>
      <c r="D84" s="259">
        <f>IF((E84=17%),(D80/(1-(E84))),D93)</f>
        <v>279.75386929079781</v>
      </c>
      <c r="E84" s="260">
        <v>0.12</v>
      </c>
      <c r="H84" s="54">
        <f t="shared" si="42"/>
        <v>33.570464314895737</v>
      </c>
      <c r="I84" s="67"/>
      <c r="L84" s="1"/>
      <c r="M84" s="1"/>
      <c r="N84" s="1"/>
      <c r="O84" s="1"/>
      <c r="P84" s="1"/>
    </row>
    <row r="85" spans="1:16" x14ac:dyDescent="0.3">
      <c r="B85" s="41" t="s">
        <v>243</v>
      </c>
      <c r="D85" s="259">
        <f>D104</f>
        <v>-75.515413370208833</v>
      </c>
      <c r="E85" s="260">
        <v>0.12</v>
      </c>
      <c r="H85" s="54">
        <f t="shared" si="42"/>
        <v>-9.0618496044250598</v>
      </c>
      <c r="L85" s="1"/>
      <c r="M85" s="1"/>
      <c r="N85" s="1"/>
      <c r="O85" s="1"/>
      <c r="P85" s="1"/>
    </row>
    <row r="86" spans="1:16" x14ac:dyDescent="0.3">
      <c r="B86" s="219" t="s">
        <v>166</v>
      </c>
      <c r="C86" s="130"/>
      <c r="D86" s="220">
        <f>SUM(D60:D62)+SUM(D69:D71)</f>
        <v>92.713899999999967</v>
      </c>
      <c r="E86" s="221">
        <f>IF(AND($B$15&lt;$F$2,$E$15&lt;$F$2),C9,IF($B$15&lt;$F$2,I9,F9))</f>
        <v>1.8719128004533714E-4</v>
      </c>
      <c r="F86" s="221">
        <f>IF(AND($B$15&lt;$F$2,$E$15&lt;$F$2),D9,IF($B$15&lt;$F$2,J9,G9))</f>
        <v>-3.7982399613330636E-3</v>
      </c>
      <c r="G86" s="130"/>
      <c r="H86" s="219">
        <f>D86*(E86+F86)</f>
        <v>-0.33479440633204199</v>
      </c>
      <c r="L86" s="1"/>
      <c r="M86" s="1"/>
      <c r="N86" s="1"/>
      <c r="O86" s="1"/>
      <c r="P86" s="1"/>
    </row>
    <row r="87" spans="1:16" x14ac:dyDescent="0.3">
      <c r="L87" s="1"/>
      <c r="M87" s="1"/>
      <c r="N87" s="1"/>
      <c r="O87" s="1"/>
      <c r="P87" s="1"/>
    </row>
    <row r="88" spans="1:16" x14ac:dyDescent="0.3">
      <c r="B88" s="19" t="s">
        <v>250</v>
      </c>
    </row>
    <row r="89" spans="1:16" x14ac:dyDescent="0.3">
      <c r="A89" s="108" t="s">
        <v>255</v>
      </c>
    </row>
    <row r="90" spans="1:16" x14ac:dyDescent="0.3">
      <c r="B90" s="102"/>
      <c r="C90" s="102"/>
      <c r="D90" s="103" t="s">
        <v>67</v>
      </c>
      <c r="F90" s="103"/>
    </row>
    <row r="91" spans="1:16" x14ac:dyDescent="0.3">
      <c r="B91" s="104" t="s">
        <v>68</v>
      </c>
      <c r="C91" s="105">
        <f>E80</f>
        <v>1.0999999999999999E-2</v>
      </c>
      <c r="D91" s="106">
        <f>(SUM(H60:H67)/(1-E80-E82))</f>
        <v>805.69114355749764</v>
      </c>
      <c r="E91" s="2" t="s">
        <v>69</v>
      </c>
      <c r="F91" s="105">
        <f>C91</f>
        <v>1.0999999999999999E-2</v>
      </c>
      <c r="G91" s="107">
        <f>D91*F91</f>
        <v>8.8626025791324743</v>
      </c>
    </row>
    <row r="92" spans="1:16" x14ac:dyDescent="0.3">
      <c r="B92" s="104" t="s">
        <v>51</v>
      </c>
      <c r="C92" s="105">
        <f>E82</f>
        <v>5.0700000000000002E-2</v>
      </c>
      <c r="D92" s="106">
        <f>D91</f>
        <v>805.69114355749764</v>
      </c>
      <c r="E92" s="2" t="s">
        <v>69</v>
      </c>
      <c r="F92" s="105">
        <f>C92</f>
        <v>5.0700000000000002E-2</v>
      </c>
      <c r="G92" s="107">
        <f>D92*F92</f>
        <v>40.848540978365129</v>
      </c>
    </row>
    <row r="93" spans="1:16" x14ac:dyDescent="0.3">
      <c r="A93" s="108" t="s">
        <v>70</v>
      </c>
      <c r="B93" s="104" t="s">
        <v>11</v>
      </c>
      <c r="C93" s="109">
        <v>0.04</v>
      </c>
      <c r="D93" s="110">
        <f>H93/F93*C93</f>
        <v>279.75386929079781</v>
      </c>
      <c r="E93" s="2" t="s">
        <v>69</v>
      </c>
      <c r="F93" s="111">
        <v>0.12</v>
      </c>
      <c r="G93" s="107">
        <f>D93*F93</f>
        <v>33.570464314895737</v>
      </c>
      <c r="H93" s="107">
        <f>((SUM(H60:H67))/(1-F91-F92)/(1-(C93)))</f>
        <v>839.26160787239337</v>
      </c>
      <c r="I93" s="112">
        <f>H93*C93</f>
        <v>33.570464314895737</v>
      </c>
    </row>
    <row r="94" spans="1:16" x14ac:dyDescent="0.3">
      <c r="B94" s="102"/>
      <c r="C94" s="102"/>
      <c r="D94" s="102"/>
      <c r="E94" s="107">
        <f>(O82)/(1-C91-C92-C93)</f>
        <v>0</v>
      </c>
      <c r="F94" s="113"/>
      <c r="G94" s="113"/>
      <c r="H94" s="102"/>
      <c r="I94" s="102"/>
      <c r="J94" s="114"/>
      <c r="K94" s="114"/>
      <c r="L94" s="114"/>
      <c r="M94" s="103"/>
      <c r="N94" s="103"/>
      <c r="O94" s="115"/>
    </row>
    <row r="96" spans="1:16" x14ac:dyDescent="0.3">
      <c r="C96" s="1"/>
      <c r="D96" s="328" t="s">
        <v>251</v>
      </c>
      <c r="E96" s="329" t="s">
        <v>252</v>
      </c>
      <c r="F96" s="238"/>
      <c r="G96" s="1" t="s">
        <v>253</v>
      </c>
      <c r="H96" s="330">
        <f>H93/F93*C93</f>
        <v>279.75386929079781</v>
      </c>
    </row>
    <row r="97" spans="1:16" x14ac:dyDescent="0.3">
      <c r="C97" s="1"/>
      <c r="D97" s="1"/>
      <c r="E97" s="1" t="s">
        <v>254</v>
      </c>
      <c r="F97" s="1"/>
      <c r="G97" s="1"/>
      <c r="H97" s="1"/>
      <c r="J97" s="1"/>
    </row>
    <row r="98" spans="1:16" x14ac:dyDescent="0.3">
      <c r="L98" s="1"/>
      <c r="M98" s="1"/>
      <c r="N98" s="1"/>
      <c r="O98" s="1"/>
      <c r="P98" s="1"/>
    </row>
    <row r="99" spans="1:16" x14ac:dyDescent="0.3">
      <c r="A99" s="108" t="s">
        <v>256</v>
      </c>
      <c r="L99" s="1"/>
      <c r="M99" s="1"/>
      <c r="N99" s="1"/>
      <c r="O99" s="1"/>
      <c r="P99" s="1"/>
    </row>
    <row r="100" spans="1:16" x14ac:dyDescent="0.3">
      <c r="B100" s="19" t="s">
        <v>250</v>
      </c>
    </row>
    <row r="101" spans="1:16" x14ac:dyDescent="0.3">
      <c r="B101" s="102"/>
      <c r="C101" s="102"/>
      <c r="D101" s="103" t="s">
        <v>67</v>
      </c>
      <c r="F101" s="103"/>
    </row>
    <row r="102" spans="1:16" x14ac:dyDescent="0.3">
      <c r="B102" s="104" t="s">
        <v>68</v>
      </c>
      <c r="C102" s="105">
        <f>E81</f>
        <v>1.0999999999999999E-2</v>
      </c>
      <c r="D102" s="106">
        <f>SUM(H69:H76)/(1-C102-C103)</f>
        <v>-691.49525738036868</v>
      </c>
      <c r="E102" s="2" t="s">
        <v>69</v>
      </c>
      <c r="F102" s="105">
        <f>C102</f>
        <v>1.0999999999999999E-2</v>
      </c>
      <c r="G102" s="107">
        <f>D102*F102</f>
        <v>-7.6064478311840551</v>
      </c>
    </row>
    <row r="103" spans="1:16" x14ac:dyDescent="0.3">
      <c r="B103" s="104" t="s">
        <v>51</v>
      </c>
      <c r="C103" s="105">
        <f>E83</f>
        <v>5.0700000000000002E-2</v>
      </c>
      <c r="D103" s="106">
        <f>D102</f>
        <v>-691.49525738036868</v>
      </c>
      <c r="E103" s="2" t="s">
        <v>69</v>
      </c>
      <c r="F103" s="105">
        <f>C103</f>
        <v>5.0700000000000002E-2</v>
      </c>
      <c r="G103" s="107">
        <f>D103*F103</f>
        <v>-35.058809549184694</v>
      </c>
    </row>
    <row r="104" spans="1:16" x14ac:dyDescent="0.3">
      <c r="A104" s="108" t="s">
        <v>70</v>
      </c>
      <c r="B104" s="104" t="s">
        <v>11</v>
      </c>
      <c r="C104" s="109">
        <v>0.04</v>
      </c>
      <c r="D104" s="110">
        <f>H104/F104*C104</f>
        <v>-75.515413370208833</v>
      </c>
      <c r="E104" s="2" t="s">
        <v>69</v>
      </c>
      <c r="F104" s="111">
        <v>0.12</v>
      </c>
      <c r="G104" s="107">
        <f>D104*F104</f>
        <v>-9.0618496044250598</v>
      </c>
      <c r="H104" s="107">
        <f>((D69*F69)+(D70*F70)+(D71*F71)+H73+H74+H75+H76)/(1-E81-E83)/(1-C104)</f>
        <v>-226.54624011062646</v>
      </c>
      <c r="I104" s="112">
        <f>H104*C104</f>
        <v>-9.061849604425058</v>
      </c>
    </row>
    <row r="105" spans="1:16" x14ac:dyDescent="0.3">
      <c r="B105" s="102"/>
      <c r="C105" s="102"/>
      <c r="D105" s="102"/>
      <c r="E105" s="107">
        <f>(O93)/(1-C102-C103-C104)</f>
        <v>0</v>
      </c>
      <c r="F105" s="113"/>
      <c r="G105" s="113"/>
      <c r="H105" s="102"/>
      <c r="I105" s="102"/>
      <c r="J105" s="114"/>
      <c r="K105" s="114"/>
      <c r="L105" s="114"/>
      <c r="M105" s="103"/>
      <c r="N105" s="103"/>
      <c r="O105" s="115"/>
    </row>
    <row r="107" spans="1:16" x14ac:dyDescent="0.3">
      <c r="C107" s="1"/>
      <c r="D107" s="328" t="s">
        <v>251</v>
      </c>
      <c r="E107" s="329" t="s">
        <v>252</v>
      </c>
      <c r="F107" s="238"/>
      <c r="G107" s="1" t="s">
        <v>253</v>
      </c>
      <c r="H107" s="330">
        <f>H104/F104*C104</f>
        <v>-75.515413370208833</v>
      </c>
    </row>
    <row r="108" spans="1:16" x14ac:dyDescent="0.3">
      <c r="C108" s="1"/>
      <c r="D108" s="1"/>
      <c r="E108" s="1" t="s">
        <v>254</v>
      </c>
      <c r="F108" s="1"/>
      <c r="G108" s="1"/>
      <c r="H108" s="1"/>
      <c r="J108" s="1"/>
    </row>
    <row r="109" spans="1:16" x14ac:dyDescent="0.3">
      <c r="L109" s="1"/>
      <c r="M109" s="1"/>
      <c r="N109" s="1"/>
      <c r="O109" s="1"/>
      <c r="P109" s="1"/>
    </row>
    <row r="110" spans="1:16" x14ac:dyDescent="0.3">
      <c r="L110" s="1"/>
      <c r="M110" s="1"/>
      <c r="N110" s="1"/>
      <c r="O110" s="1"/>
      <c r="P110" s="1"/>
    </row>
    <row r="111" spans="1:16" x14ac:dyDescent="0.3">
      <c r="L111" s="1"/>
      <c r="M111" s="1"/>
      <c r="N111" s="1"/>
      <c r="O111" s="1"/>
      <c r="P111" s="1"/>
    </row>
    <row r="112" spans="1:16" x14ac:dyDescent="0.3">
      <c r="L112" s="1"/>
      <c r="M112" s="1"/>
      <c r="N112" s="1"/>
      <c r="O112" s="1"/>
      <c r="P112" s="1"/>
    </row>
    <row r="113" spans="12:16" x14ac:dyDescent="0.3">
      <c r="L113" s="1"/>
      <c r="M113" s="1"/>
      <c r="N113" s="1"/>
      <c r="O113" s="1"/>
      <c r="P113" s="1"/>
    </row>
    <row r="114" spans="12:16" x14ac:dyDescent="0.3">
      <c r="L114" s="1"/>
      <c r="M114" s="1"/>
      <c r="N114" s="1"/>
      <c r="O114" s="1"/>
      <c r="P114" s="1"/>
    </row>
    <row r="115" spans="12:16" x14ac:dyDescent="0.3">
      <c r="L115" s="1"/>
      <c r="M115" s="1"/>
      <c r="N115" s="1"/>
      <c r="O115" s="1"/>
      <c r="P115" s="1"/>
    </row>
    <row r="116" spans="12:16" x14ac:dyDescent="0.3">
      <c r="L116" s="1"/>
      <c r="M116" s="1"/>
      <c r="N116" s="1"/>
      <c r="O116" s="1"/>
      <c r="P116" s="1"/>
    </row>
    <row r="117" spans="12:16" x14ac:dyDescent="0.3">
      <c r="L117" s="1"/>
      <c r="M117" s="1"/>
      <c r="N117" s="1"/>
      <c r="O117" s="1"/>
      <c r="P117" s="1"/>
    </row>
    <row r="118" spans="12:16" x14ac:dyDescent="0.3">
      <c r="L118" s="1"/>
      <c r="M118" s="1"/>
      <c r="N118" s="1"/>
      <c r="O118" s="1"/>
      <c r="P118" s="1"/>
    </row>
    <row r="119" spans="12:16" x14ac:dyDescent="0.3">
      <c r="L119" s="1"/>
      <c r="M119" s="1"/>
      <c r="N119" s="1"/>
      <c r="O119" s="1"/>
      <c r="P119" s="1"/>
    </row>
    <row r="120" spans="12:16" x14ac:dyDescent="0.3">
      <c r="L120" s="1"/>
      <c r="M120" s="1"/>
      <c r="N120" s="1"/>
      <c r="O120" s="1"/>
      <c r="P120" s="1"/>
    </row>
    <row r="121" spans="12:16" x14ac:dyDescent="0.3">
      <c r="L121" s="1"/>
      <c r="M121" s="1"/>
      <c r="N121" s="1"/>
      <c r="O121" s="1"/>
      <c r="P121" s="1"/>
    </row>
    <row r="122" spans="12:16" x14ac:dyDescent="0.3">
      <c r="L122" s="1"/>
      <c r="M122" s="1"/>
      <c r="N122" s="1"/>
      <c r="O122" s="1"/>
      <c r="P122" s="1"/>
    </row>
    <row r="123" spans="12:16" x14ac:dyDescent="0.3">
      <c r="L123" s="1"/>
      <c r="M123" s="1"/>
      <c r="N123" s="1"/>
      <c r="O123" s="1"/>
      <c r="P123" s="1"/>
    </row>
    <row r="124" spans="12:16" x14ac:dyDescent="0.3">
      <c r="L124" s="1"/>
      <c r="M124" s="1"/>
      <c r="N124" s="1"/>
      <c r="O124" s="1"/>
      <c r="P124" s="1"/>
    </row>
    <row r="125" spans="12:16" x14ac:dyDescent="0.3">
      <c r="L125" s="1"/>
      <c r="M125" s="1"/>
      <c r="N125" s="1"/>
      <c r="O125" s="1"/>
      <c r="P125" s="1"/>
    </row>
    <row r="126" spans="12:16" x14ac:dyDescent="0.3">
      <c r="L126" s="1"/>
      <c r="M126" s="1"/>
      <c r="N126" s="1"/>
      <c r="O126" s="1"/>
      <c r="P126" s="1"/>
    </row>
    <row r="127" spans="12:16" x14ac:dyDescent="0.3">
      <c r="L127" s="1"/>
      <c r="M127" s="1"/>
      <c r="N127" s="1"/>
      <c r="O127" s="1"/>
      <c r="P127" s="1"/>
    </row>
    <row r="128" spans="12:16" x14ac:dyDescent="0.3">
      <c r="L128" s="1"/>
      <c r="M128" s="1"/>
      <c r="N128" s="1"/>
      <c r="O128" s="1"/>
      <c r="P128" s="1"/>
    </row>
    <row r="129" spans="2:16" x14ac:dyDescent="0.3">
      <c r="L129" s="1"/>
      <c r="M129" s="1"/>
      <c r="N129" s="1"/>
      <c r="O129" s="1"/>
      <c r="P129" s="1"/>
    </row>
    <row r="130" spans="2:16" x14ac:dyDescent="0.3">
      <c r="B130" s="127" t="s">
        <v>185</v>
      </c>
      <c r="D130" s="64"/>
      <c r="F130" s="64"/>
      <c r="G130" s="64"/>
      <c r="H130" s="66"/>
    </row>
    <row r="131" spans="2:16" x14ac:dyDescent="0.3">
      <c r="B131" s="262"/>
      <c r="C131" s="263" t="s">
        <v>7</v>
      </c>
    </row>
    <row r="132" spans="2:16" x14ac:dyDescent="0.3">
      <c r="B132" s="262" t="s">
        <v>186</v>
      </c>
      <c r="C132" s="264">
        <f>(SUM(H60:H67)*IF($B$15&lt;$F$2,D170,D142))</f>
        <v>327.1396947749036</v>
      </c>
      <c r="E132" s="64" t="s">
        <v>8</v>
      </c>
    </row>
    <row r="133" spans="2:16" x14ac:dyDescent="0.3">
      <c r="B133" s="262" t="s">
        <v>187</v>
      </c>
      <c r="C133" s="264">
        <f>(SUM(H60:H67)*IF($B$15&lt;$F$2,F170,F142))</f>
        <v>196.40523404661144</v>
      </c>
    </row>
    <row r="134" spans="2:16" x14ac:dyDescent="0.3">
      <c r="B134" s="262" t="s">
        <v>188</v>
      </c>
      <c r="C134" s="264">
        <f>(SUM(H60:H67)*IF($B$15&lt;$F$2,E172,E144))</f>
        <v>61.556444643382527</v>
      </c>
    </row>
    <row r="135" spans="2:16" x14ac:dyDescent="0.3">
      <c r="B135" s="262" t="s">
        <v>189</v>
      </c>
      <c r="C135" s="264">
        <f>(SUM(H60:H67)*IF($B$15&lt;$F$2,G170,G142))</f>
        <v>170.87862653510254</v>
      </c>
    </row>
    <row r="136" spans="2:16" x14ac:dyDescent="0.3">
      <c r="B136" s="262" t="s">
        <v>190</v>
      </c>
      <c r="C136" s="265">
        <f>H80+H82+H84</f>
        <v>83.281607872393351</v>
      </c>
    </row>
    <row r="137" spans="2:16" x14ac:dyDescent="0.3">
      <c r="B137" s="266" t="s">
        <v>191</v>
      </c>
      <c r="C137" s="267">
        <f>SUM(C132:C136)</f>
        <v>839.26160787239337</v>
      </c>
    </row>
    <row r="139" spans="2:16" x14ac:dyDescent="0.3">
      <c r="B139" s="190">
        <v>2023</v>
      </c>
      <c r="C139" s="190"/>
      <c r="D139" s="190" t="s">
        <v>186</v>
      </c>
      <c r="F139" s="190" t="s">
        <v>187</v>
      </c>
      <c r="G139" s="190" t="s">
        <v>192</v>
      </c>
    </row>
    <row r="140" spans="2:16" x14ac:dyDescent="0.3">
      <c r="B140" s="190" t="s">
        <v>193</v>
      </c>
      <c r="C140" s="190"/>
      <c r="D140" s="190" t="s">
        <v>194</v>
      </c>
      <c r="F140" s="190" t="s">
        <v>194</v>
      </c>
      <c r="G140" s="190" t="s">
        <v>194</v>
      </c>
    </row>
    <row r="141" spans="2:16" x14ac:dyDescent="0.3">
      <c r="B141" s="190"/>
      <c r="C141" s="190"/>
      <c r="D141" s="190"/>
      <c r="E141" s="190" t="s">
        <v>188</v>
      </c>
      <c r="F141" s="190"/>
      <c r="G141" s="190"/>
    </row>
    <row r="142" spans="2:16" x14ac:dyDescent="0.3">
      <c r="B142" s="190" t="s">
        <v>195</v>
      </c>
      <c r="C142" s="190"/>
      <c r="D142" s="268">
        <v>0.43273591202796846</v>
      </c>
      <c r="E142" s="190" t="s">
        <v>194</v>
      </c>
      <c r="F142" s="268">
        <v>0.25980215620335384</v>
      </c>
      <c r="G142" s="268">
        <v>0.22603590906519025</v>
      </c>
    </row>
    <row r="143" spans="2:16" x14ac:dyDescent="0.3">
      <c r="B143" s="190" t="s">
        <v>196</v>
      </c>
      <c r="C143" s="190"/>
      <c r="D143" s="268">
        <v>0.52914974745856724</v>
      </c>
      <c r="E143" s="190"/>
      <c r="F143" s="268">
        <v>0.31768624124570172</v>
      </c>
      <c r="G143" s="268">
        <v>5.3596219133103154E-2</v>
      </c>
    </row>
    <row r="144" spans="2:16" x14ac:dyDescent="0.3">
      <c r="B144" s="190" t="s">
        <v>197</v>
      </c>
      <c r="C144" s="190"/>
      <c r="D144" s="268">
        <v>0.43273591202796835</v>
      </c>
      <c r="E144" s="268">
        <v>8.1426022703487561E-2</v>
      </c>
      <c r="F144" s="268">
        <v>0.25980215620335428</v>
      </c>
      <c r="G144" s="268">
        <v>0.22603590906518967</v>
      </c>
    </row>
    <row r="145" spans="2:10" x14ac:dyDescent="0.3">
      <c r="B145" s="190" t="s">
        <v>198</v>
      </c>
      <c r="C145" s="190"/>
      <c r="D145" s="268">
        <v>0.43273591202796835</v>
      </c>
      <c r="E145" s="268">
        <v>9.9567792162627941E-2</v>
      </c>
      <c r="F145" s="268">
        <v>0.25980215620335428</v>
      </c>
      <c r="G145" s="268">
        <v>0.22603590906518967</v>
      </c>
    </row>
    <row r="146" spans="2:10" x14ac:dyDescent="0.3">
      <c r="B146" s="190" t="s">
        <v>199</v>
      </c>
      <c r="C146" s="190"/>
      <c r="D146" s="268">
        <v>0.43273591202796846</v>
      </c>
      <c r="E146" s="268">
        <v>8.1426022703487574E-2</v>
      </c>
      <c r="F146" s="268">
        <v>0.25980215620335423</v>
      </c>
      <c r="G146" s="268">
        <v>0.22603590906518969</v>
      </c>
    </row>
    <row r="147" spans="2:10" x14ac:dyDescent="0.3">
      <c r="B147" s="190" t="s">
        <v>200</v>
      </c>
      <c r="C147" s="190"/>
      <c r="D147" s="268">
        <v>0.43273591202796846</v>
      </c>
      <c r="E147" s="268">
        <v>8.1426022703487574E-2</v>
      </c>
      <c r="F147" s="268">
        <v>0.25980215620335384</v>
      </c>
      <c r="G147" s="268">
        <v>0.22603590906519025</v>
      </c>
    </row>
    <row r="148" spans="2:10" x14ac:dyDescent="0.3">
      <c r="B148" s="190" t="s">
        <v>201</v>
      </c>
      <c r="C148" s="190"/>
      <c r="D148" s="268">
        <v>0.43273591202796846</v>
      </c>
      <c r="E148" s="268">
        <v>8.1426022703487491E-2</v>
      </c>
      <c r="F148" s="268">
        <v>0.25980215620335384</v>
      </c>
      <c r="G148" s="268">
        <v>0.22603590906519025</v>
      </c>
    </row>
    <row r="149" spans="2:10" x14ac:dyDescent="0.3">
      <c r="B149" s="190" t="s">
        <v>202</v>
      </c>
      <c r="C149" s="190"/>
      <c r="D149" s="268">
        <v>0.43273591202796818</v>
      </c>
      <c r="E149" s="268">
        <v>8.1426022703487561E-2</v>
      </c>
      <c r="F149" s="268">
        <v>0.25980215620335462</v>
      </c>
      <c r="G149" s="268">
        <v>0.22603590906518975</v>
      </c>
      <c r="J149" s="24"/>
    </row>
    <row r="150" spans="2:10" x14ac:dyDescent="0.3">
      <c r="B150" s="190" t="s">
        <v>203</v>
      </c>
      <c r="C150" s="190"/>
      <c r="D150" s="268">
        <v>0.43273591202796957</v>
      </c>
      <c r="E150" s="268">
        <v>8.1426022703487561E-2</v>
      </c>
      <c r="F150" s="268">
        <v>0.25980215620335317</v>
      </c>
      <c r="G150" s="268">
        <v>0.22603590906518972</v>
      </c>
    </row>
    <row r="151" spans="2:10" x14ac:dyDescent="0.3">
      <c r="B151" s="127"/>
      <c r="C151" s="127"/>
      <c r="D151" s="127"/>
      <c r="E151" s="268">
        <v>8.1426022703487477E-2</v>
      </c>
      <c r="F151" s="127"/>
      <c r="G151" s="127"/>
    </row>
    <row r="152" spans="2:10" x14ac:dyDescent="0.3">
      <c r="B152" s="127"/>
      <c r="C152" s="127"/>
      <c r="D152" s="127"/>
      <c r="E152" s="268">
        <v>8.1426022703487561E-2</v>
      </c>
      <c r="F152" s="127"/>
      <c r="G152" s="127"/>
    </row>
    <row r="153" spans="2:10" x14ac:dyDescent="0.3">
      <c r="B153" s="127">
        <v>2022</v>
      </c>
      <c r="C153" s="190"/>
      <c r="D153" s="190" t="s">
        <v>186</v>
      </c>
      <c r="E153" s="127"/>
      <c r="F153" s="190" t="s">
        <v>187</v>
      </c>
      <c r="G153" s="190" t="s">
        <v>192</v>
      </c>
    </row>
    <row r="154" spans="2:10" x14ac:dyDescent="0.3">
      <c r="B154" s="190" t="s">
        <v>193</v>
      </c>
      <c r="C154" s="190"/>
      <c r="D154" s="190" t="s">
        <v>194</v>
      </c>
      <c r="E154" s="127"/>
      <c r="F154" s="190" t="s">
        <v>194</v>
      </c>
      <c r="G154" s="190" t="s">
        <v>194</v>
      </c>
    </row>
    <row r="155" spans="2:10" x14ac:dyDescent="0.3">
      <c r="B155" s="190"/>
      <c r="C155" s="190"/>
      <c r="D155" s="190"/>
      <c r="E155" s="190" t="s">
        <v>188</v>
      </c>
      <c r="F155" s="190"/>
      <c r="G155" s="190"/>
    </row>
    <row r="156" spans="2:10" x14ac:dyDescent="0.3">
      <c r="B156" s="190" t="s">
        <v>195</v>
      </c>
      <c r="C156" s="190"/>
      <c r="D156" s="268">
        <v>0.43273591202796846</v>
      </c>
      <c r="E156" s="190" t="s">
        <v>194</v>
      </c>
      <c r="F156" s="268">
        <v>0.25980215620335384</v>
      </c>
      <c r="G156" s="268">
        <v>0.22603590906519025</v>
      </c>
    </row>
    <row r="157" spans="2:10" x14ac:dyDescent="0.3">
      <c r="B157" s="190" t="s">
        <v>196</v>
      </c>
      <c r="C157" s="190"/>
      <c r="D157" s="268">
        <v>0.52914974745856724</v>
      </c>
      <c r="E157" s="190"/>
      <c r="F157" s="268">
        <v>0.31768624124570172</v>
      </c>
      <c r="G157" s="268">
        <v>5.3596219133103154E-2</v>
      </c>
    </row>
    <row r="158" spans="2:10" x14ac:dyDescent="0.3">
      <c r="B158" s="190" t="s">
        <v>197</v>
      </c>
      <c r="C158" s="190"/>
      <c r="D158" s="268">
        <v>0.43273591202796835</v>
      </c>
      <c r="E158" s="268">
        <v>8.1426022703487561E-2</v>
      </c>
      <c r="F158" s="268">
        <v>0.25980215620335428</v>
      </c>
      <c r="G158" s="268">
        <v>0.22603590906518967</v>
      </c>
    </row>
    <row r="159" spans="2:10" x14ac:dyDescent="0.3">
      <c r="B159" s="190" t="s">
        <v>198</v>
      </c>
      <c r="C159" s="190"/>
      <c r="D159" s="268">
        <v>0.43273591202796835</v>
      </c>
      <c r="E159" s="268">
        <v>9.9567792162627941E-2</v>
      </c>
      <c r="F159" s="268">
        <v>0.25980215620335428</v>
      </c>
      <c r="G159" s="268">
        <v>0.22603590906518967</v>
      </c>
    </row>
    <row r="160" spans="2:10" x14ac:dyDescent="0.3">
      <c r="B160" s="190" t="s">
        <v>199</v>
      </c>
      <c r="C160" s="190"/>
      <c r="D160" s="268">
        <v>0.43273591202796846</v>
      </c>
      <c r="E160" s="268">
        <v>8.1426022703487574E-2</v>
      </c>
      <c r="F160" s="268">
        <v>0.25980215620335423</v>
      </c>
      <c r="G160" s="268">
        <v>0.22603590906518969</v>
      </c>
    </row>
    <row r="161" spans="2:7" x14ac:dyDescent="0.3">
      <c r="B161" s="190" t="s">
        <v>200</v>
      </c>
      <c r="C161" s="190"/>
      <c r="D161" s="268">
        <v>0.43273591202796846</v>
      </c>
      <c r="E161" s="268">
        <v>8.1426022703487574E-2</v>
      </c>
      <c r="F161" s="268">
        <v>0.25980215620335384</v>
      </c>
      <c r="G161" s="268">
        <v>0.22603590906519025</v>
      </c>
    </row>
    <row r="162" spans="2:7" x14ac:dyDescent="0.3">
      <c r="B162" s="190" t="s">
        <v>201</v>
      </c>
      <c r="C162" s="190"/>
      <c r="D162" s="268">
        <v>0.43273591202796846</v>
      </c>
      <c r="E162" s="268">
        <v>8.1426022703487491E-2</v>
      </c>
      <c r="F162" s="268">
        <v>0.25980215620335384</v>
      </c>
      <c r="G162" s="268">
        <v>0.22603590906519025</v>
      </c>
    </row>
    <row r="163" spans="2:7" x14ac:dyDescent="0.3">
      <c r="B163" s="190" t="s">
        <v>202</v>
      </c>
      <c r="C163" s="190"/>
      <c r="D163" s="268">
        <v>0.43273591202796818</v>
      </c>
      <c r="E163" s="268">
        <v>8.1426022703487561E-2</v>
      </c>
      <c r="F163" s="268">
        <v>0.25980215620335462</v>
      </c>
      <c r="G163" s="268">
        <v>0.22603590906518975</v>
      </c>
    </row>
    <row r="164" spans="2:7" x14ac:dyDescent="0.3">
      <c r="B164" s="190" t="s">
        <v>203</v>
      </c>
      <c r="C164" s="190"/>
      <c r="D164" s="268">
        <v>0.43273591202796957</v>
      </c>
      <c r="E164" s="268">
        <v>8.1426022703487561E-2</v>
      </c>
      <c r="F164" s="268">
        <v>0.25980215620335317</v>
      </c>
      <c r="G164" s="268">
        <v>0.22603590906518972</v>
      </c>
    </row>
    <row r="165" spans="2:7" x14ac:dyDescent="0.3">
      <c r="B165" s="127"/>
      <c r="C165" s="127"/>
      <c r="D165" s="127"/>
      <c r="E165" s="268">
        <v>8.1426022703487477E-2</v>
      </c>
      <c r="F165" s="127"/>
      <c r="G165" s="127"/>
    </row>
    <row r="166" spans="2:7" x14ac:dyDescent="0.3">
      <c r="B166" s="269" t="s">
        <v>204</v>
      </c>
      <c r="C166" s="127"/>
      <c r="D166" s="127"/>
      <c r="E166" s="268">
        <v>8.1426022703487561E-2</v>
      </c>
      <c r="F166" s="127"/>
      <c r="G166" s="127"/>
    </row>
    <row r="167" spans="2:7" x14ac:dyDescent="0.3">
      <c r="B167" s="190"/>
      <c r="C167" s="190"/>
      <c r="D167" s="190" t="s">
        <v>186</v>
      </c>
      <c r="E167" s="127"/>
      <c r="F167" s="190" t="s">
        <v>187</v>
      </c>
      <c r="G167" s="190" t="s">
        <v>192</v>
      </c>
    </row>
    <row r="168" spans="2:7" x14ac:dyDescent="0.3">
      <c r="B168" s="190" t="s">
        <v>193</v>
      </c>
      <c r="C168" s="190"/>
      <c r="D168" s="268" t="s">
        <v>194</v>
      </c>
      <c r="E168" s="127"/>
      <c r="F168" s="268" t="s">
        <v>194</v>
      </c>
      <c r="G168" s="268" t="s">
        <v>194</v>
      </c>
    </row>
    <row r="169" spans="2:7" x14ac:dyDescent="0.3">
      <c r="B169" s="190"/>
      <c r="C169" s="190"/>
      <c r="D169" s="268"/>
      <c r="E169" s="190" t="s">
        <v>188</v>
      </c>
      <c r="F169" s="268"/>
      <c r="G169" s="268"/>
    </row>
    <row r="170" spans="2:7" x14ac:dyDescent="0.3">
      <c r="B170" s="190" t="s">
        <v>195</v>
      </c>
      <c r="C170" s="190"/>
      <c r="D170" s="268">
        <f t="shared" ref="D170:G180" si="43">((D156*$C$15)+(D142*$D$15))/($C$15+$D$15)</f>
        <v>0.43273591202796846</v>
      </c>
      <c r="E170" s="268" t="s">
        <v>194</v>
      </c>
      <c r="F170" s="268">
        <f t="shared" si="43"/>
        <v>0.25980215620335384</v>
      </c>
      <c r="G170" s="268">
        <f t="shared" si="43"/>
        <v>0.22603590906519025</v>
      </c>
    </row>
    <row r="171" spans="2:7" x14ac:dyDescent="0.3">
      <c r="B171" s="190" t="s">
        <v>196</v>
      </c>
      <c r="C171" s="190"/>
      <c r="D171" s="268">
        <f t="shared" si="43"/>
        <v>0.52914974745856724</v>
      </c>
      <c r="E171" s="268"/>
      <c r="F171" s="268">
        <f t="shared" si="43"/>
        <v>0.31768624124570172</v>
      </c>
      <c r="G171" s="268">
        <f t="shared" si="43"/>
        <v>5.3596219133103154E-2</v>
      </c>
    </row>
    <row r="172" spans="2:7" x14ac:dyDescent="0.3">
      <c r="B172" s="190" t="s">
        <v>197</v>
      </c>
      <c r="C172" s="190"/>
      <c r="D172" s="268">
        <f t="shared" si="43"/>
        <v>0.43273591202796835</v>
      </c>
      <c r="E172" s="268">
        <f t="shared" si="43"/>
        <v>8.1426022703487561E-2</v>
      </c>
      <c r="F172" s="268">
        <f t="shared" si="43"/>
        <v>0.25980215620335428</v>
      </c>
      <c r="G172" s="268">
        <f t="shared" si="43"/>
        <v>0.22603590906518967</v>
      </c>
    </row>
    <row r="173" spans="2:7" x14ac:dyDescent="0.3">
      <c r="B173" s="190" t="s">
        <v>198</v>
      </c>
      <c r="C173" s="190"/>
      <c r="D173" s="268">
        <f t="shared" si="43"/>
        <v>0.43273591202796835</v>
      </c>
      <c r="E173" s="268">
        <f t="shared" si="43"/>
        <v>9.9567792162627955E-2</v>
      </c>
      <c r="F173" s="268">
        <f t="shared" si="43"/>
        <v>0.25980215620335428</v>
      </c>
      <c r="G173" s="268">
        <f t="shared" si="43"/>
        <v>0.22603590906518967</v>
      </c>
    </row>
    <row r="174" spans="2:7" x14ac:dyDescent="0.3">
      <c r="B174" s="190" t="s">
        <v>199</v>
      </c>
      <c r="C174" s="190"/>
      <c r="D174" s="268">
        <f t="shared" si="43"/>
        <v>0.43273591202796846</v>
      </c>
      <c r="E174" s="268">
        <f t="shared" si="43"/>
        <v>8.1426022703487588E-2</v>
      </c>
      <c r="F174" s="268">
        <f t="shared" si="43"/>
        <v>0.25980215620335423</v>
      </c>
      <c r="G174" s="268">
        <f t="shared" si="43"/>
        <v>0.22603590906518967</v>
      </c>
    </row>
    <row r="175" spans="2:7" x14ac:dyDescent="0.3">
      <c r="B175" s="190" t="s">
        <v>200</v>
      </c>
      <c r="C175" s="190"/>
      <c r="D175" s="268">
        <f t="shared" si="43"/>
        <v>0.43273591202796846</v>
      </c>
      <c r="E175" s="268">
        <f t="shared" si="43"/>
        <v>8.1426022703487588E-2</v>
      </c>
      <c r="F175" s="268">
        <f t="shared" si="43"/>
        <v>0.25980215620335384</v>
      </c>
      <c r="G175" s="268">
        <f t="shared" si="43"/>
        <v>0.22603590906519025</v>
      </c>
    </row>
    <row r="176" spans="2:7" x14ac:dyDescent="0.3">
      <c r="B176" s="190" t="s">
        <v>201</v>
      </c>
      <c r="C176" s="190"/>
      <c r="D176" s="268">
        <f t="shared" si="43"/>
        <v>0.43273591202796846</v>
      </c>
      <c r="E176" s="268">
        <f t="shared" si="43"/>
        <v>8.1426022703487477E-2</v>
      </c>
      <c r="F176" s="268">
        <f t="shared" si="43"/>
        <v>0.25980215620335384</v>
      </c>
      <c r="G176" s="268">
        <f t="shared" si="43"/>
        <v>0.22603590906519025</v>
      </c>
    </row>
    <row r="177" spans="2:7" x14ac:dyDescent="0.3">
      <c r="B177" s="190" t="s">
        <v>202</v>
      </c>
      <c r="C177" s="190"/>
      <c r="D177" s="268">
        <f t="shared" si="43"/>
        <v>0.43273591202796818</v>
      </c>
      <c r="E177" s="268">
        <f t="shared" si="43"/>
        <v>8.1426022703487561E-2</v>
      </c>
      <c r="F177" s="268">
        <f t="shared" si="43"/>
        <v>0.25980215620335462</v>
      </c>
      <c r="G177" s="268">
        <f t="shared" si="43"/>
        <v>0.22603590906518975</v>
      </c>
    </row>
    <row r="178" spans="2:7" x14ac:dyDescent="0.3">
      <c r="B178" s="190" t="s">
        <v>203</v>
      </c>
      <c r="C178" s="190"/>
      <c r="D178" s="268">
        <f t="shared" si="43"/>
        <v>0.43273591202796957</v>
      </c>
      <c r="E178" s="268">
        <f t="shared" si="43"/>
        <v>8.1426022703487561E-2</v>
      </c>
      <c r="F178" s="268">
        <f t="shared" si="43"/>
        <v>0.25980215620335317</v>
      </c>
      <c r="G178" s="268">
        <f t="shared" si="43"/>
        <v>0.22603590906518972</v>
      </c>
    </row>
    <row r="179" spans="2:7" x14ac:dyDescent="0.3">
      <c r="E179" s="268">
        <f t="shared" si="43"/>
        <v>8.1426022703487477E-2</v>
      </c>
    </row>
    <row r="180" spans="2:7" x14ac:dyDescent="0.3">
      <c r="E180" s="268">
        <f t="shared" si="43"/>
        <v>8.1426022703487561E-2</v>
      </c>
    </row>
  </sheetData>
  <mergeCells count="11">
    <mergeCell ref="R4:T4"/>
    <mergeCell ref="U4:W4"/>
    <mergeCell ref="X4:Z4"/>
    <mergeCell ref="K12:L12"/>
    <mergeCell ref="B56:H56"/>
    <mergeCell ref="Q4:Q5"/>
    <mergeCell ref="H2:I2"/>
    <mergeCell ref="B4:B5"/>
    <mergeCell ref="C4:E4"/>
    <mergeCell ref="F4:H4"/>
    <mergeCell ref="I4:K4"/>
  </mergeCells>
  <conditionalFormatting sqref="K13:L13">
    <cfRule type="cellIs" dxfId="69" priority="1" operator="equal">
      <formula>"Escassez Hídrica"</formula>
    </cfRule>
    <cfRule type="cellIs" dxfId="68" priority="2" operator="equal">
      <formula>"VERDE"</formula>
    </cfRule>
    <cfRule type="cellIs" dxfId="67" priority="3" operator="equal">
      <formula>"BVM2"</formula>
    </cfRule>
    <cfRule type="cellIs" dxfId="66" priority="4" operator="equal">
      <formula>"BVM1"</formula>
    </cfRule>
    <cfRule type="cellIs" dxfId="65" priority="5" operator="equal">
      <formula>"BAM"</formula>
    </cfRule>
  </conditionalFormatting>
  <conditionalFormatting sqref="M3">
    <cfRule type="cellIs" dxfId="64" priority="16" operator="equal">
      <formula>"VERDE"</formula>
    </cfRule>
    <cfRule type="cellIs" dxfId="63" priority="17" operator="equal">
      <formula>"BVM2"</formula>
    </cfRule>
    <cfRule type="cellIs" dxfId="62" priority="18" operator="equal">
      <formula>"BVM1"</formula>
    </cfRule>
    <cfRule type="cellIs" dxfId="61" priority="19" operator="equal">
      <formula>"BAM"</formula>
    </cfRule>
  </conditionalFormatting>
  <conditionalFormatting sqref="M7">
    <cfRule type="containsText" dxfId="60" priority="11" operator="containsText" text="Escassez Hídrica">
      <formula>NOT(ISERROR(SEARCH("Escassez Hídrica",M7)))</formula>
    </cfRule>
    <cfRule type="cellIs" dxfId="59" priority="12" operator="equal">
      <formula>"VERDE"</formula>
    </cfRule>
    <cfRule type="cellIs" dxfId="58" priority="13" operator="equal">
      <formula>"BVM2"</formula>
    </cfRule>
    <cfRule type="cellIs" dxfId="57" priority="14" operator="equal">
      <formula>"BVM1"</formula>
    </cfRule>
    <cfRule type="cellIs" dxfId="56" priority="15" operator="equal">
      <formula>"BAM"</formula>
    </cfRule>
  </conditionalFormatting>
  <dataValidations count="1">
    <dataValidation type="list" allowBlank="1" showInputMessage="1" showErrorMessage="1" sqref="K13:L13" xr:uid="{2A12DB54-D1C7-4AD2-B58E-C885D83E99DE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ignoredErrors>
    <ignoredError sqref="E81:E82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D6A1-9AA9-47E9-A783-F6A19AE606AD}">
  <sheetPr>
    <tabColor rgb="FFFF0000"/>
  </sheetPr>
  <dimension ref="A1:Z199"/>
  <sheetViews>
    <sheetView showGridLines="0" zoomScale="90" zoomScaleNormal="90" workbookViewId="0">
      <selection activeCell="C12" sqref="C12"/>
    </sheetView>
  </sheetViews>
  <sheetFormatPr defaultColWidth="9.109375" defaultRowHeight="14.4" x14ac:dyDescent="0.3"/>
  <cols>
    <col min="1" max="1" width="5.44140625" style="19" customWidth="1"/>
    <col min="2" max="2" width="28.44140625" style="19" customWidth="1"/>
    <col min="3" max="4" width="12.6640625" style="19" customWidth="1"/>
    <col min="5" max="5" width="15" style="19" customWidth="1"/>
    <col min="6" max="7" width="14.44140625" style="19" customWidth="1"/>
    <col min="8" max="10" width="12.6640625" style="19" customWidth="1"/>
    <col min="11" max="12" width="14.33203125" style="19" customWidth="1"/>
    <col min="13" max="13" width="15" style="19" customWidth="1"/>
    <col min="14" max="14" width="12.6640625" style="19" customWidth="1"/>
    <col min="15" max="15" width="14.109375" style="19" customWidth="1"/>
    <col min="16" max="16" width="12.6640625" style="19" customWidth="1"/>
    <col min="17" max="17" width="11.8867187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20.44140625" style="19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280</v>
      </c>
      <c r="E2" s="20" t="s">
        <v>28</v>
      </c>
      <c r="F2" s="21">
        <f>'B1 Res (GD) Branca OK'!F2</f>
        <v>46241</v>
      </c>
      <c r="G2" s="1" t="s">
        <v>8</v>
      </c>
      <c r="H2" s="450" t="s">
        <v>179</v>
      </c>
      <c r="I2" s="450"/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'[4]B1 (Res) Branca OK'!N3</f>
        <v>0</v>
      </c>
    </row>
    <row r="4" spans="1:26" ht="15" customHeight="1" x14ac:dyDescent="0.3">
      <c r="B4" s="451" t="s">
        <v>31</v>
      </c>
      <c r="C4" s="453" t="str">
        <f>'Fatura B1 (GD) OK'!C4:E4</f>
        <v>TARIFA ANTIGA - REH 3370/2024</v>
      </c>
      <c r="D4" s="454"/>
      <c r="E4" s="455"/>
      <c r="F4" s="456" t="str">
        <f>'Fatura B1 (GD) OK'!F4</f>
        <v>TARIFA NOVA - REH xxxx/2025</v>
      </c>
      <c r="G4" s="456"/>
      <c r="H4" s="456"/>
      <c r="I4" s="457" t="s">
        <v>32</v>
      </c>
      <c r="J4" s="457"/>
      <c r="K4" s="457"/>
      <c r="M4" s="9" t="s">
        <v>14</v>
      </c>
      <c r="N4" s="10">
        <f>'[4]B1 (Res) Branca OK'!N4</f>
        <v>1.8849999999999999E-2</v>
      </c>
      <c r="Q4" s="451" t="s">
        <v>31</v>
      </c>
      <c r="R4" s="453" t="str">
        <f>C4</f>
        <v>TARIFA ANTIGA - REH 3370/2024</v>
      </c>
      <c r="S4" s="454"/>
      <c r="T4" s="455"/>
      <c r="U4" s="453" t="str">
        <f>F4</f>
        <v>TARIFA NOVA - REH xxxx/2025</v>
      </c>
      <c r="V4" s="454"/>
      <c r="W4" s="455"/>
      <c r="X4" s="453" t="s">
        <v>32</v>
      </c>
      <c r="Y4" s="454"/>
      <c r="Z4" s="455"/>
    </row>
    <row r="5" spans="1:26" x14ac:dyDescent="0.3">
      <c r="B5" s="452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'[4]B1 (Res) Branca OK'!N5</f>
        <v>4.4630000000000003E-2</v>
      </c>
      <c r="Q5" s="452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3">
      <c r="B6" s="30" t="s">
        <v>247</v>
      </c>
      <c r="C6" s="31">
        <f>'TABELA DE TARIFAS ANTIGAS'!G74/1000</f>
        <v>1.0610299999999999</v>
      </c>
      <c r="D6" s="31">
        <f>'TABELA DE TARIFAS ANTIGAS'!H74/1000</f>
        <v>0.48448000000000002</v>
      </c>
      <c r="E6" s="31">
        <f t="shared" ref="E6:E8" si="0">C6+D6</f>
        <v>1.5455099999999999</v>
      </c>
      <c r="F6" s="31">
        <f>'TABELA DE TARIFAS NOVAS'!G76/1000</f>
        <v>1.1286700000000001</v>
      </c>
      <c r="G6" s="31">
        <f>'TABELA DE TARIFAS NOVAS'!H76/1000</f>
        <v>0.51690999999999998</v>
      </c>
      <c r="H6" s="31">
        <f t="shared" ref="H6:H9" si="1">F6+G6</f>
        <v>1.64558</v>
      </c>
      <c r="I6" s="31">
        <f>((C6*$C$15)+(F6*$D$15))/($D$15+$C$15)</f>
        <v>1.0086635483870965</v>
      </c>
      <c r="J6" s="31">
        <f>((D6*$C$15)+(G6*$D$15))/($D$15+$C$15)</f>
        <v>0.45937290322580648</v>
      </c>
      <c r="K6" s="32">
        <f t="shared" ref="K6:K9" si="2">I6+J6</f>
        <v>1.468036451612903</v>
      </c>
      <c r="M6" s="13" t="s">
        <v>16</v>
      </c>
      <c r="N6" s="14">
        <f>'[4]B1 (Res) Branca OK'!N6</f>
        <v>7.8770000000000007E-2</v>
      </c>
      <c r="Q6" s="30" t="str">
        <f>B6</f>
        <v>B2 Ponta</v>
      </c>
      <c r="R6" s="31">
        <f>'FIO B'!H16/1000</f>
        <v>0.69302445456809059</v>
      </c>
      <c r="S6"/>
      <c r="T6"/>
      <c r="U6" s="31">
        <f>'FIO B'!K16/1000</f>
        <v>0.71111541346497797</v>
      </c>
      <c r="V6"/>
      <c r="W6"/>
      <c r="X6" s="31">
        <f>((R6*$C$15)+(U6*$D$15))/($D$15+$C$15)</f>
        <v>0.67901855090598418</v>
      </c>
      <c r="Y6"/>
      <c r="Z6"/>
    </row>
    <row r="7" spans="1:26" customFormat="1" x14ac:dyDescent="0.3">
      <c r="B7" s="30" t="s">
        <v>248</v>
      </c>
      <c r="C7" s="31">
        <f>'TABELA DE TARIFAS ANTIGAS'!G76/1000</f>
        <v>0.38965</v>
      </c>
      <c r="D7" s="31">
        <f>'TABELA DE TARIFAS ANTIGAS'!H76/1000</f>
        <v>0.30579000000000001</v>
      </c>
      <c r="E7" s="31">
        <f t="shared" si="0"/>
        <v>0.69544000000000006</v>
      </c>
      <c r="F7" s="31">
        <f>'TABELA DE TARIFAS NOVAS'!G78/1000</f>
        <v>0.42333999999999999</v>
      </c>
      <c r="G7" s="31">
        <f>'TABELA DE TARIFAS NOVAS'!H78/1000</f>
        <v>0.32106999999999997</v>
      </c>
      <c r="H7" s="31">
        <f t="shared" si="1"/>
        <v>0.74441000000000002</v>
      </c>
      <c r="I7" s="31">
        <f>((C7*$C$15)+(F7*$D$15))/($D$15+$C$15)</f>
        <v>0.36356741935483872</v>
      </c>
      <c r="J7" s="31">
        <f>((D7*$C$15)+(G7*$D$15))/($D$15+$C$15)</f>
        <v>0.29396032258064514</v>
      </c>
      <c r="K7" s="32">
        <f t="shared" si="2"/>
        <v>0.65752774193548391</v>
      </c>
      <c r="M7" s="7" t="s">
        <v>17</v>
      </c>
      <c r="N7" s="15">
        <v>0.14199999999999999</v>
      </c>
      <c r="Q7" s="30" t="str">
        <f>B7</f>
        <v>B2 Fora Ponta</v>
      </c>
      <c r="R7" s="31">
        <f>'FIO B'!H17/1000</f>
        <v>0.41581471295327371</v>
      </c>
      <c r="U7" s="31">
        <f>'FIO B'!K17/1000</f>
        <v>0.42666928934112502</v>
      </c>
      <c r="X7" s="31">
        <f>((R7*$C$15)+(U7*$D$15))/($D$15+$C$15)</f>
        <v>0.40741116994332438</v>
      </c>
    </row>
    <row r="8" spans="1:26" customFormat="1" x14ac:dyDescent="0.3">
      <c r="B8" s="30" t="s">
        <v>249</v>
      </c>
      <c r="C8" s="31">
        <f>'TABELA DE TARIFAS ANTIGAS'!G75/1000</f>
        <v>0.72533999999999998</v>
      </c>
      <c r="D8" s="31">
        <f>'TABELA DE TARIFAS ANTIGAS'!H75/1000</f>
        <v>0.30579000000000001</v>
      </c>
      <c r="E8" s="31">
        <f t="shared" si="0"/>
        <v>1.0311300000000001</v>
      </c>
      <c r="F8" s="31">
        <f>'TABELA DE TARIFAS NOVAS'!G77/1000</f>
        <v>0.77600999999999998</v>
      </c>
      <c r="G8" s="31">
        <f>'TABELA DE TARIFAS NOVAS'!H77/1000</f>
        <v>0.32106999999999997</v>
      </c>
      <c r="H8" s="31">
        <f t="shared" si="1"/>
        <v>1.0970800000000001</v>
      </c>
      <c r="I8" s="31">
        <f>((C8*$C$15)+(F8*$D$15))/($D$15+$C$15)</f>
        <v>0.68611161290322586</v>
      </c>
      <c r="J8" s="31">
        <f t="shared" ref="J8" si="3">((D8*$C$15)+(G8*$D$15))/($D$15+$C$15)</f>
        <v>0.29396032258064514</v>
      </c>
      <c r="K8" s="32">
        <f t="shared" si="2"/>
        <v>0.98007193548387095</v>
      </c>
      <c r="Q8" s="30" t="str">
        <f>B8</f>
        <v>B2 Interm.</v>
      </c>
      <c r="R8" s="31">
        <f>'FIO B'!H18/1000</f>
        <v>0.13860487080740844</v>
      </c>
      <c r="U8" s="31">
        <f>'FIO B'!K18/1000</f>
        <v>0.14222306206192598</v>
      </c>
      <c r="X8" s="31">
        <f>((R8*$C$15)+(U8*$D$15))/($D$15+$C$15)</f>
        <v>0.13580369048133034</v>
      </c>
    </row>
    <row r="9" spans="1:26" customFormat="1" x14ac:dyDescent="0.3">
      <c r="B9" s="237" t="s">
        <v>173</v>
      </c>
      <c r="C9" s="32">
        <v>1.8774721494831901E-4</v>
      </c>
      <c r="D9" s="32">
        <v>-4.4031307414479802E-3</v>
      </c>
      <c r="E9" s="32">
        <f>SUM(C9+D9)</f>
        <v>-4.2153835264996612E-3</v>
      </c>
      <c r="F9" s="32">
        <f>T13</f>
        <v>1.84189231569235E-4</v>
      </c>
      <c r="G9" s="32">
        <f>U13</f>
        <v>-5.3182974871251499E-4</v>
      </c>
      <c r="H9" s="32">
        <f t="shared" si="1"/>
        <v>-3.4764051714327999E-4</v>
      </c>
      <c r="I9" s="31">
        <f>((C9*$C$15)+(F9*$D$15))/($D$15+$C$15)</f>
        <v>1.9050178272567435E-4</v>
      </c>
      <c r="J9" s="31">
        <f>((D9*$C$15)+(G9*$D$15))/($D$15+$C$15)</f>
        <v>-7.4002669938883405E-3</v>
      </c>
      <c r="K9" s="32">
        <f t="shared" si="2"/>
        <v>-7.2097652111626663E-3</v>
      </c>
    </row>
    <row r="10" spans="1:26" x14ac:dyDescent="0.3">
      <c r="G10" s="1"/>
      <c r="H10" s="1"/>
      <c r="I10" s="1"/>
      <c r="J10" s="1"/>
      <c r="K10" s="1"/>
      <c r="O10" s="20"/>
      <c r="P10" s="223" t="s">
        <v>167</v>
      </c>
      <c r="Q10" s="224"/>
      <c r="R10" s="225" t="s">
        <v>168</v>
      </c>
      <c r="S10" s="225" t="s">
        <v>169</v>
      </c>
      <c r="T10" s="225" t="s">
        <v>35</v>
      </c>
      <c r="U10" s="225" t="s">
        <v>76</v>
      </c>
      <c r="V10" s="1"/>
      <c r="W10" s="1"/>
      <c r="X10" s="1"/>
      <c r="Y10" s="1"/>
      <c r="Z10" s="1"/>
    </row>
    <row r="11" spans="1:26" x14ac:dyDescent="0.3">
      <c r="B11" s="34"/>
      <c r="C11" s="35"/>
      <c r="D11" s="36"/>
      <c r="E11" s="35"/>
      <c r="F11" s="35"/>
      <c r="G11" s="35"/>
      <c r="H11" s="37" t="s">
        <v>37</v>
      </c>
      <c r="I11" s="1"/>
      <c r="L11" s="20" t="s">
        <v>25</v>
      </c>
      <c r="M11" s="21">
        <f>EOMONTH(B15,0)+1</f>
        <v>46204</v>
      </c>
      <c r="P11" s="226" t="s">
        <v>170</v>
      </c>
      <c r="Q11" s="227"/>
      <c r="R11" s="228"/>
      <c r="S11" s="228"/>
      <c r="T11" s="229"/>
      <c r="U11" s="229"/>
    </row>
    <row r="12" spans="1:26" x14ac:dyDescent="0.3">
      <c r="B12" s="38" t="s">
        <v>38</v>
      </c>
      <c r="C12" s="422" t="s">
        <v>406</v>
      </c>
      <c r="E12" s="1"/>
      <c r="F12" s="1"/>
      <c r="G12" s="1"/>
      <c r="H12" s="40">
        <f>E15</f>
        <v>46216</v>
      </c>
      <c r="K12" s="458" t="s">
        <v>26</v>
      </c>
      <c r="L12" s="458"/>
      <c r="P12" s="230" t="s">
        <v>171</v>
      </c>
      <c r="Q12" s="231"/>
      <c r="R12" s="232"/>
      <c r="S12" s="232"/>
      <c r="T12" s="233"/>
      <c r="U12" s="270">
        <v>0</v>
      </c>
    </row>
    <row r="13" spans="1:26" x14ac:dyDescent="0.3">
      <c r="B13" s="41"/>
      <c r="H13" s="42"/>
      <c r="K13" s="7" t="s">
        <v>14</v>
      </c>
      <c r="L13" s="7" t="s">
        <v>14</v>
      </c>
      <c r="P13" s="234" t="s">
        <v>172</v>
      </c>
      <c r="Q13" s="235"/>
      <c r="R13" s="236"/>
      <c r="S13" s="236"/>
      <c r="T13" s="271">
        <f>'B1 Res (GD) Branca OK'!T13</f>
        <v>1.84189231569235E-4</v>
      </c>
      <c r="U13" s="270">
        <f>'B1 Res (GD) Branca OK'!U13</f>
        <v>-5.3182974871251499E-4</v>
      </c>
    </row>
    <row r="14" spans="1:26" ht="27.6" x14ac:dyDescent="0.3">
      <c r="B14" s="16" t="s">
        <v>21</v>
      </c>
      <c r="C14" s="16" t="s">
        <v>22</v>
      </c>
      <c r="D14" s="16" t="s">
        <v>23</v>
      </c>
      <c r="E14" s="16" t="s">
        <v>24</v>
      </c>
      <c r="F14" s="1"/>
      <c r="G14" s="1"/>
      <c r="H14" s="43"/>
      <c r="J14" s="16" t="s">
        <v>21</v>
      </c>
      <c r="K14" s="16" t="s">
        <v>22</v>
      </c>
      <c r="L14" s="16" t="s">
        <v>23</v>
      </c>
      <c r="M14" s="16" t="s">
        <v>24</v>
      </c>
    </row>
    <row r="15" spans="1:26" x14ac:dyDescent="0.3">
      <c r="B15" s="17">
        <v>46185</v>
      </c>
      <c r="C15" s="18">
        <f>IF((F2-B15-1)&lt;0,0,(F2-B15-1))</f>
        <v>55</v>
      </c>
      <c r="D15" s="18">
        <f>E15-F2+1</f>
        <v>-24</v>
      </c>
      <c r="E15" s="17">
        <v>46216</v>
      </c>
      <c r="F15" s="44"/>
      <c r="G15" s="44"/>
      <c r="H15" s="45"/>
      <c r="J15" s="22">
        <f>B15</f>
        <v>46185</v>
      </c>
      <c r="K15" s="23">
        <f>IF((M11-J15-1)&lt;0,0,(M11-J15-1))</f>
        <v>18</v>
      </c>
      <c r="L15" s="23">
        <f>M15-M11+1</f>
        <v>13</v>
      </c>
      <c r="M15" s="22">
        <f>E15</f>
        <v>46216</v>
      </c>
    </row>
    <row r="17" spans="2:22" x14ac:dyDescent="0.3">
      <c r="B17" s="1"/>
      <c r="F17" s="248"/>
      <c r="G17"/>
      <c r="H17" s="3"/>
    </row>
    <row r="18" spans="2:22" x14ac:dyDescent="0.3">
      <c r="B18" s="5" t="s">
        <v>55</v>
      </c>
      <c r="E18" s="26" t="s">
        <v>10</v>
      </c>
      <c r="F18" s="85">
        <v>1</v>
      </c>
      <c r="G18" s="86" t="s">
        <v>9</v>
      </c>
      <c r="H18" s="85">
        <v>1</v>
      </c>
      <c r="M18" s="377" t="s">
        <v>80</v>
      </c>
      <c r="N18" s="378"/>
      <c r="O18" s="440"/>
    </row>
    <row r="19" spans="2:22" x14ac:dyDescent="0.3"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2:22" ht="42" customHeight="1" x14ac:dyDescent="0.3">
      <c r="B20" s="274" t="s">
        <v>212</v>
      </c>
      <c r="C20" s="274" t="s">
        <v>213</v>
      </c>
      <c r="D20" s="274" t="s">
        <v>214</v>
      </c>
      <c r="E20" s="275" t="s">
        <v>215</v>
      </c>
      <c r="F20" s="275" t="s">
        <v>216</v>
      </c>
      <c r="G20" s="275" t="s">
        <v>217</v>
      </c>
      <c r="H20" s="275" t="s">
        <v>218</v>
      </c>
      <c r="I20" s="275" t="s">
        <v>219</v>
      </c>
      <c r="J20" s="275" t="s">
        <v>220</v>
      </c>
      <c r="K20" s="276" t="s">
        <v>221</v>
      </c>
      <c r="L20" s="274" t="s">
        <v>222</v>
      </c>
      <c r="M20" s="275" t="s">
        <v>223</v>
      </c>
      <c r="N20" s="275" t="s">
        <v>224</v>
      </c>
      <c r="O20" s="275" t="s">
        <v>225</v>
      </c>
    </row>
    <row r="21" spans="2:22" x14ac:dyDescent="0.3"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8"/>
      <c r="M21" s="279"/>
      <c r="N21" s="279"/>
      <c r="O21" s="279"/>
    </row>
    <row r="22" spans="2:22" x14ac:dyDescent="0.3">
      <c r="B22" s="279" t="s">
        <v>267</v>
      </c>
      <c r="C22" s="280" t="s">
        <v>2</v>
      </c>
      <c r="D22" s="281">
        <v>1</v>
      </c>
      <c r="E22" s="282">
        <f t="shared" ref="E22:E28" si="4">IFERROR((ROUND(D22*K22,2)+ROUND(G22,2)+ROUND(J22,2))/ROUND(D22,4), 0)</f>
        <v>1.1800000000000002</v>
      </c>
      <c r="F22" s="283">
        <f>ROUND(D22*E22,2)</f>
        <v>1.18</v>
      </c>
      <c r="G22" s="283">
        <f>((D22*K22)/(1-$N$22-$N$24))*($N$22+$N$24)</f>
        <v>6.9770383672599384E-2</v>
      </c>
      <c r="H22" s="284">
        <f t="shared" ref="H22:H33" si="5">(IF($I$22=12%,(D22*K22)/(1-$N$22-$N$24)/(1-$C$112)/$F$112*$C$112,(D22*K22)/(1-$N$22-$N$24)/(1-$I$22)))</f>
        <v>0.3926390221085414</v>
      </c>
      <c r="I22" s="417">
        <v>0.12</v>
      </c>
      <c r="J22" s="284">
        <f>(H22*$I$22)</f>
        <v>4.7116682653024967E-2</v>
      </c>
      <c r="K22" s="282">
        <f>E64</f>
        <v>1.0610299999999999</v>
      </c>
      <c r="L22" s="47" t="s">
        <v>68</v>
      </c>
      <c r="M22" s="283">
        <f>D99</f>
        <v>1449.1697751252266</v>
      </c>
      <c r="N22" s="286">
        <f>'B1 Res (GD) Branca OK'!N19</f>
        <v>1.0999999999999999E-2</v>
      </c>
      <c r="O22" s="287">
        <f>ROUND(M22*N22,2)</f>
        <v>15.94</v>
      </c>
    </row>
    <row r="23" spans="2:22" x14ac:dyDescent="0.3">
      <c r="B23" s="279" t="s">
        <v>269</v>
      </c>
      <c r="C23" s="280" t="s">
        <v>2</v>
      </c>
      <c r="D23" s="281">
        <v>105</v>
      </c>
      <c r="E23" s="282">
        <f t="shared" si="4"/>
        <v>0.8052380952380952</v>
      </c>
      <c r="F23" s="283">
        <f t="shared" ref="F23" si="6">ROUND(D23*E23,2)</f>
        <v>84.55</v>
      </c>
      <c r="G23" s="283">
        <f t="shared" ref="G23:G28" si="7">((D23*K23)/(1-$N$22-$N$24))*($N$22+$N$24)</f>
        <v>5.0081159437280185</v>
      </c>
      <c r="H23" s="284">
        <f t="shared" si="5"/>
        <v>28.183616647127785</v>
      </c>
      <c r="I23" s="285">
        <f>I22</f>
        <v>0.12</v>
      </c>
      <c r="J23" s="284">
        <f t="shared" ref="J23:J28" si="8">(H23*$I$22)</f>
        <v>3.3820339976553342</v>
      </c>
      <c r="K23" s="282">
        <f>E66</f>
        <v>0.72533999999999998</v>
      </c>
      <c r="L23" s="47" t="s">
        <v>235</v>
      </c>
      <c r="M23" s="283">
        <f>D100</f>
        <v>1474.0168389640839</v>
      </c>
      <c r="N23" s="286">
        <f>N22</f>
        <v>1.0999999999999999E-2</v>
      </c>
      <c r="O23" s="287">
        <f>ROUND(M23*N23,2)</f>
        <v>16.21</v>
      </c>
    </row>
    <row r="24" spans="2:22" x14ac:dyDescent="0.3">
      <c r="B24" s="279" t="s">
        <v>268</v>
      </c>
      <c r="C24" s="280" t="s">
        <v>2</v>
      </c>
      <c r="D24" s="281">
        <v>888</v>
      </c>
      <c r="E24" s="282">
        <f t="shared" si="4"/>
        <v>0.43257882882882881</v>
      </c>
      <c r="F24" s="283">
        <f>ROUND(D24*E24,2)</f>
        <v>384.13</v>
      </c>
      <c r="G24" s="283">
        <f>((D24*K24)/(1-$N$22-$N$24))*($N$22+$N$24)</f>
        <v>22.752603261217097</v>
      </c>
      <c r="H24" s="284">
        <f t="shared" si="5"/>
        <v>128.04229279903373</v>
      </c>
      <c r="I24" s="285">
        <f>I22</f>
        <v>0.12</v>
      </c>
      <c r="J24" s="284">
        <f t="shared" si="8"/>
        <v>15.365075135884048</v>
      </c>
      <c r="K24" s="282">
        <f>E65</f>
        <v>0.38965</v>
      </c>
      <c r="L24" s="47" t="s">
        <v>51</v>
      </c>
      <c r="M24" s="283">
        <f>D101</f>
        <v>1449.1697751252266</v>
      </c>
      <c r="N24" s="286">
        <f>'B1 Res (GD) Branca OK'!N21</f>
        <v>5.0700000000000002E-2</v>
      </c>
      <c r="O24" s="287">
        <f>ROUND(M24*N24,2)</f>
        <v>73.47</v>
      </c>
    </row>
    <row r="25" spans="2:22" x14ac:dyDescent="0.3">
      <c r="B25" s="279" t="s">
        <v>407</v>
      </c>
      <c r="C25" s="280" t="s">
        <v>2</v>
      </c>
      <c r="D25" s="281">
        <v>2206</v>
      </c>
      <c r="E25" s="282">
        <f t="shared" ref="E25" si="9">IFERROR((ROUND(D25*K25,2)+ROUND(G25,2)+ROUND(J25,2))/ROUND(D25,4), 0)</f>
        <v>0.17303263825929283</v>
      </c>
      <c r="F25" s="283">
        <f>ROUND(D25*E25,2)</f>
        <v>381.71</v>
      </c>
      <c r="G25" s="283">
        <f>((D25*K25)/(1-$N$22-$N$24))*($N$22+$N$24)</f>
        <v>22.609118375786</v>
      </c>
      <c r="H25" s="284">
        <f t="shared" si="5"/>
        <v>127.23481888048127</v>
      </c>
      <c r="I25" s="285">
        <f>I23</f>
        <v>0.12</v>
      </c>
      <c r="J25" s="284">
        <f t="shared" ref="J25" si="10">(H25*$I$22)</f>
        <v>15.268178265657752</v>
      </c>
      <c r="K25" s="282">
        <f>J65</f>
        <v>0.15586000000000003</v>
      </c>
      <c r="L25" s="47" t="s">
        <v>236</v>
      </c>
      <c r="M25" s="283">
        <f t="shared" ref="M25" si="11">D102</f>
        <v>1474.0168389640839</v>
      </c>
      <c r="N25" s="286">
        <f>N24</f>
        <v>5.0700000000000002E-2</v>
      </c>
      <c r="O25" s="287">
        <f>ROUND(M25*N25,2)</f>
        <v>74.73</v>
      </c>
    </row>
    <row r="26" spans="2:22" x14ac:dyDescent="0.3">
      <c r="B26" s="279" t="s">
        <v>270</v>
      </c>
      <c r="C26" s="280" t="s">
        <v>2</v>
      </c>
      <c r="D26" s="288">
        <f>D22</f>
        <v>1</v>
      </c>
      <c r="E26" s="282">
        <f t="shared" si="4"/>
        <v>0.53</v>
      </c>
      <c r="F26" s="283">
        <f>ROUND(D26*E26,2)</f>
        <v>0.53</v>
      </c>
      <c r="G26" s="283">
        <f>((D26*K26)/(1-$N$22-$N$24))*($N$22+$N$24)</f>
        <v>3.1858058190344242E-2</v>
      </c>
      <c r="H26" s="284">
        <f t="shared" si="5"/>
        <v>0.17928404798275843</v>
      </c>
      <c r="I26" s="279"/>
      <c r="J26" s="284">
        <f t="shared" si="8"/>
        <v>2.1514085757931012E-2</v>
      </c>
      <c r="K26" s="282">
        <f>F64</f>
        <v>0.48448000000000002</v>
      </c>
      <c r="L26" s="47"/>
      <c r="M26" s="283"/>
      <c r="N26" s="286"/>
      <c r="O26" s="287"/>
    </row>
    <row r="27" spans="2:22" x14ac:dyDescent="0.3">
      <c r="B27" s="279" t="s">
        <v>271</v>
      </c>
      <c r="C27" s="280" t="s">
        <v>2</v>
      </c>
      <c r="D27" s="288">
        <f>D23</f>
        <v>105</v>
      </c>
      <c r="E27" s="282">
        <f t="shared" si="4"/>
        <v>0.33952380952380951</v>
      </c>
      <c r="F27" s="283">
        <f t="shared" ref="F27:F28" si="12">ROUND(D27*E27,2)</f>
        <v>35.65</v>
      </c>
      <c r="G27" s="283">
        <f t="shared" si="7"/>
        <v>2.1113295481189387</v>
      </c>
      <c r="H27" s="284">
        <f t="shared" si="5"/>
        <v>11.881694287541301</v>
      </c>
      <c r="I27" s="279"/>
      <c r="J27" s="284">
        <f t="shared" si="8"/>
        <v>1.425803314504956</v>
      </c>
      <c r="K27" s="282">
        <f>F66</f>
        <v>0.30579000000000001</v>
      </c>
      <c r="L27" s="47"/>
      <c r="M27" s="283"/>
      <c r="N27" s="286"/>
      <c r="O27" s="287"/>
    </row>
    <row r="28" spans="2:22" x14ac:dyDescent="0.3">
      <c r="B28" s="279" t="s">
        <v>272</v>
      </c>
      <c r="C28" s="280" t="s">
        <v>2</v>
      </c>
      <c r="D28" s="288">
        <f>D24</f>
        <v>888</v>
      </c>
      <c r="E28" s="282">
        <f t="shared" si="4"/>
        <v>0.33948198198198204</v>
      </c>
      <c r="F28" s="283">
        <f t="shared" si="12"/>
        <v>301.45999999999998</v>
      </c>
      <c r="G28" s="283">
        <f t="shared" si="7"/>
        <v>17.855815606948738</v>
      </c>
      <c r="H28" s="284">
        <f t="shared" si="5"/>
        <v>100.48518597463499</v>
      </c>
      <c r="I28" s="279"/>
      <c r="J28" s="284">
        <f t="shared" si="8"/>
        <v>12.058222316956199</v>
      </c>
      <c r="K28" s="282">
        <f>F65</f>
        <v>0.30579000000000001</v>
      </c>
      <c r="L28" s="343"/>
      <c r="M28" s="344"/>
      <c r="N28" s="345"/>
      <c r="O28" s="346"/>
    </row>
    <row r="29" spans="2:22" x14ac:dyDescent="0.3">
      <c r="B29" s="447" t="s">
        <v>410</v>
      </c>
      <c r="C29" s="280"/>
      <c r="D29" s="288">
        <f>D25</f>
        <v>2206</v>
      </c>
      <c r="E29" s="282">
        <f t="shared" ref="E29" si="13">IFERROR((ROUND(D29*K29,2)+ROUND(G29,2)+ROUND(J29,2))/ROUND(D29,4), 0)</f>
        <v>0.13578875793291026</v>
      </c>
      <c r="F29" s="283">
        <f t="shared" ref="F29" si="14">ROUND(D29*E29,2)</f>
        <v>299.55</v>
      </c>
      <c r="G29" s="283">
        <f t="shared" ref="G29" si="15">((D29*K29)/(1-$N$22-$N$24))*($N$22+$N$24)</f>
        <v>17.743211364382397</v>
      </c>
      <c r="H29" s="284">
        <f t="shared" si="5"/>
        <v>99.851495612632789</v>
      </c>
      <c r="I29" s="279"/>
      <c r="J29" s="284">
        <f t="shared" ref="J29" si="16">(H29*$I$22)</f>
        <v>11.982179473515934</v>
      </c>
      <c r="K29" s="282">
        <f>K65</f>
        <v>0.12231600000000002</v>
      </c>
      <c r="L29" s="46"/>
      <c r="M29" s="445"/>
      <c r="N29" s="69"/>
      <c r="O29" s="446"/>
    </row>
    <row r="30" spans="2:22" x14ac:dyDescent="0.3">
      <c r="B30" s="279" t="s">
        <v>43</v>
      </c>
      <c r="C30" s="280" t="s">
        <v>2</v>
      </c>
      <c r="D30" s="288">
        <f>IF($K$13=M4,(($D$22+$D$23+$D$24+$D$25)*($K$15)/($K$15+$L$15)),0)+IF($L$13=M4,(($D$22+$D$23+$D$24+$D$25)*($L$15)/($K$15+$L$15)),0)</f>
        <v>3200</v>
      </c>
      <c r="E30" s="282">
        <f>IFERROR((ROUND(D30*K30,2)+ROUND(G30,2)+ROUND(J30,2))/ROUND(D30,4), 0)</f>
        <v>1.2271874999999998E-2</v>
      </c>
      <c r="F30" s="283">
        <f>ROUND(D30*E30,2)</f>
        <v>39.270000000000003</v>
      </c>
      <c r="G30" s="283">
        <f>((D30*K30)/(1-$N$22-$N$24))*($N$22+$N$24)</f>
        <v>2.3258420952786953</v>
      </c>
      <c r="H30" s="284">
        <f t="shared" si="5"/>
        <v>13.088882671971767</v>
      </c>
      <c r="I30" s="279"/>
      <c r="J30" s="284">
        <f>ROUND(H30*$I$22,2)</f>
        <v>1.57</v>
      </c>
      <c r="K30" s="282">
        <f>J71</f>
        <v>1.1053168749999998E-2</v>
      </c>
      <c r="O30" s="278"/>
    </row>
    <row r="31" spans="2:22" x14ac:dyDescent="0.3">
      <c r="B31" s="279" t="s">
        <v>378</v>
      </c>
      <c r="C31" s="280" t="s">
        <v>2</v>
      </c>
      <c r="D31" s="288">
        <f>IF($K$13=M5,(($D$22+$D$23+$D$24)*($K$15)/($K$15+$L$15)),0)+IF($L$13=M5,(($D$22+$D$23+$D$24)*($L$15)/($K$15+$L$15)),0)</f>
        <v>0</v>
      </c>
      <c r="E31" s="282">
        <f t="shared" ref="E31:E33" si="17">IFERROR((ROUND(D31*K31,2)+ROUND(G31,2)+ROUND(J31,2))/ROUND(D31,4), 0)</f>
        <v>0</v>
      </c>
      <c r="F31" s="283">
        <f t="shared" ref="F31:F33" si="18">ROUND(D31*E31,2)</f>
        <v>0</v>
      </c>
      <c r="G31" s="283">
        <f t="shared" ref="G31:G33" si="19">((D31*K31)/(1-$N$22-$N$24))*($N$22+$N$24)</f>
        <v>0</v>
      </c>
      <c r="H31" s="284">
        <f t="shared" si="5"/>
        <v>0</v>
      </c>
      <c r="I31" s="279"/>
      <c r="J31" s="284">
        <f t="shared" ref="J31:J33" si="20">ROUND(H31*$I$22,2)</f>
        <v>0</v>
      </c>
      <c r="K31" s="282">
        <f t="shared" ref="K31:K33" si="21">J72</f>
        <v>0</v>
      </c>
      <c r="O31" s="278"/>
    </row>
    <row r="32" spans="2:22" x14ac:dyDescent="0.3">
      <c r="B32" s="279" t="s">
        <v>259</v>
      </c>
      <c r="C32" s="280" t="s">
        <v>2</v>
      </c>
      <c r="D32" s="288">
        <f>IF($K$13=M6,(($D$22+$D$23+$D$24)*($K$15)/($K$15+$L$15)),0)+IF($L$13=M6,(($D$22+$D$23+$D$24)*($L$15)/($K$15+$L$15)),0)</f>
        <v>0</v>
      </c>
      <c r="E32" s="282">
        <f t="shared" si="17"/>
        <v>0</v>
      </c>
      <c r="F32" s="283">
        <f t="shared" si="18"/>
        <v>0</v>
      </c>
      <c r="G32" s="283">
        <f t="shared" si="19"/>
        <v>0</v>
      </c>
      <c r="H32" s="284">
        <f t="shared" si="5"/>
        <v>0</v>
      </c>
      <c r="I32" s="279"/>
      <c r="J32" s="284">
        <f t="shared" si="20"/>
        <v>0</v>
      </c>
      <c r="K32" s="282">
        <f t="shared" si="21"/>
        <v>0</v>
      </c>
      <c r="O32" s="278"/>
      <c r="R32" s="26" t="s">
        <v>81</v>
      </c>
      <c r="S32" s="26" t="s">
        <v>82</v>
      </c>
    </row>
    <row r="33" spans="2:21" x14ac:dyDescent="0.3">
      <c r="B33" s="279" t="s">
        <v>266</v>
      </c>
      <c r="C33" s="280" t="s">
        <v>2</v>
      </c>
      <c r="D33" s="288">
        <f>IF($K$13=M7,(($D$22+$D$23+$D$24)*($K$15)/($K$15+$L$15)),0)+IF($L$13=M7,(($D$22+$D$23+$D$24)*($L$15)/($K$15+$L$15)),0)</f>
        <v>0</v>
      </c>
      <c r="E33" s="282">
        <f t="shared" si="17"/>
        <v>0</v>
      </c>
      <c r="F33" s="283">
        <f t="shared" si="18"/>
        <v>0</v>
      </c>
      <c r="G33" s="283">
        <f t="shared" si="19"/>
        <v>0</v>
      </c>
      <c r="H33" s="284">
        <f t="shared" si="5"/>
        <v>0</v>
      </c>
      <c r="I33" s="279"/>
      <c r="J33" s="284">
        <f t="shared" si="20"/>
        <v>0</v>
      </c>
      <c r="K33" s="282">
        <f t="shared" si="21"/>
        <v>0</v>
      </c>
      <c r="O33" s="278"/>
      <c r="R33" s="251">
        <f>IF(AND($B$15&lt;$F$2,$E$15&lt;$F$2),R6,IF($B$15&lt;$F$2,X6,U6))</f>
        <v>0.69302445456809059</v>
      </c>
      <c r="S33" s="134">
        <f>D64*R33</f>
        <v>0.69302445456809059</v>
      </c>
      <c r="U33" s="252"/>
    </row>
    <row r="34" spans="2:21" x14ac:dyDescent="0.3">
      <c r="B34" s="279"/>
      <c r="C34" s="280"/>
      <c r="D34" s="288"/>
      <c r="E34" s="282"/>
      <c r="F34" s="283"/>
      <c r="G34" s="283"/>
      <c r="H34" s="284"/>
      <c r="I34" s="279"/>
      <c r="J34" s="284"/>
      <c r="K34" s="282"/>
      <c r="O34" s="278"/>
      <c r="R34" s="251">
        <f>IF(AND($B$15&lt;$F$2,$E$15&lt;$F$2),R7,IF($B$15&lt;$F$2,X7,U7))</f>
        <v>0.41581471295327371</v>
      </c>
      <c r="S34" s="134">
        <f>D65*R34</f>
        <v>369.24346510250706</v>
      </c>
      <c r="U34" s="252"/>
    </row>
    <row r="35" spans="2:21" x14ac:dyDescent="0.3">
      <c r="B35" s="279" t="s">
        <v>273</v>
      </c>
      <c r="C35" s="280" t="s">
        <v>2</v>
      </c>
      <c r="D35" s="281">
        <v>0</v>
      </c>
      <c r="E35" s="282">
        <f t="shared" ref="E35:E41" si="22">IFERROR((ROUND(D35*K35,2)+ROUND(G35,2)+ROUND(J35,2))/ROUND(D35,4),0)</f>
        <v>0</v>
      </c>
      <c r="F35" s="283">
        <f t="shared" ref="F35:F40" si="23">ROUND(D35*E35,2)</f>
        <v>0</v>
      </c>
      <c r="G35" s="283">
        <f>((D35*K35)/(1-$N$23-$N$25))*($N$23+$N$25)</f>
        <v>0</v>
      </c>
      <c r="H35" s="284">
        <v>0</v>
      </c>
      <c r="I35" s="285">
        <v>0</v>
      </c>
      <c r="J35" s="284">
        <f>H35*$I$26</f>
        <v>0</v>
      </c>
      <c r="K35" s="282">
        <f>K22</f>
        <v>1.0610299999999999</v>
      </c>
      <c r="O35" s="278"/>
      <c r="R35" s="251">
        <f>IF(AND($B$15&lt;$F$2,$E$15&lt;$F$2),R8,IF($B$15&lt;$F$2,X8,U8))</f>
        <v>0.13860487080740844</v>
      </c>
      <c r="S35" s="134">
        <f>D66*R35</f>
        <v>14.553511434777885</v>
      </c>
      <c r="U35" s="252"/>
    </row>
    <row r="36" spans="2:21" x14ac:dyDescent="0.3">
      <c r="B36" s="279" t="s">
        <v>274</v>
      </c>
      <c r="C36" s="280" t="s">
        <v>2</v>
      </c>
      <c r="D36" s="281">
        <v>0</v>
      </c>
      <c r="E36" s="282">
        <f t="shared" si="22"/>
        <v>0</v>
      </c>
      <c r="F36" s="283">
        <f t="shared" si="23"/>
        <v>0</v>
      </c>
      <c r="G36" s="283">
        <f>((D36*K36)/(1-$N$23-$N$25))*($N$23+$N$25)</f>
        <v>0</v>
      </c>
      <c r="H36" s="284">
        <v>0</v>
      </c>
      <c r="I36" s="285">
        <v>0</v>
      </c>
      <c r="J36" s="284">
        <f t="shared" ref="J36:J37" si="24">H36*$I$26</f>
        <v>0</v>
      </c>
      <c r="K36" s="282">
        <f>K23</f>
        <v>0.72533999999999998</v>
      </c>
      <c r="O36" s="278"/>
      <c r="S36" s="141">
        <f>SUM(S33:S35)</f>
        <v>384.49000099185304</v>
      </c>
      <c r="U36" s="252"/>
    </row>
    <row r="37" spans="2:21" x14ac:dyDescent="0.3">
      <c r="B37" s="279" t="s">
        <v>275</v>
      </c>
      <c r="C37" s="280" t="s">
        <v>2</v>
      </c>
      <c r="D37" s="281">
        <v>1317.2327565392341</v>
      </c>
      <c r="E37" s="282">
        <f t="shared" si="22"/>
        <v>0.41527207643174385</v>
      </c>
      <c r="F37" s="283">
        <f t="shared" si="23"/>
        <v>547.01</v>
      </c>
      <c r="G37" s="283">
        <f>((D37*K37)/(1-$N$23-$N$25))*($N$23+$N$25)</f>
        <v>33.750534135379006</v>
      </c>
      <c r="H37" s="284">
        <v>0</v>
      </c>
      <c r="I37" s="285">
        <v>0</v>
      </c>
      <c r="J37" s="284">
        <f t="shared" si="24"/>
        <v>0</v>
      </c>
      <c r="K37" s="282">
        <f>K24</f>
        <v>0.38965</v>
      </c>
      <c r="O37" s="278"/>
      <c r="S37" s="252"/>
      <c r="U37" s="252"/>
    </row>
    <row r="38" spans="2:21" x14ac:dyDescent="0.3">
      <c r="B38" s="279" t="s">
        <v>411</v>
      </c>
      <c r="C38" s="280"/>
      <c r="D38" s="281"/>
      <c r="E38" s="282"/>
      <c r="F38" s="283"/>
      <c r="G38" s="283"/>
      <c r="H38" s="284"/>
      <c r="I38" s="285"/>
      <c r="J38" s="284"/>
      <c r="K38" s="282"/>
      <c r="O38" s="278"/>
      <c r="S38" s="252"/>
      <c r="U38" s="252"/>
    </row>
    <row r="39" spans="2:21" x14ac:dyDescent="0.3">
      <c r="B39" s="279" t="s">
        <v>276</v>
      </c>
      <c r="C39" s="280" t="s">
        <v>2</v>
      </c>
      <c r="D39" s="288">
        <f>D35</f>
        <v>0</v>
      </c>
      <c r="E39" s="282">
        <f t="shared" si="22"/>
        <v>0</v>
      </c>
      <c r="F39" s="283">
        <f t="shared" si="23"/>
        <v>0</v>
      </c>
      <c r="G39" s="283">
        <f>((D39*K39)/(1-$N$23-$N$25))*($N$23+$N$25)</f>
        <v>0</v>
      </c>
      <c r="H39" s="284">
        <f>(IF($I$39=12%,(D39*K39)/(1-$N$22-$N$24)/(1-$C$123)/$F$123*$C$123,(D39*K39)/(1-$N$22-$N$24)/(1-$I$39)))</f>
        <v>0</v>
      </c>
      <c r="I39" s="285">
        <f>$I$22</f>
        <v>0.12</v>
      </c>
      <c r="J39" s="284">
        <f t="shared" ref="J39:J40" si="25">H39*$I$39</f>
        <v>0</v>
      </c>
      <c r="K39" s="282">
        <f>K26</f>
        <v>0.48448000000000002</v>
      </c>
      <c r="M39" s="449">
        <v>658.6164</v>
      </c>
      <c r="O39" s="278"/>
      <c r="S39" s="252"/>
      <c r="U39" s="252"/>
    </row>
    <row r="40" spans="2:21" x14ac:dyDescent="0.3">
      <c r="B40" s="279" t="s">
        <v>277</v>
      </c>
      <c r="C40" s="280" t="s">
        <v>2</v>
      </c>
      <c r="D40" s="288">
        <f>D36</f>
        <v>0</v>
      </c>
      <c r="E40" s="282">
        <f t="shared" si="22"/>
        <v>0</v>
      </c>
      <c r="F40" s="283">
        <f t="shared" si="23"/>
        <v>0</v>
      </c>
      <c r="G40" s="283">
        <f>((D40*K40)/(1-$N$23-$N$25))*($N$23+$N$25)</f>
        <v>0</v>
      </c>
      <c r="H40" s="284">
        <f>(IF($I$39=12%,(D40*K40)/(1-$N$22-$N$24)/(1-$C$123)/$F$123*$C$123,(D40*K40)/(1-$N$22-$N$24)/(1-$I$39)))</f>
        <v>0</v>
      </c>
      <c r="I40" s="285">
        <f>$I$22</f>
        <v>0.12</v>
      </c>
      <c r="J40" s="284">
        <f t="shared" si="25"/>
        <v>0</v>
      </c>
      <c r="K40" s="282">
        <f>K27</f>
        <v>0.30579000000000001</v>
      </c>
      <c r="M40" s="449">
        <v>786.60360000000003</v>
      </c>
      <c r="O40" s="278"/>
      <c r="S40" s="252"/>
      <c r="U40" s="252"/>
    </row>
    <row r="41" spans="2:21" x14ac:dyDescent="0.3">
      <c r="B41" s="279" t="s">
        <v>278</v>
      </c>
      <c r="C41" s="280" t="s">
        <v>2</v>
      </c>
      <c r="D41" s="288">
        <f>D37</f>
        <v>1317.2327565392341</v>
      </c>
      <c r="E41" s="282">
        <f t="shared" si="22"/>
        <v>0.33948441004505808</v>
      </c>
      <c r="F41" s="283">
        <f>ROUND(D41*E41,2)</f>
        <v>447.18</v>
      </c>
      <c r="G41" s="283">
        <f>((D41*K41)/(1-$N$23-$N$25))*($N$23+$N$25)</f>
        <v>26.486785148870908</v>
      </c>
      <c r="H41" s="284">
        <f>(IF($I$39=12%,(D41*K41)/(1-$N$22-$N$24)/(1-$C$123)/$F$123*$C$123,(D41*K41)/(1-$N$22-$N$24)/(1-$I$39)))</f>
        <v>149.05673255937617</v>
      </c>
      <c r="I41" s="285">
        <f>$I$22</f>
        <v>0.12</v>
      </c>
      <c r="J41" s="284">
        <f>H41*$I$39</f>
        <v>17.886807907125139</v>
      </c>
      <c r="K41" s="282">
        <f>K28</f>
        <v>0.30579000000000001</v>
      </c>
      <c r="M41" s="19">
        <f>SUM(M39:M40)</f>
        <v>1445.22</v>
      </c>
      <c r="O41" s="278"/>
      <c r="S41" s="252"/>
      <c r="U41" s="252"/>
    </row>
    <row r="42" spans="2:21" x14ac:dyDescent="0.3">
      <c r="B42" s="279" t="s">
        <v>412</v>
      </c>
      <c r="C42" s="280"/>
      <c r="D42" s="288"/>
      <c r="E42" s="282"/>
      <c r="F42" s="283"/>
      <c r="G42" s="283"/>
      <c r="H42" s="284"/>
      <c r="I42" s="285"/>
      <c r="J42" s="284"/>
      <c r="K42" s="282"/>
      <c r="O42" s="278"/>
      <c r="S42" s="252"/>
      <c r="U42" s="252"/>
    </row>
    <row r="43" spans="2:21" x14ac:dyDescent="0.3">
      <c r="B43" s="279" t="s">
        <v>234</v>
      </c>
      <c r="C43" s="280" t="s">
        <v>2</v>
      </c>
      <c r="D43" s="288">
        <f>IF($K$13=M4,(($D$35+$D$36+$D$37)*($K$15)/($K$15+$L$15)),0)+IF($L$13=M4,(($D$35+$D$36+$D$37)*($L$15)/($K$15+$L$15)),0)</f>
        <v>1317.2327565392338</v>
      </c>
      <c r="E43" s="282">
        <f>IFERROR((ROUND(D43*K43,2)+ROUND(G43,2)+ROUND(J43,2))/ROUND(D43,4),0)</f>
        <v>2.0922649360082743E-2</v>
      </c>
      <c r="F43" s="283">
        <f t="shared" ref="F43:F46" si="26">ROUND(D43*E43,2)</f>
        <v>27.56</v>
      </c>
      <c r="G43" s="283">
        <f>((D43*K43)/(1-$N$23-$N$25))*($N$23+$N$25)</f>
        <v>1.6327410970149985</v>
      </c>
      <c r="H43" s="284">
        <f>(IF($I$39=12%,(D43*K43)/(1-$N$22-$N$24)/(1-$C$123)/$F$123*$C$123,(D43*K43)/(1-$N$22-$N$24)/(1-$I$39)))</f>
        <v>9.1883953325623455</v>
      </c>
      <c r="I43" s="279"/>
      <c r="J43" s="284">
        <f>H43*$I$39</f>
        <v>1.1026074399074814</v>
      </c>
      <c r="K43" s="282">
        <f>J87</f>
        <v>1.8849999999999999E-2</v>
      </c>
      <c r="O43" s="278"/>
    </row>
    <row r="44" spans="2:21" x14ac:dyDescent="0.3">
      <c r="B44" s="279" t="s">
        <v>261</v>
      </c>
      <c r="C44" s="280" t="s">
        <v>2</v>
      </c>
      <c r="D44" s="288">
        <f>IF($K$13=M5,(($D$35+$D$36+$D$37)*($K$15)/($K$15+$L$15)),0)+IF($L$13=M5,(($D$35+$D$36+$D$37)*($L$15)/($K$15+$L$15)),0)</f>
        <v>0</v>
      </c>
      <c r="E44" s="282">
        <f t="shared" ref="E44:E46" si="27">IFERROR((ROUND(D44*K44,2)+ROUND(G44,2)+ROUND(J44,2))/ROUND(D44,4),0)</f>
        <v>0</v>
      </c>
      <c r="F44" s="283">
        <f t="shared" si="26"/>
        <v>0</v>
      </c>
      <c r="G44" s="283">
        <f>((D44*K44)/(1-$N$23-$N$25))*($N$23+$N$25)</f>
        <v>0</v>
      </c>
      <c r="H44" s="284">
        <f>(IF($I$39=12%,(D44*K44)/(1-$N$22-$N$24)/(1-$C$123)/$F$123*$C$123,(D44*K44)/(1-$N$22-$N$24)/(1-$I$39)))</f>
        <v>0</v>
      </c>
      <c r="I44" s="279"/>
      <c r="J44" s="284">
        <f t="shared" ref="J44:J46" si="28">H44*$I$39</f>
        <v>0</v>
      </c>
      <c r="K44" s="282">
        <f>N5</f>
        <v>4.4630000000000003E-2</v>
      </c>
      <c r="O44" s="278"/>
      <c r="Q44" s="56"/>
      <c r="R44" s="56"/>
      <c r="T44" s="56"/>
    </row>
    <row r="45" spans="2:21" x14ac:dyDescent="0.3">
      <c r="B45" s="279" t="s">
        <v>262</v>
      </c>
      <c r="C45" s="280" t="s">
        <v>2</v>
      </c>
      <c r="D45" s="288">
        <f>IF($K$13=M6,(($D$35+$D$36+$D$37)*($K$15)/($K$15+$L$15)),0)+IF($L$13=M6,(($D$35+$D$36+$D$37)*($L$15)/($K$15+$L$15)),0)</f>
        <v>0</v>
      </c>
      <c r="E45" s="282">
        <f t="shared" si="27"/>
        <v>0</v>
      </c>
      <c r="F45" s="283">
        <f t="shared" si="26"/>
        <v>0</v>
      </c>
      <c r="G45" s="283">
        <f>((D45*K45)/(1-$N$23-$N$25))*($N$23+$N$25)</f>
        <v>0</v>
      </c>
      <c r="H45" s="284">
        <f>(IF($I$39=12%,(D45*K45)/(1-$N$22-$N$24)/(1-$C$123)/$F$123*$C$123,(D45*K45)/(1-$N$22-$N$24)/(1-$I$39)))</f>
        <v>0</v>
      </c>
      <c r="I45" s="279"/>
      <c r="J45" s="284">
        <f t="shared" si="28"/>
        <v>0</v>
      </c>
      <c r="K45" s="282">
        <f>N6</f>
        <v>7.8770000000000007E-2</v>
      </c>
      <c r="O45" s="278"/>
      <c r="S45" s="291"/>
    </row>
    <row r="46" spans="2:21" x14ac:dyDescent="0.3">
      <c r="B46" s="279" t="s">
        <v>263</v>
      </c>
      <c r="C46" s="280" t="s">
        <v>2</v>
      </c>
      <c r="D46" s="288">
        <f>IF($K$13=M7,(($D$35+$D$36+$D$37)*($K$15)/($K$15+$L$15)),0)+IF($L$13=M7,(($D$35+$D$36+$D$37)*($L$15)/($K$15+$L$15)),0)</f>
        <v>0</v>
      </c>
      <c r="E46" s="282">
        <f t="shared" si="27"/>
        <v>0</v>
      </c>
      <c r="F46" s="283">
        <f t="shared" si="26"/>
        <v>0</v>
      </c>
      <c r="G46" s="283">
        <f>((D46*K46)/(1-$N$23-$N$25))*($N$23+$N$25)</f>
        <v>0</v>
      </c>
      <c r="H46" s="284">
        <f>(IF($I$39=12%,(D46*K46)/(1-$N$22-$N$24)/(1-$C$123)/$F$123*$C$123,(D46*K46)/(1-$N$22-$N$24)/(1-$I$39)))</f>
        <v>0</v>
      </c>
      <c r="I46" s="279"/>
      <c r="J46" s="284">
        <f t="shared" si="28"/>
        <v>0</v>
      </c>
      <c r="K46" s="282">
        <f>N7</f>
        <v>0.14199999999999999</v>
      </c>
      <c r="O46" s="278"/>
      <c r="S46" s="291"/>
    </row>
    <row r="47" spans="2:21" x14ac:dyDescent="0.3">
      <c r="B47" s="279"/>
      <c r="C47" s="280"/>
      <c r="D47" s="288"/>
      <c r="E47" s="282"/>
      <c r="F47" s="283"/>
      <c r="G47" s="283"/>
      <c r="H47" s="284"/>
      <c r="I47" s="279"/>
      <c r="J47" s="284"/>
      <c r="K47" s="282"/>
      <c r="O47" s="278"/>
      <c r="S47" s="291"/>
    </row>
    <row r="48" spans="2:21" x14ac:dyDescent="0.3">
      <c r="B48" s="279" t="s">
        <v>229</v>
      </c>
      <c r="C48" s="279"/>
      <c r="D48" s="288"/>
      <c r="E48" s="279"/>
      <c r="F48" s="292">
        <v>332.74</v>
      </c>
      <c r="G48" s="279"/>
      <c r="H48" s="279"/>
      <c r="I48" s="279"/>
      <c r="J48" s="279"/>
      <c r="K48" s="279"/>
      <c r="O48" s="278"/>
      <c r="S48" s="291"/>
    </row>
    <row r="49" spans="2:22" x14ac:dyDescent="0.3">
      <c r="B49" s="279" t="s">
        <v>228</v>
      </c>
      <c r="C49" s="279"/>
      <c r="D49" s="288"/>
      <c r="E49" s="279"/>
      <c r="F49" s="292">
        <v>0.54</v>
      </c>
      <c r="G49" s="279"/>
      <c r="H49" s="279"/>
      <c r="I49" s="279"/>
      <c r="J49" s="279"/>
      <c r="K49" s="279"/>
      <c r="O49" s="278"/>
      <c r="S49" s="291"/>
    </row>
    <row r="50" spans="2:22" x14ac:dyDescent="0.3">
      <c r="B50" s="279" t="s">
        <v>260</v>
      </c>
      <c r="C50" s="279"/>
      <c r="D50" s="288"/>
      <c r="E50" s="279"/>
      <c r="F50" s="292">
        <v>16.3</v>
      </c>
      <c r="G50" s="279"/>
      <c r="H50" s="279"/>
      <c r="I50" s="279"/>
      <c r="J50" s="279"/>
      <c r="K50" s="279"/>
      <c r="O50" s="278"/>
      <c r="S50" s="291"/>
    </row>
    <row r="51" spans="2:22" x14ac:dyDescent="0.3">
      <c r="B51" s="279" t="s">
        <v>230</v>
      </c>
      <c r="C51" s="279"/>
      <c r="D51" s="288"/>
      <c r="E51" s="279"/>
      <c r="F51" s="292"/>
      <c r="G51" s="279"/>
      <c r="H51" s="279"/>
      <c r="I51" s="279"/>
      <c r="J51" s="279"/>
      <c r="K51" s="279"/>
      <c r="O51" s="278"/>
    </row>
    <row r="52" spans="2:22" x14ac:dyDescent="0.3">
      <c r="B52" s="279"/>
      <c r="C52" s="279"/>
      <c r="D52" s="288"/>
      <c r="E52" s="279"/>
      <c r="F52" s="279"/>
      <c r="G52" s="279"/>
      <c r="H52" s="279"/>
      <c r="I52" s="279"/>
      <c r="J52" s="279"/>
      <c r="K52" s="279"/>
      <c r="O52" s="278"/>
    </row>
    <row r="53" spans="2:22" x14ac:dyDescent="0.3">
      <c r="B53" s="279"/>
      <c r="C53" s="279"/>
      <c r="D53" s="288"/>
      <c r="E53" s="279"/>
      <c r="F53" s="279"/>
      <c r="G53" s="279"/>
      <c r="H53" s="279"/>
      <c r="I53" s="279"/>
      <c r="J53" s="279"/>
      <c r="K53" s="279"/>
      <c r="O53" s="278"/>
    </row>
    <row r="54" spans="2:22" x14ac:dyDescent="0.3">
      <c r="B54" s="293" t="s">
        <v>135</v>
      </c>
      <c r="C54" s="289"/>
      <c r="D54" s="294"/>
      <c r="E54" s="289"/>
      <c r="F54" s="295">
        <f>SUM(F22:F53)</f>
        <v>2899.3599999999997</v>
      </c>
      <c r="G54" s="296">
        <f>SUM(G22:G53)</f>
        <v>152.37772501858771</v>
      </c>
      <c r="H54" s="297">
        <f>SUM(H22:H53)</f>
        <v>667.58503783545348</v>
      </c>
      <c r="I54" s="289"/>
      <c r="J54" s="297">
        <f>SUM(J22:J53)</f>
        <v>80.109538619617794</v>
      </c>
      <c r="K54" s="289"/>
      <c r="L54" s="75"/>
      <c r="M54" s="75"/>
      <c r="N54" s="75"/>
      <c r="O54" s="261"/>
    </row>
    <row r="56" spans="2:22" x14ac:dyDescent="0.3">
      <c r="B56" s="298" t="s">
        <v>231</v>
      </c>
      <c r="C56" s="299">
        <f>D105</f>
        <v>2311.2327565392343</v>
      </c>
      <c r="D56" s="300">
        <f>E105</f>
        <v>1.8774721494831901E-4</v>
      </c>
      <c r="E56" s="300">
        <f>F105</f>
        <v>-4.4031307414479802E-3</v>
      </c>
      <c r="F56" s="298">
        <f>C56*(D56+E56)</f>
        <v>-9.7427324878218897</v>
      </c>
    </row>
    <row r="58" spans="2:22" x14ac:dyDescent="0.3"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2:22" x14ac:dyDescent="0.3">
      <c r="G59" s="443" t="s">
        <v>409</v>
      </c>
      <c r="H59" s="444">
        <v>0.6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2:22" x14ac:dyDescent="0.3">
      <c r="B60" s="459" t="s">
        <v>183</v>
      </c>
      <c r="C60" s="460"/>
      <c r="D60" s="460"/>
      <c r="E60" s="460"/>
      <c r="F60" s="460"/>
      <c r="G60" s="460"/>
      <c r="H60" s="461"/>
      <c r="I60" s="1"/>
      <c r="J60" s="124"/>
      <c r="K60" s="1"/>
      <c r="L60" s="1"/>
      <c r="M60" s="1"/>
      <c r="N60" s="1"/>
      <c r="O60" s="1"/>
      <c r="P60" s="1"/>
    </row>
    <row r="61" spans="2:22" x14ac:dyDescent="0.3">
      <c r="B61" s="41"/>
      <c r="D61" s="46" t="s">
        <v>40</v>
      </c>
      <c r="E61" s="46" t="s">
        <v>10</v>
      </c>
      <c r="F61" s="46" t="s">
        <v>9</v>
      </c>
      <c r="G61" s="46" t="s">
        <v>34</v>
      </c>
      <c r="H61" s="47" t="s">
        <v>7</v>
      </c>
      <c r="I61" s="1"/>
      <c r="M61" s="1"/>
      <c r="N61" s="1"/>
      <c r="O61" s="1"/>
      <c r="P61" s="1"/>
    </row>
    <row r="62" spans="2:22" x14ac:dyDescent="0.3">
      <c r="B62" s="48" t="s">
        <v>41</v>
      </c>
      <c r="C62" s="49"/>
      <c r="D62" s="50"/>
      <c r="E62" s="50"/>
      <c r="F62" s="50"/>
      <c r="G62" s="50"/>
      <c r="H62" s="51">
        <f>SUM(H64:H73)+SUM(H99:H103)</f>
        <v>1600.4986880528618</v>
      </c>
      <c r="I62" s="1"/>
      <c r="J62" s="1"/>
      <c r="K62" s="1"/>
      <c r="L62" s="1"/>
      <c r="M62" s="1"/>
      <c r="N62" s="1"/>
      <c r="O62" s="1"/>
      <c r="P62" s="1"/>
    </row>
    <row r="63" spans="2:22" x14ac:dyDescent="0.3">
      <c r="B63" s="41"/>
      <c r="D63" s="46"/>
      <c r="E63" s="46"/>
      <c r="F63" s="46"/>
      <c r="G63" s="46"/>
      <c r="H63" s="52"/>
      <c r="I63" s="1"/>
      <c r="J63"/>
      <c r="K63"/>
      <c r="L63"/>
      <c r="M63" s="1"/>
      <c r="N63" s="1"/>
      <c r="O63" s="1"/>
      <c r="P63" s="1"/>
    </row>
    <row r="64" spans="2:22" x14ac:dyDescent="0.3">
      <c r="B64" s="41" t="s">
        <v>83</v>
      </c>
      <c r="D64" s="249">
        <f>D22</f>
        <v>1</v>
      </c>
      <c r="E64" s="53">
        <f t="shared" ref="E64:F66" si="29">IF(AND($B$15&lt;$F$2,$E$15&lt;$F$2),C6,IF($B$15&lt;$F$2,I6,F6))</f>
        <v>1.0610299999999999</v>
      </c>
      <c r="F64" s="250">
        <f t="shared" si="29"/>
        <v>0.48448000000000002</v>
      </c>
      <c r="G64" s="53">
        <f>E64+F64</f>
        <v>1.5455099999999999</v>
      </c>
      <c r="H64" s="54">
        <f>ROUND((D64*E64),2)+ROUND((D64*F64),2)</f>
        <v>1.54</v>
      </c>
      <c r="I64" s="1"/>
      <c r="J64" s="26" t="s">
        <v>414</v>
      </c>
      <c r="K64"/>
      <c r="L64"/>
      <c r="M64" s="1"/>
      <c r="N64" s="1"/>
      <c r="O64" s="1"/>
      <c r="P64" s="1"/>
      <c r="U64" s="252"/>
    </row>
    <row r="65" spans="2:21" x14ac:dyDescent="0.3">
      <c r="B65" s="41" t="s">
        <v>84</v>
      </c>
      <c r="D65" s="249">
        <f>D24</f>
        <v>888</v>
      </c>
      <c r="E65" s="53">
        <f t="shared" si="29"/>
        <v>0.38965</v>
      </c>
      <c r="F65" s="250">
        <f t="shared" si="29"/>
        <v>0.30579000000000001</v>
      </c>
      <c r="G65" s="53">
        <f t="shared" ref="G65:G66" si="30">E65+F65</f>
        <v>0.69544000000000006</v>
      </c>
      <c r="H65" s="54">
        <f t="shared" ref="H65:H66" si="31">ROUND((D65*E65),2)+ROUND((D65*F65),2)</f>
        <v>617.54999999999995</v>
      </c>
      <c r="I65" s="1"/>
      <c r="J65" s="448">
        <f>(($D$67*E67)-($D$67*E67*$H$59))/$D$67</f>
        <v>0.15586000000000003</v>
      </c>
      <c r="K65" s="448">
        <f>(($D$67*F67)-($D$67*F67*$H$59))/$D$67</f>
        <v>0.12231600000000002</v>
      </c>
      <c r="L65" s="327"/>
      <c r="M65" s="1"/>
      <c r="N65" s="1"/>
      <c r="O65" s="1"/>
      <c r="P65" s="1"/>
      <c r="U65" s="252"/>
    </row>
    <row r="66" spans="2:21" x14ac:dyDescent="0.3">
      <c r="B66" s="41" t="s">
        <v>184</v>
      </c>
      <c r="D66" s="249">
        <f>D23</f>
        <v>105</v>
      </c>
      <c r="E66" s="53">
        <f t="shared" si="29"/>
        <v>0.72533999999999998</v>
      </c>
      <c r="F66" s="250">
        <f t="shared" si="29"/>
        <v>0.30579000000000001</v>
      </c>
      <c r="G66" s="53">
        <f t="shared" si="30"/>
        <v>1.0311300000000001</v>
      </c>
      <c r="H66" s="54">
        <f t="shared" si="31"/>
        <v>108.27</v>
      </c>
      <c r="I66" s="1"/>
      <c r="J66" s="448"/>
      <c r="K66" s="1"/>
      <c r="L66" s="327"/>
      <c r="M66" s="1"/>
      <c r="N66" s="1"/>
      <c r="O66" s="1"/>
      <c r="P66" s="1"/>
      <c r="U66" s="252"/>
    </row>
    <row r="67" spans="2:21" x14ac:dyDescent="0.3">
      <c r="B67" s="41" t="s">
        <v>408</v>
      </c>
      <c r="D67" s="249">
        <f>D25</f>
        <v>2206</v>
      </c>
      <c r="E67" s="53">
        <f>IF(AND($B$15&lt;$F$2,$E$15&lt;$F$2),C7,IF($B$15&lt;$F$2,I7,F7))</f>
        <v>0.38965</v>
      </c>
      <c r="F67" s="250">
        <f>IF(AND($B$15&lt;$F$2,$E$15&lt;$F$2),D7,IF($B$15&lt;$F$2,J7,G7))</f>
        <v>0.30579000000000001</v>
      </c>
      <c r="G67" s="53">
        <f t="shared" ref="G67" si="32">E67+F67</f>
        <v>0.69544000000000006</v>
      </c>
      <c r="H67" s="54">
        <f t="shared" ref="H67" si="33">ROUND((D67*E67),2)+ROUND((D67*F67),2)</f>
        <v>1534.14</v>
      </c>
      <c r="I67" s="1"/>
      <c r="J67" s="448"/>
      <c r="K67" s="1"/>
      <c r="L67" s="327"/>
      <c r="M67" s="1"/>
      <c r="N67" s="1"/>
      <c r="O67" s="1"/>
      <c r="P67" s="1"/>
      <c r="U67" s="252"/>
    </row>
    <row r="68" spans="2:21" x14ac:dyDescent="0.3">
      <c r="B68" s="41" t="s">
        <v>420</v>
      </c>
      <c r="D68" s="249"/>
      <c r="E68" s="53"/>
      <c r="F68" s="250"/>
      <c r="G68" s="53"/>
      <c r="H68" s="54">
        <f>-H67*$H$59</f>
        <v>-920.48400000000004</v>
      </c>
      <c r="I68" s="1"/>
      <c r="J68" s="448"/>
      <c r="K68" s="1"/>
      <c r="L68" s="327"/>
      <c r="M68" s="1"/>
      <c r="N68" s="1"/>
      <c r="O68" s="1"/>
      <c r="P68" s="1"/>
      <c r="U68" s="252"/>
    </row>
    <row r="69" spans="2:21" x14ac:dyDescent="0.3">
      <c r="B69" s="41"/>
      <c r="D69" s="55"/>
      <c r="E69" s="56"/>
      <c r="F69" s="57"/>
      <c r="G69" s="57"/>
      <c r="H69" s="54"/>
      <c r="I69" s="1"/>
      <c r="J69" s="1"/>
      <c r="K69"/>
      <c r="L69"/>
      <c r="M69"/>
      <c r="N69" s="1"/>
      <c r="O69" s="1"/>
      <c r="P69" s="1"/>
      <c r="U69" s="252"/>
    </row>
    <row r="70" spans="2:21" x14ac:dyDescent="0.3">
      <c r="B70" s="41" t="s">
        <v>43</v>
      </c>
      <c r="D70" s="58">
        <f>IF($K$13=M4,((D64+D65+D66)*(K15)/(K15+L15)),0)+IF($L$13=M4,((D64+D65+D66)*(L15)/(K15+L15)),0)</f>
        <v>994</v>
      </c>
      <c r="F70" s="59">
        <f>N4</f>
        <v>1.8849999999999999E-2</v>
      </c>
      <c r="G70" s="59"/>
      <c r="H70" s="54">
        <f>ROUND(D70*(E70+F70),2)</f>
        <v>18.739999999999998</v>
      </c>
      <c r="I70" s="1"/>
      <c r="J70" s="26" t="s">
        <v>413</v>
      </c>
      <c r="K70"/>
      <c r="L70"/>
      <c r="M70"/>
      <c r="N70" s="1"/>
      <c r="O70" s="1"/>
      <c r="P70" s="1"/>
    </row>
    <row r="71" spans="2:21" x14ac:dyDescent="0.3">
      <c r="B71" s="41" t="s">
        <v>44</v>
      </c>
      <c r="D71" s="58">
        <f>IF($K$13=M5,((D64+D65+D66)*(K15)/(K15+L15)),0)+IF($L$13=M5,((D64+D65+D66)*(L15)/(K15+L15)),0)</f>
        <v>0</v>
      </c>
      <c r="F71" s="59">
        <f>N5</f>
        <v>4.4630000000000003E-2</v>
      </c>
      <c r="G71" s="59"/>
      <c r="H71" s="54">
        <f>ROUND(D71*(E71+F71),2)</f>
        <v>0</v>
      </c>
      <c r="I71" s="1"/>
      <c r="J71" s="448">
        <f>IFERROR(((($D$70*$F$70)+($D$75*$F$75))-($D$75*$F$75*$H$59))/($D$70+$D$75), 0)</f>
        <v>1.1053168749999998E-2</v>
      </c>
      <c r="K71" s="448"/>
      <c r="L71"/>
      <c r="M71"/>
      <c r="N71" s="1"/>
      <c r="O71" s="1"/>
      <c r="P71" s="1"/>
    </row>
    <row r="72" spans="2:21" x14ac:dyDescent="0.3">
      <c r="B72" s="41" t="s">
        <v>45</v>
      </c>
      <c r="D72" s="58">
        <f>IF($K$13=M6,((D64+D65+D66)*(K15)/(K15+L15)),0)+IF($L$13=M6,((D64+D65+D66)*(L15)/(K15+L15)),0)</f>
        <v>0</v>
      </c>
      <c r="F72" s="59">
        <f>N6</f>
        <v>7.8770000000000007E-2</v>
      </c>
      <c r="G72" s="59"/>
      <c r="H72" s="54">
        <f>ROUND(D72*(E72+F72),2)</f>
        <v>0</v>
      </c>
      <c r="I72" s="1"/>
      <c r="J72" s="448">
        <f t="shared" ref="J72:J74" si="34">IFERROR((((D71*F71)+(D76*F76))-(D76*F76*$H$59))/(D71+D76), 0)</f>
        <v>0</v>
      </c>
      <c r="K72"/>
      <c r="L72"/>
      <c r="M72"/>
      <c r="N72" s="1"/>
      <c r="O72" s="1"/>
      <c r="P72" s="1"/>
    </row>
    <row r="73" spans="2:21" x14ac:dyDescent="0.3">
      <c r="B73" s="41" t="s">
        <v>46</v>
      </c>
      <c r="D73" s="58">
        <f>IF($K$13=M7,((D64+D65+D66)*(K15)/(K15+L15)),0)+IF($L$13=M7,((D64+D65+D66)*(L15)/(K15+L15)),0)</f>
        <v>0</v>
      </c>
      <c r="F73" s="59">
        <f>N7</f>
        <v>0.14199999999999999</v>
      </c>
      <c r="G73" s="59"/>
      <c r="H73" s="54">
        <f>ROUND(D73*(E73+F73),2)</f>
        <v>0</v>
      </c>
      <c r="I73" s="1"/>
      <c r="J73" s="448">
        <f t="shared" si="34"/>
        <v>0</v>
      </c>
      <c r="K73"/>
      <c r="L73"/>
      <c r="M73"/>
      <c r="N73" s="1"/>
      <c r="O73" s="1"/>
      <c r="P73" s="1"/>
    </row>
    <row r="74" spans="2:21" x14ac:dyDescent="0.3">
      <c r="B74" s="41"/>
      <c r="H74" s="54"/>
      <c r="I74" s="1"/>
      <c r="J74" s="448">
        <f t="shared" si="34"/>
        <v>0</v>
      </c>
      <c r="K74" s="1"/>
      <c r="L74" s="1"/>
      <c r="M74" s="1"/>
      <c r="N74" s="1"/>
      <c r="O74" s="1"/>
      <c r="P74" s="1"/>
    </row>
    <row r="75" spans="2:21" x14ac:dyDescent="0.3">
      <c r="B75" s="41" t="s">
        <v>415</v>
      </c>
      <c r="D75" s="58">
        <f>IF($K$13=M4,((D67)*(K15)/(K15+L15)),0)+IF($L$13=M4,((D67)*(L15)/(K15+L15)),0)</f>
        <v>2206</v>
      </c>
      <c r="F75" s="59">
        <f>F70</f>
        <v>1.8849999999999999E-2</v>
      </c>
      <c r="G75" s="59"/>
      <c r="H75" s="54">
        <f>ROUND(D75*(E75+F75),2)</f>
        <v>41.58</v>
      </c>
      <c r="I75" s="1"/>
      <c r="J75" s="448"/>
      <c r="K75" s="1"/>
      <c r="L75" s="1"/>
      <c r="M75" s="1"/>
      <c r="N75" s="1"/>
      <c r="O75" s="1"/>
      <c r="P75" s="1"/>
    </row>
    <row r="76" spans="2:21" x14ac:dyDescent="0.3">
      <c r="B76" s="41" t="s">
        <v>416</v>
      </c>
      <c r="D76" s="58">
        <f t="shared" ref="D76:D78" si="35">IF($K$13=M5,((D68)*(K16)/(K16+L16)),0)+IF($L$13=M5,((D68)*(L16)/(K16+L16)),0)</f>
        <v>0</v>
      </c>
      <c r="F76" s="59">
        <f>F71</f>
        <v>4.4630000000000003E-2</v>
      </c>
      <c r="G76" s="59"/>
      <c r="H76" s="54">
        <f>ROUND(D76*(E76+F76),2)</f>
        <v>0</v>
      </c>
      <c r="I76" s="1"/>
      <c r="J76" s="448"/>
      <c r="K76" s="1"/>
      <c r="L76" s="1"/>
      <c r="M76" s="1"/>
      <c r="N76" s="1"/>
      <c r="O76" s="1"/>
      <c r="P76" s="1"/>
    </row>
    <row r="77" spans="2:21" x14ac:dyDescent="0.3">
      <c r="B77" s="41" t="s">
        <v>417</v>
      </c>
      <c r="D77" s="58">
        <f t="shared" si="35"/>
        <v>0</v>
      </c>
      <c r="F77" s="59">
        <f>F72</f>
        <v>7.8770000000000007E-2</v>
      </c>
      <c r="G77" s="59"/>
      <c r="H77" s="54">
        <f>ROUND(D77*(E77+F77),2)</f>
        <v>0</v>
      </c>
      <c r="I77" s="1"/>
      <c r="J77" s="448"/>
      <c r="K77" s="1"/>
      <c r="L77" s="1"/>
      <c r="M77" s="1"/>
      <c r="N77" s="1"/>
      <c r="O77" s="1"/>
      <c r="P77" s="1"/>
    </row>
    <row r="78" spans="2:21" x14ac:dyDescent="0.3">
      <c r="B78" s="41" t="s">
        <v>418</v>
      </c>
      <c r="D78" s="58">
        <f t="shared" si="35"/>
        <v>0</v>
      </c>
      <c r="F78" s="59">
        <f>F73</f>
        <v>0.14199999999999999</v>
      </c>
      <c r="G78" s="59"/>
      <c r="H78" s="54">
        <f>ROUND(D78*(E78+F78),2)</f>
        <v>0</v>
      </c>
      <c r="I78" s="1"/>
      <c r="J78" s="448"/>
      <c r="K78" s="1"/>
      <c r="L78" s="1"/>
      <c r="M78" s="1"/>
      <c r="N78" s="1"/>
      <c r="O78" s="1"/>
      <c r="P78" s="1"/>
    </row>
    <row r="79" spans="2:21" x14ac:dyDescent="0.3">
      <c r="B79" s="41"/>
      <c r="H79" s="54"/>
      <c r="I79" s="1"/>
      <c r="J79" s="448"/>
      <c r="K79" s="1"/>
      <c r="L79" s="1"/>
      <c r="M79" s="1"/>
      <c r="N79" s="1"/>
      <c r="O79" s="1"/>
      <c r="P79" s="1"/>
    </row>
    <row r="80" spans="2:21" x14ac:dyDescent="0.3">
      <c r="B80" s="41" t="s">
        <v>205</v>
      </c>
      <c r="D80" s="218">
        <f>D35</f>
        <v>0</v>
      </c>
      <c r="E80" s="53">
        <f>E64*F18</f>
        <v>1.0610299999999999</v>
      </c>
      <c r="F80" s="250">
        <f>F64</f>
        <v>0.48448000000000002</v>
      </c>
      <c r="G80" s="53">
        <f>E80+F80</f>
        <v>1.5455099999999999</v>
      </c>
      <c r="H80" s="54">
        <f>ROUND((D80*E80),2)+ROUND((D80*F80),2)</f>
        <v>0</v>
      </c>
      <c r="I80" s="1"/>
      <c r="J80" s="26" t="s">
        <v>422</v>
      </c>
      <c r="K80"/>
      <c r="L80" s="1"/>
      <c r="M80" s="1"/>
      <c r="N80" s="1"/>
      <c r="O80" s="1"/>
      <c r="P80" s="1"/>
    </row>
    <row r="81" spans="2:16" x14ac:dyDescent="0.3">
      <c r="B81" s="41" t="s">
        <v>206</v>
      </c>
      <c r="D81" s="218">
        <f>D36</f>
        <v>0</v>
      </c>
      <c r="E81" s="53">
        <f>E65*F18</f>
        <v>0.38965</v>
      </c>
      <c r="F81" s="250">
        <f>F65</f>
        <v>0.30579000000000001</v>
      </c>
      <c r="G81" s="53">
        <f t="shared" ref="G81:G82" si="36">E81+F81</f>
        <v>0.69544000000000006</v>
      </c>
      <c r="H81" s="54">
        <f t="shared" ref="H81:H82" si="37">ROUND((D81*E81),2)+ROUND((D81*F81),2)</f>
        <v>0</v>
      </c>
      <c r="I81" s="1"/>
      <c r="J81" s="448">
        <f>IFERROR((($D$83*E83)-($D$83*E83*$H$59))/$D$83,0)</f>
        <v>0</v>
      </c>
      <c r="K81" s="448">
        <f>IFERROR((($D$83*F83)-($D$83*F83*$H$59))/$D$83,0)</f>
        <v>0</v>
      </c>
      <c r="L81" s="1"/>
      <c r="M81" s="1"/>
      <c r="N81" s="1"/>
      <c r="O81" s="1"/>
      <c r="P81" s="1"/>
    </row>
    <row r="82" spans="2:16" x14ac:dyDescent="0.3">
      <c r="B82" s="41" t="s">
        <v>207</v>
      </c>
      <c r="D82" s="218">
        <f>D37</f>
        <v>1317.2327565392341</v>
      </c>
      <c r="E82" s="53">
        <f>E66*F18</f>
        <v>0.72533999999999998</v>
      </c>
      <c r="F82" s="250">
        <f>F66</f>
        <v>0.30579000000000001</v>
      </c>
      <c r="G82" s="53">
        <f t="shared" si="36"/>
        <v>1.0311300000000001</v>
      </c>
      <c r="H82" s="54">
        <f t="shared" si="37"/>
        <v>1358.24</v>
      </c>
      <c r="I82" s="1"/>
      <c r="J82" s="1"/>
      <c r="K82" s="1"/>
      <c r="L82" s="1"/>
      <c r="M82" s="1"/>
      <c r="N82" s="1"/>
      <c r="O82" s="1"/>
      <c r="P82" s="1"/>
    </row>
    <row r="83" spans="2:16" x14ac:dyDescent="0.3">
      <c r="B83" s="41" t="s">
        <v>419</v>
      </c>
      <c r="D83" s="218">
        <f>D38</f>
        <v>0</v>
      </c>
      <c r="E83" s="53">
        <f>E81</f>
        <v>0.38965</v>
      </c>
      <c r="F83" s="250">
        <f>F81</f>
        <v>0.30579000000000001</v>
      </c>
      <c r="G83" s="53">
        <f t="shared" ref="G83" si="38">E83+F83</f>
        <v>0.69544000000000006</v>
      </c>
      <c r="H83" s="54">
        <f t="shared" ref="H83" si="39">ROUND((D83*E83),2)+ROUND((D83*F83),2)</f>
        <v>0</v>
      </c>
      <c r="I83" s="1"/>
      <c r="J83" s="1"/>
      <c r="K83" s="1"/>
      <c r="L83" s="1"/>
      <c r="M83" s="1"/>
      <c r="N83" s="1"/>
      <c r="O83" s="1"/>
      <c r="P83" s="1"/>
    </row>
    <row r="84" spans="2:16" x14ac:dyDescent="0.3">
      <c r="B84" s="41" t="s">
        <v>421</v>
      </c>
      <c r="D84" s="218"/>
      <c r="E84" s="53"/>
      <c r="F84" s="250"/>
      <c r="G84" s="53"/>
      <c r="H84" s="54">
        <f>-H83*$H$59</f>
        <v>0</v>
      </c>
      <c r="I84" s="1"/>
      <c r="J84" s="1"/>
      <c r="K84" s="1"/>
      <c r="L84" s="1"/>
      <c r="M84" s="1"/>
      <c r="N84" s="1"/>
      <c r="O84" s="1"/>
      <c r="P84" s="1"/>
    </row>
    <row r="85" spans="2:16" x14ac:dyDescent="0.3">
      <c r="B85" s="41"/>
      <c r="D85" s="56"/>
      <c r="E85" s="56"/>
      <c r="F85" s="57"/>
      <c r="G85" s="57"/>
      <c r="H85" s="54"/>
      <c r="I85" s="1"/>
      <c r="J85" s="1"/>
      <c r="K85" s="1"/>
      <c r="L85" s="1"/>
      <c r="M85" s="1"/>
      <c r="N85" s="1"/>
      <c r="O85" s="1"/>
      <c r="P85" s="1"/>
    </row>
    <row r="86" spans="2:16" x14ac:dyDescent="0.3">
      <c r="B86" s="41" t="s">
        <v>208</v>
      </c>
      <c r="D86" s="58">
        <f>IF($K$13=M4,((D80+D81+D82)*(K15)/(K15+L15)),0)+IF($L$13=M4,((D80+D81+D82)*(L15)/(K15+L15)),0)</f>
        <v>1317.2327565392338</v>
      </c>
      <c r="F86" s="59">
        <f>N4</f>
        <v>1.8849999999999999E-2</v>
      </c>
      <c r="G86" s="59"/>
      <c r="H86" s="54">
        <f>ROUND(D86*(E86+F86),2)</f>
        <v>24.83</v>
      </c>
      <c r="I86" s="1"/>
      <c r="J86" s="26" t="s">
        <v>413</v>
      </c>
      <c r="K86"/>
      <c r="L86" s="1"/>
      <c r="M86" s="1"/>
      <c r="N86" s="1"/>
      <c r="O86" s="1"/>
      <c r="P86" s="1"/>
    </row>
    <row r="87" spans="2:16" x14ac:dyDescent="0.3">
      <c r="B87" s="41" t="s">
        <v>209</v>
      </c>
      <c r="D87" s="58">
        <f>IF($K$13=M5,((D81+D82+D85)*(K15)/(K15+L15)),0)+IF($L$13=M5,((D81+D82+D85)*(L15)/(K15+L15)),0)</f>
        <v>0</v>
      </c>
      <c r="F87" s="59">
        <f>N14</f>
        <v>0</v>
      </c>
      <c r="G87" s="59"/>
      <c r="H87" s="54">
        <f>ROUND(D87*(E87+F87),2)</f>
        <v>0</v>
      </c>
      <c r="I87" s="1"/>
      <c r="J87" s="448">
        <f>IFERROR(((($D$86*$F$86)+($D$91*$F$91))-($D$91*$F$91*$H$59))/($D$86+$D$91), 0)</f>
        <v>1.8849999999999999E-2</v>
      </c>
      <c r="K87" s="448"/>
      <c r="L87" s="1"/>
      <c r="M87" s="1"/>
      <c r="N87" s="1"/>
      <c r="O87" s="1"/>
      <c r="P87" s="1"/>
    </row>
    <row r="88" spans="2:16" x14ac:dyDescent="0.3">
      <c r="B88" s="41" t="s">
        <v>210</v>
      </c>
      <c r="D88" s="58">
        <f>IF($K$13=M6,((D82+D85+D86)*(K15)/(K15+L15)),0)+IF($L$13=M6,((D82+D85+D86)*(L15)/(K15+L15)),0)</f>
        <v>0</v>
      </c>
      <c r="F88" s="59">
        <f>N15</f>
        <v>0</v>
      </c>
      <c r="G88" s="59"/>
      <c r="H88" s="54">
        <f>ROUND(D88*(E88+F88),2)</f>
        <v>0</v>
      </c>
      <c r="I88" s="1"/>
      <c r="J88" s="1"/>
      <c r="K88" s="1"/>
      <c r="L88" s="1"/>
      <c r="M88" s="1"/>
      <c r="N88" s="1"/>
      <c r="O88" s="1"/>
      <c r="P88" s="1"/>
    </row>
    <row r="89" spans="2:16" x14ac:dyDescent="0.3">
      <c r="B89" s="41" t="s">
        <v>211</v>
      </c>
      <c r="D89" s="58">
        <f>IF($K$13=M7,((D85+D86+D87)*(K15)/(K15+L15)),0)+IF($L$13=M7,((D85+D86+D87)*(L15)/(K15+L15)),0)</f>
        <v>0</v>
      </c>
      <c r="F89" s="59">
        <f>N16</f>
        <v>0</v>
      </c>
      <c r="G89" s="59"/>
      <c r="H89" s="54">
        <f>ROUND(D89*(E89+F89),2)</f>
        <v>0</v>
      </c>
      <c r="I89" s="1"/>
      <c r="J89" s="1"/>
      <c r="K89" s="1"/>
      <c r="L89" s="1"/>
      <c r="M89" s="1"/>
      <c r="N89" s="1"/>
      <c r="O89" s="1"/>
      <c r="P89" s="1"/>
    </row>
    <row r="90" spans="2:16" x14ac:dyDescent="0.3">
      <c r="B90" s="41"/>
      <c r="D90" s="58"/>
      <c r="F90" s="59"/>
      <c r="G90" s="59"/>
      <c r="H90" s="54"/>
      <c r="I90" s="1"/>
      <c r="J90" s="1"/>
      <c r="K90" s="1"/>
      <c r="L90" s="1"/>
      <c r="M90" s="1"/>
      <c r="N90" s="1"/>
      <c r="O90" s="1"/>
      <c r="P90" s="1"/>
    </row>
    <row r="91" spans="2:16" x14ac:dyDescent="0.3">
      <c r="B91" s="41" t="s">
        <v>415</v>
      </c>
      <c r="D91" s="58">
        <f>IF($K$13=M18,((D83)*(K29)/(K29+L29)),0)+IF($L$13=M18,((D83)*(L29)/(K29+L29)),0)</f>
        <v>0</v>
      </c>
      <c r="F91" s="59">
        <f>F86</f>
        <v>1.8849999999999999E-2</v>
      </c>
      <c r="G91" s="59"/>
      <c r="H91" s="54">
        <f>ROUND(D91*(E91+F91),2)</f>
        <v>0</v>
      </c>
      <c r="I91" s="1"/>
      <c r="J91" s="1"/>
      <c r="K91" s="1"/>
      <c r="L91" s="1"/>
      <c r="M91" s="1"/>
      <c r="N91" s="1"/>
      <c r="O91" s="1"/>
      <c r="P91" s="1"/>
    </row>
    <row r="92" spans="2:16" x14ac:dyDescent="0.3">
      <c r="B92" s="41" t="s">
        <v>416</v>
      </c>
      <c r="D92" s="58">
        <f>IF($K$13=M19,((D83)*(K30)/(K30+L30)),0)+IF($L$13=M19,((D83)*(L30)/(K30+L30)),0)</f>
        <v>0</v>
      </c>
      <c r="F92" s="59">
        <f>F87</f>
        <v>0</v>
      </c>
      <c r="G92" s="59"/>
      <c r="H92" s="54">
        <f>ROUND(D92*(E92+F92),2)</f>
        <v>0</v>
      </c>
      <c r="I92" s="1"/>
      <c r="J92" s="1"/>
      <c r="K92" s="1"/>
      <c r="L92" s="1"/>
      <c r="M92" s="1"/>
      <c r="N92" s="1"/>
      <c r="O92" s="1"/>
      <c r="P92" s="1"/>
    </row>
    <row r="93" spans="2:16" x14ac:dyDescent="0.3">
      <c r="B93" s="41" t="s">
        <v>417</v>
      </c>
      <c r="D93" s="58">
        <f>IF($K$13=M20,((D83)*(K31)/(K31+L31)),0)+IF($L$13=M20,((D83)*(L31)/(K31+L31)),0)</f>
        <v>0</v>
      </c>
      <c r="F93" s="59">
        <f>F88</f>
        <v>0</v>
      </c>
      <c r="G93" s="59"/>
      <c r="H93" s="54">
        <f>ROUND(D93*(E93+F93),2)</f>
        <v>0</v>
      </c>
      <c r="I93" s="1"/>
      <c r="J93" s="1"/>
      <c r="K93" s="1"/>
      <c r="L93" s="1"/>
      <c r="M93" s="1"/>
      <c r="N93" s="1"/>
      <c r="O93" s="1"/>
      <c r="P93" s="1"/>
    </row>
    <row r="94" spans="2:16" x14ac:dyDescent="0.3">
      <c r="B94" s="41" t="s">
        <v>418</v>
      </c>
      <c r="D94" s="58">
        <f>IF($K$13=M21,((D83)*(K32)/(K32+L32)),0)+IF($L$13=M21,((D83)*(L32)/(K32+L32)),0)</f>
        <v>0</v>
      </c>
      <c r="F94" s="59">
        <f>F89</f>
        <v>0</v>
      </c>
      <c r="G94" s="59"/>
      <c r="H94" s="54">
        <f>ROUND(D94*(E94+F94),2)</f>
        <v>0</v>
      </c>
      <c r="I94" s="1"/>
      <c r="J94" s="1"/>
      <c r="K94" s="1"/>
      <c r="L94" s="1"/>
      <c r="M94" s="1"/>
      <c r="N94" s="1"/>
      <c r="O94" s="1"/>
      <c r="P94" s="1"/>
    </row>
    <row r="95" spans="2:16" x14ac:dyDescent="0.3">
      <c r="B95" s="41"/>
      <c r="D95" s="58"/>
      <c r="F95" s="59"/>
      <c r="G95" s="59"/>
      <c r="H95" s="54"/>
      <c r="I95" s="1"/>
      <c r="J95" s="1"/>
      <c r="K95" s="1"/>
      <c r="L95" s="1"/>
      <c r="M95" s="1"/>
      <c r="N95" s="1"/>
      <c r="O95" s="1"/>
      <c r="P95" s="1"/>
    </row>
    <row r="96" spans="2:16" x14ac:dyDescent="0.3">
      <c r="B96" s="74"/>
      <c r="C96" s="75"/>
      <c r="D96" s="254"/>
      <c r="E96" s="255"/>
      <c r="F96" s="75"/>
      <c r="G96" s="75"/>
      <c r="H96" s="256"/>
      <c r="I96" s="1"/>
      <c r="J96" s="1"/>
      <c r="K96" s="1"/>
      <c r="L96" s="1"/>
      <c r="M96" s="1"/>
      <c r="N96" s="1"/>
      <c r="O96" s="1"/>
      <c r="P96" s="1"/>
    </row>
    <row r="97" spans="1:16" x14ac:dyDescent="0.3">
      <c r="B97" s="34"/>
      <c r="C97" s="35"/>
      <c r="D97" s="35"/>
      <c r="E97" s="35"/>
      <c r="F97" s="35"/>
      <c r="G97" s="35"/>
      <c r="H97" s="257"/>
      <c r="I97" s="1"/>
      <c r="L97" s="1"/>
      <c r="M97" s="1"/>
      <c r="N97" s="1"/>
      <c r="O97" s="1"/>
      <c r="P97" s="1"/>
    </row>
    <row r="98" spans="1:16" x14ac:dyDescent="0.3">
      <c r="B98" s="41"/>
      <c r="D98" s="63" t="s">
        <v>48</v>
      </c>
      <c r="E98" s="64"/>
      <c r="F98" s="64"/>
      <c r="G98" s="64"/>
      <c r="H98" s="65"/>
      <c r="I98" s="66"/>
      <c r="K98" s="67"/>
      <c r="L98" s="1"/>
      <c r="M98" s="1"/>
      <c r="N98" s="1"/>
      <c r="O98" s="1"/>
      <c r="P98" s="1"/>
    </row>
    <row r="99" spans="1:16" x14ac:dyDescent="0.3">
      <c r="B99" s="41" t="s">
        <v>49</v>
      </c>
      <c r="D99" s="67">
        <f>(SUM(H64:H73)/(1-E99-E101))</f>
        <v>1449.1697751252266</v>
      </c>
      <c r="E99" s="258">
        <f>N22</f>
        <v>1.0999999999999999E-2</v>
      </c>
      <c r="H99" s="54">
        <f t="shared" ref="H99:H104" si="40">D99*E99</f>
        <v>15.940867526377492</v>
      </c>
      <c r="I99" s="67"/>
      <c r="L99" s="1"/>
      <c r="M99" s="1"/>
      <c r="N99" s="1"/>
      <c r="O99" s="1"/>
      <c r="P99" s="1"/>
    </row>
    <row r="100" spans="1:16" x14ac:dyDescent="0.3">
      <c r="B100" s="41" t="s">
        <v>241</v>
      </c>
      <c r="D100" s="67">
        <f>(SUM(H80:H89)/(1-E100-E102))</f>
        <v>1474.0168389640839</v>
      </c>
      <c r="E100" s="258">
        <f>E99</f>
        <v>1.0999999999999999E-2</v>
      </c>
      <c r="H100" s="54">
        <f t="shared" si="40"/>
        <v>16.214185228604922</v>
      </c>
      <c r="I100" s="67"/>
      <c r="L100" s="1"/>
      <c r="M100" s="1"/>
      <c r="N100" s="1"/>
      <c r="O100" s="1"/>
      <c r="P100" s="1"/>
    </row>
    <row r="101" spans="1:16" x14ac:dyDescent="0.3">
      <c r="B101" s="41" t="s">
        <v>51</v>
      </c>
      <c r="D101" s="67">
        <f>D99</f>
        <v>1449.1697751252266</v>
      </c>
      <c r="E101" s="258">
        <f>N24</f>
        <v>5.0700000000000002E-2</v>
      </c>
      <c r="H101" s="54">
        <f t="shared" si="40"/>
        <v>73.472907598848991</v>
      </c>
      <c r="I101" s="67"/>
      <c r="L101" s="1"/>
      <c r="M101" s="1"/>
      <c r="N101" s="1"/>
      <c r="O101" s="1"/>
      <c r="P101" s="1"/>
    </row>
    <row r="102" spans="1:16" x14ac:dyDescent="0.3">
      <c r="B102" s="41" t="s">
        <v>242</v>
      </c>
      <c r="D102" s="67">
        <f>D100</f>
        <v>1474.0168389640839</v>
      </c>
      <c r="E102" s="258">
        <f>E101</f>
        <v>5.0700000000000002E-2</v>
      </c>
      <c r="H102" s="54">
        <f t="shared" si="40"/>
        <v>74.732653735479062</v>
      </c>
      <c r="I102" s="67"/>
      <c r="L102" s="1"/>
      <c r="M102" s="1"/>
      <c r="N102" s="1"/>
      <c r="O102" s="1"/>
      <c r="P102" s="1"/>
    </row>
    <row r="103" spans="1:16" x14ac:dyDescent="0.3">
      <c r="B103" s="41" t="s">
        <v>11</v>
      </c>
      <c r="D103" s="259">
        <f>IF((E103=17%),(D99/(1-(E103))),D112)</f>
        <v>503.18394969625933</v>
      </c>
      <c r="E103" s="260">
        <v>0.12</v>
      </c>
      <c r="H103" s="54">
        <f t="shared" si="40"/>
        <v>60.382073963551115</v>
      </c>
      <c r="I103" s="67"/>
      <c r="L103" s="1"/>
      <c r="M103" s="1"/>
      <c r="N103" s="1"/>
      <c r="O103" s="1"/>
      <c r="P103" s="1"/>
    </row>
    <row r="104" spans="1:16" x14ac:dyDescent="0.3">
      <c r="B104" s="41" t="s">
        <v>243</v>
      </c>
      <c r="D104" s="259">
        <f>D123</f>
        <v>158.24518804032871</v>
      </c>
      <c r="E104" s="260">
        <v>0.12</v>
      </c>
      <c r="H104" s="54">
        <f t="shared" si="40"/>
        <v>18.989422564839444</v>
      </c>
      <c r="L104" s="1"/>
      <c r="M104" s="1"/>
      <c r="N104" s="1"/>
      <c r="O104" s="1"/>
      <c r="P104" s="1"/>
    </row>
    <row r="105" spans="1:16" x14ac:dyDescent="0.3">
      <c r="B105" s="219" t="s">
        <v>166</v>
      </c>
      <c r="C105" s="130"/>
      <c r="D105" s="220">
        <f>SUM(D64:D66)+SUM(D80:D82)</f>
        <v>2311.2327565392343</v>
      </c>
      <c r="E105" s="221">
        <f>IF(AND($B$15&lt;$F$2,$E$15&lt;$F$2),C9,IF($B$15&lt;$F$2,I9,F9))</f>
        <v>1.8774721494831901E-4</v>
      </c>
      <c r="F105" s="221">
        <f>IF(AND($B$15&lt;$F$2,$E$15&lt;$F$2),D9,IF($B$15&lt;$F$2,J9,G9))</f>
        <v>-4.4031307414479802E-3</v>
      </c>
      <c r="G105" s="130"/>
      <c r="H105" s="219">
        <f>D105*(E105+F105)</f>
        <v>-9.7427324878218897</v>
      </c>
      <c r="L105" s="1"/>
      <c r="M105" s="1"/>
      <c r="N105" s="1"/>
      <c r="O105" s="1"/>
      <c r="P105" s="1"/>
    </row>
    <row r="106" spans="1:16" x14ac:dyDescent="0.3">
      <c r="L106" s="1"/>
      <c r="M106" s="1"/>
      <c r="N106" s="1"/>
      <c r="O106" s="1"/>
      <c r="P106" s="1"/>
    </row>
    <row r="107" spans="1:16" x14ac:dyDescent="0.3">
      <c r="B107" s="19" t="s">
        <v>250</v>
      </c>
    </row>
    <row r="108" spans="1:16" x14ac:dyDescent="0.3">
      <c r="A108" s="108" t="s">
        <v>255</v>
      </c>
    </row>
    <row r="109" spans="1:16" x14ac:dyDescent="0.3">
      <c r="B109" s="102"/>
      <c r="C109" s="102"/>
      <c r="D109" s="103" t="s">
        <v>67</v>
      </c>
      <c r="F109" s="103"/>
    </row>
    <row r="110" spans="1:16" x14ac:dyDescent="0.3">
      <c r="B110" s="104" t="s">
        <v>68</v>
      </c>
      <c r="C110" s="105">
        <f>E99</f>
        <v>1.0999999999999999E-2</v>
      </c>
      <c r="D110" s="106">
        <f>(SUM(H64:H73)/(1-E99-E101))</f>
        <v>1449.1697751252266</v>
      </c>
      <c r="E110" s="2" t="s">
        <v>69</v>
      </c>
      <c r="F110" s="105">
        <f>C110</f>
        <v>1.0999999999999999E-2</v>
      </c>
      <c r="G110" s="107">
        <f>D110*F110</f>
        <v>15.940867526377492</v>
      </c>
    </row>
    <row r="111" spans="1:16" x14ac:dyDescent="0.3">
      <c r="B111" s="104" t="s">
        <v>51</v>
      </c>
      <c r="C111" s="105">
        <f>E101</f>
        <v>5.0700000000000002E-2</v>
      </c>
      <c r="D111" s="106">
        <f>D110</f>
        <v>1449.1697751252266</v>
      </c>
      <c r="E111" s="2" t="s">
        <v>69</v>
      </c>
      <c r="F111" s="105">
        <f>C111</f>
        <v>5.0700000000000002E-2</v>
      </c>
      <c r="G111" s="107">
        <f>D111*F111</f>
        <v>73.472907598848991</v>
      </c>
    </row>
    <row r="112" spans="1:16" x14ac:dyDescent="0.3">
      <c r="A112" s="108" t="s">
        <v>70</v>
      </c>
      <c r="B112" s="104" t="s">
        <v>11</v>
      </c>
      <c r="C112" s="109">
        <v>0.04</v>
      </c>
      <c r="D112" s="110">
        <f>H112/F112*C112</f>
        <v>503.18394969625933</v>
      </c>
      <c r="E112" s="2" t="s">
        <v>69</v>
      </c>
      <c r="F112" s="111">
        <v>0.12</v>
      </c>
      <c r="G112" s="107">
        <f>D112*F112</f>
        <v>60.382073963551115</v>
      </c>
      <c r="H112" s="107">
        <f>((SUM(H64:H73))/(1-F110-F111)/(1-(C112)))</f>
        <v>1509.5518490887778</v>
      </c>
      <c r="I112" s="112">
        <f>H112*C112</f>
        <v>60.382073963551115</v>
      </c>
    </row>
    <row r="113" spans="1:16" x14ac:dyDescent="0.3">
      <c r="B113" s="102"/>
      <c r="C113" s="102"/>
      <c r="D113" s="102"/>
      <c r="E113" s="107">
        <f>(O101)/(1-C110-C111-C112)</f>
        <v>0</v>
      </c>
      <c r="F113" s="113"/>
      <c r="G113" s="113"/>
      <c r="H113" s="102"/>
      <c r="I113" s="102"/>
      <c r="J113" s="114"/>
      <c r="K113" s="114"/>
      <c r="L113" s="114"/>
      <c r="M113" s="103"/>
      <c r="N113" s="103"/>
      <c r="O113" s="115"/>
    </row>
    <row r="115" spans="1:16" x14ac:dyDescent="0.3">
      <c r="C115" s="1"/>
      <c r="D115" s="328" t="s">
        <v>251</v>
      </c>
      <c r="E115" s="329" t="s">
        <v>252</v>
      </c>
      <c r="F115" s="238"/>
      <c r="G115" s="1" t="s">
        <v>253</v>
      </c>
      <c r="H115" s="330">
        <f>H112/F112*C112</f>
        <v>503.18394969625933</v>
      </c>
    </row>
    <row r="116" spans="1:16" x14ac:dyDescent="0.3">
      <c r="C116" s="1"/>
      <c r="D116" s="1"/>
      <c r="E116" s="1" t="s">
        <v>254</v>
      </c>
      <c r="F116" s="1"/>
      <c r="G116" s="1"/>
      <c r="H116" s="1"/>
      <c r="J116" s="1"/>
    </row>
    <row r="117" spans="1:16" x14ac:dyDescent="0.3">
      <c r="L117" s="1"/>
      <c r="M117" s="1"/>
      <c r="N117" s="1"/>
      <c r="O117" s="1"/>
      <c r="P117" s="1"/>
    </row>
    <row r="118" spans="1:16" x14ac:dyDescent="0.3">
      <c r="A118" s="108" t="s">
        <v>256</v>
      </c>
      <c r="L118" s="1"/>
      <c r="M118" s="1"/>
      <c r="N118" s="1"/>
      <c r="O118" s="1"/>
      <c r="P118" s="1"/>
    </row>
    <row r="119" spans="1:16" x14ac:dyDescent="0.3">
      <c r="B119" s="19" t="s">
        <v>250</v>
      </c>
    </row>
    <row r="120" spans="1:16" x14ac:dyDescent="0.3">
      <c r="B120" s="102"/>
      <c r="C120" s="102"/>
      <c r="D120" s="103" t="s">
        <v>67</v>
      </c>
      <c r="F120" s="103"/>
    </row>
    <row r="121" spans="1:16" x14ac:dyDescent="0.3">
      <c r="B121" s="104" t="s">
        <v>68</v>
      </c>
      <c r="C121" s="105">
        <f>E100</f>
        <v>1.0999999999999999E-2</v>
      </c>
      <c r="D121" s="106">
        <f>SUM(H80:H89)/(1-C121-C122)</f>
        <v>1474.0168389640839</v>
      </c>
      <c r="E121" s="2" t="s">
        <v>69</v>
      </c>
      <c r="F121" s="105">
        <f>C121</f>
        <v>1.0999999999999999E-2</v>
      </c>
      <c r="G121" s="107">
        <f>D121*F121</f>
        <v>16.214185228604922</v>
      </c>
    </row>
    <row r="122" spans="1:16" x14ac:dyDescent="0.3">
      <c r="B122" s="104" t="s">
        <v>51</v>
      </c>
      <c r="C122" s="105">
        <f>E102</f>
        <v>5.0700000000000002E-2</v>
      </c>
      <c r="D122" s="106">
        <f>D121</f>
        <v>1474.0168389640839</v>
      </c>
      <c r="E122" s="2" t="s">
        <v>69</v>
      </c>
      <c r="F122" s="105">
        <f>C122</f>
        <v>5.0700000000000002E-2</v>
      </c>
      <c r="G122" s="107">
        <f>D122*F122</f>
        <v>74.732653735479062</v>
      </c>
    </row>
    <row r="123" spans="1:16" x14ac:dyDescent="0.3">
      <c r="A123" s="108" t="s">
        <v>70</v>
      </c>
      <c r="B123" s="104" t="s">
        <v>11</v>
      </c>
      <c r="C123" s="109">
        <v>0.04</v>
      </c>
      <c r="D123" s="110">
        <f>H123/F123*C123</f>
        <v>158.24518804032871</v>
      </c>
      <c r="E123" s="2" t="s">
        <v>69</v>
      </c>
      <c r="F123" s="111">
        <v>0.12</v>
      </c>
      <c r="G123" s="107">
        <f>D123*F123</f>
        <v>18.989422564839444</v>
      </c>
      <c r="H123" s="107">
        <f>((D80*F80)+(D81*F81)+(D82*F82)+H86+H87+H88+H89)/(1-E100-E102)/(1-C123)</f>
        <v>474.73556412098611</v>
      </c>
      <c r="I123" s="112">
        <f>H123*C123</f>
        <v>18.989422564839444</v>
      </c>
    </row>
    <row r="124" spans="1:16" x14ac:dyDescent="0.3">
      <c r="B124" s="102"/>
      <c r="C124" s="102"/>
      <c r="D124" s="102"/>
      <c r="E124" s="107">
        <f>(O112)/(1-C121-C122-C123)</f>
        <v>0</v>
      </c>
      <c r="F124" s="113"/>
      <c r="G124" s="113"/>
      <c r="H124" s="102"/>
      <c r="I124" s="102"/>
      <c r="J124" s="114"/>
      <c r="K124" s="114"/>
      <c r="L124" s="114"/>
      <c r="M124" s="103"/>
      <c r="N124" s="103"/>
      <c r="O124" s="115"/>
    </row>
    <row r="126" spans="1:16" x14ac:dyDescent="0.3">
      <c r="C126" s="1"/>
      <c r="D126" s="328" t="s">
        <v>251</v>
      </c>
      <c r="E126" s="329" t="s">
        <v>252</v>
      </c>
      <c r="F126" s="238"/>
      <c r="G126" s="1" t="s">
        <v>253</v>
      </c>
      <c r="H126" s="330">
        <f>H123/F123*C123</f>
        <v>158.24518804032871</v>
      </c>
    </row>
    <row r="127" spans="1:16" x14ac:dyDescent="0.3">
      <c r="C127" s="1"/>
      <c r="D127" s="1"/>
      <c r="E127" s="1" t="s">
        <v>254</v>
      </c>
      <c r="F127" s="1"/>
      <c r="G127" s="1"/>
      <c r="H127" s="1"/>
      <c r="J127" s="1"/>
    </row>
    <row r="128" spans="1:16" x14ac:dyDescent="0.3">
      <c r="L128" s="1"/>
      <c r="M128" s="1"/>
      <c r="N128" s="1"/>
      <c r="O128" s="1"/>
      <c r="P128" s="1"/>
    </row>
    <row r="129" spans="12:16" x14ac:dyDescent="0.3">
      <c r="L129" s="1"/>
      <c r="M129" s="1"/>
      <c r="N129" s="1"/>
      <c r="O129" s="1"/>
      <c r="P129" s="1"/>
    </row>
    <row r="130" spans="12:16" x14ac:dyDescent="0.3">
      <c r="L130" s="1"/>
      <c r="M130" s="1"/>
      <c r="N130" s="1"/>
      <c r="O130" s="1"/>
      <c r="P130" s="1"/>
    </row>
    <row r="131" spans="12:16" x14ac:dyDescent="0.3">
      <c r="L131" s="1"/>
      <c r="M131" s="1"/>
      <c r="N131" s="1"/>
      <c r="O131" s="1"/>
      <c r="P131" s="1"/>
    </row>
    <row r="132" spans="12:16" x14ac:dyDescent="0.3">
      <c r="L132" s="1"/>
      <c r="M132" s="1"/>
      <c r="N132" s="1"/>
      <c r="O132" s="1"/>
      <c r="P132" s="1"/>
    </row>
    <row r="133" spans="12:16" x14ac:dyDescent="0.3">
      <c r="L133" s="1"/>
      <c r="M133" s="1"/>
      <c r="N133" s="1"/>
      <c r="O133" s="1"/>
      <c r="P133" s="1"/>
    </row>
    <row r="134" spans="12:16" x14ac:dyDescent="0.3">
      <c r="L134" s="1"/>
      <c r="M134" s="1"/>
      <c r="N134" s="1"/>
      <c r="O134" s="1"/>
      <c r="P134" s="1"/>
    </row>
    <row r="135" spans="12:16" x14ac:dyDescent="0.3">
      <c r="L135" s="1"/>
      <c r="M135" s="1"/>
      <c r="N135" s="1"/>
      <c r="O135" s="1"/>
      <c r="P135" s="1"/>
    </row>
    <row r="136" spans="12:16" x14ac:dyDescent="0.3">
      <c r="L136" s="1"/>
      <c r="M136" s="1"/>
      <c r="N136" s="1"/>
      <c r="O136" s="1"/>
      <c r="P136" s="1"/>
    </row>
    <row r="137" spans="12:16" x14ac:dyDescent="0.3">
      <c r="L137" s="1"/>
      <c r="M137" s="1"/>
      <c r="N137" s="1"/>
      <c r="O137" s="1"/>
      <c r="P137" s="1"/>
    </row>
    <row r="138" spans="12:16" x14ac:dyDescent="0.3">
      <c r="L138" s="1"/>
      <c r="M138" s="1"/>
      <c r="N138" s="1"/>
      <c r="O138" s="1"/>
      <c r="P138" s="1"/>
    </row>
    <row r="139" spans="12:16" x14ac:dyDescent="0.3">
      <c r="L139" s="1"/>
      <c r="M139" s="1"/>
      <c r="N139" s="1"/>
      <c r="O139" s="1"/>
      <c r="P139" s="1"/>
    </row>
    <row r="140" spans="12:16" x14ac:dyDescent="0.3">
      <c r="L140" s="1"/>
      <c r="M140" s="1"/>
      <c r="N140" s="1"/>
      <c r="O140" s="1"/>
      <c r="P140" s="1"/>
    </row>
    <row r="141" spans="12:16" x14ac:dyDescent="0.3">
      <c r="L141" s="1"/>
      <c r="M141" s="1"/>
      <c r="N141" s="1"/>
      <c r="O141" s="1"/>
      <c r="P141" s="1"/>
    </row>
    <row r="142" spans="12:16" x14ac:dyDescent="0.3">
      <c r="L142" s="1"/>
      <c r="M142" s="1"/>
      <c r="N142" s="1"/>
      <c r="O142" s="1"/>
      <c r="P142" s="1"/>
    </row>
    <row r="143" spans="12:16" x14ac:dyDescent="0.3">
      <c r="L143" s="1"/>
      <c r="M143" s="1"/>
      <c r="N143" s="1"/>
      <c r="O143" s="1"/>
      <c r="P143" s="1"/>
    </row>
    <row r="144" spans="12:16" x14ac:dyDescent="0.3">
      <c r="L144" s="1"/>
      <c r="M144" s="1"/>
      <c r="N144" s="1"/>
      <c r="O144" s="1"/>
      <c r="P144" s="1"/>
    </row>
    <row r="145" spans="2:16" x14ac:dyDescent="0.3">
      <c r="L145" s="1"/>
      <c r="M145" s="1"/>
      <c r="N145" s="1"/>
      <c r="O145" s="1"/>
      <c r="P145" s="1"/>
    </row>
    <row r="146" spans="2:16" x14ac:dyDescent="0.3">
      <c r="L146" s="1"/>
      <c r="M146" s="1"/>
      <c r="N146" s="1"/>
      <c r="O146" s="1"/>
      <c r="P146" s="1"/>
    </row>
    <row r="147" spans="2:16" x14ac:dyDescent="0.3">
      <c r="L147" s="1"/>
      <c r="M147" s="1"/>
      <c r="N147" s="1"/>
      <c r="O147" s="1"/>
      <c r="P147" s="1"/>
    </row>
    <row r="148" spans="2:16" x14ac:dyDescent="0.3">
      <c r="L148" s="1"/>
      <c r="M148" s="1"/>
      <c r="N148" s="1"/>
      <c r="O148" s="1"/>
      <c r="P148" s="1"/>
    </row>
    <row r="149" spans="2:16" x14ac:dyDescent="0.3">
      <c r="B149" s="127" t="s">
        <v>185</v>
      </c>
      <c r="D149" s="64"/>
      <c r="F149" s="64"/>
      <c r="G149" s="64"/>
      <c r="H149" s="66"/>
    </row>
    <row r="150" spans="2:16" x14ac:dyDescent="0.3">
      <c r="B150" s="262"/>
      <c r="C150" s="263" t="s">
        <v>7</v>
      </c>
    </row>
    <row r="151" spans="2:16" x14ac:dyDescent="0.3">
      <c r="B151" s="262" t="s">
        <v>186</v>
      </c>
      <c r="C151" s="264">
        <f>(SUM(H64:H73)*IF($B$15&lt;$F$2,D189,D161))</f>
        <v>588.41525279550228</v>
      </c>
      <c r="E151" s="64" t="s">
        <v>8</v>
      </c>
    </row>
    <row r="152" spans="2:16" x14ac:dyDescent="0.3">
      <c r="B152" s="262" t="s">
        <v>187</v>
      </c>
      <c r="C152" s="264">
        <f>(SUM(H64:H73)*IF($B$15&lt;$F$2,F189,F161))</f>
        <v>353.26754071044763</v>
      </c>
    </row>
    <row r="153" spans="2:16" x14ac:dyDescent="0.3">
      <c r="B153" s="262" t="s">
        <v>188</v>
      </c>
      <c r="C153" s="264">
        <f>(SUM(H64:H73)*IF($B$15&lt;$F$2,E191,E163))</f>
        <v>110.71952292720344</v>
      </c>
    </row>
    <row r="154" spans="2:16" x14ac:dyDescent="0.3">
      <c r="B154" s="262" t="s">
        <v>189</v>
      </c>
      <c r="C154" s="264">
        <f>(SUM(H64:H73)*IF($B$15&lt;$F$2,G189,G161))</f>
        <v>307.35368356684683</v>
      </c>
    </row>
    <row r="155" spans="2:16" x14ac:dyDescent="0.3">
      <c r="B155" s="262" t="s">
        <v>190</v>
      </c>
      <c r="C155" s="265">
        <f>H99+H101+H103</f>
        <v>149.7958490887776</v>
      </c>
    </row>
    <row r="156" spans="2:16" x14ac:dyDescent="0.3">
      <c r="B156" s="266" t="s">
        <v>191</v>
      </c>
      <c r="C156" s="267">
        <f>SUM(C151:C155)</f>
        <v>1509.551849088778</v>
      </c>
    </row>
    <row r="158" spans="2:16" x14ac:dyDescent="0.3">
      <c r="B158" s="190">
        <v>2023</v>
      </c>
      <c r="C158" s="190"/>
      <c r="D158" s="190" t="s">
        <v>186</v>
      </c>
      <c r="F158" s="190" t="s">
        <v>187</v>
      </c>
      <c r="G158" s="190" t="s">
        <v>192</v>
      </c>
    </row>
    <row r="159" spans="2:16" x14ac:dyDescent="0.3">
      <c r="B159" s="190" t="s">
        <v>193</v>
      </c>
      <c r="C159" s="190"/>
      <c r="D159" s="190" t="s">
        <v>194</v>
      </c>
      <c r="F159" s="190" t="s">
        <v>194</v>
      </c>
      <c r="G159" s="190" t="s">
        <v>194</v>
      </c>
    </row>
    <row r="160" spans="2:16" x14ac:dyDescent="0.3">
      <c r="B160" s="190"/>
      <c r="C160" s="190"/>
      <c r="D160" s="190"/>
      <c r="E160" s="190" t="s">
        <v>188</v>
      </c>
      <c r="F160" s="190"/>
      <c r="G160" s="190"/>
    </row>
    <row r="161" spans="2:10" x14ac:dyDescent="0.3">
      <c r="B161" s="190" t="s">
        <v>195</v>
      </c>
      <c r="C161" s="190"/>
      <c r="D161" s="268">
        <v>0.43273591202796846</v>
      </c>
      <c r="E161" s="190" t="s">
        <v>194</v>
      </c>
      <c r="F161" s="268">
        <v>0.25980215620335384</v>
      </c>
      <c r="G161" s="268">
        <v>0.22603590906519025</v>
      </c>
    </row>
    <row r="162" spans="2:10" x14ac:dyDescent="0.3">
      <c r="B162" s="190" t="s">
        <v>196</v>
      </c>
      <c r="C162" s="190"/>
      <c r="D162" s="268">
        <v>0.52914974745856724</v>
      </c>
      <c r="E162" s="190"/>
      <c r="F162" s="268">
        <v>0.31768624124570172</v>
      </c>
      <c r="G162" s="268">
        <v>5.3596219133103154E-2</v>
      </c>
    </row>
    <row r="163" spans="2:10" x14ac:dyDescent="0.3">
      <c r="B163" s="190" t="s">
        <v>197</v>
      </c>
      <c r="C163" s="190"/>
      <c r="D163" s="268">
        <v>0.43273591202796835</v>
      </c>
      <c r="E163" s="268">
        <v>8.1426022703487561E-2</v>
      </c>
      <c r="F163" s="268">
        <v>0.25980215620335428</v>
      </c>
      <c r="G163" s="268">
        <v>0.22603590906518967</v>
      </c>
    </row>
    <row r="164" spans="2:10" x14ac:dyDescent="0.3">
      <c r="B164" s="190" t="s">
        <v>198</v>
      </c>
      <c r="C164" s="190"/>
      <c r="D164" s="268">
        <v>0.43273591202796835</v>
      </c>
      <c r="E164" s="268">
        <v>9.9567792162627941E-2</v>
      </c>
      <c r="F164" s="268">
        <v>0.25980215620335428</v>
      </c>
      <c r="G164" s="268">
        <v>0.22603590906518967</v>
      </c>
    </row>
    <row r="165" spans="2:10" x14ac:dyDescent="0.3">
      <c r="B165" s="190" t="s">
        <v>199</v>
      </c>
      <c r="C165" s="190"/>
      <c r="D165" s="268">
        <v>0.43273591202796846</v>
      </c>
      <c r="E165" s="268">
        <v>8.1426022703487574E-2</v>
      </c>
      <c r="F165" s="268">
        <v>0.25980215620335423</v>
      </c>
      <c r="G165" s="268">
        <v>0.22603590906518969</v>
      </c>
    </row>
    <row r="166" spans="2:10" x14ac:dyDescent="0.3">
      <c r="B166" s="190" t="s">
        <v>200</v>
      </c>
      <c r="C166" s="190"/>
      <c r="D166" s="268">
        <v>0.43273591202796846</v>
      </c>
      <c r="E166" s="268">
        <v>8.1426022703487574E-2</v>
      </c>
      <c r="F166" s="268">
        <v>0.25980215620335384</v>
      </c>
      <c r="G166" s="268">
        <v>0.22603590906519025</v>
      </c>
    </row>
    <row r="167" spans="2:10" x14ac:dyDescent="0.3">
      <c r="B167" s="190" t="s">
        <v>201</v>
      </c>
      <c r="C167" s="190"/>
      <c r="D167" s="268">
        <v>0.43273591202796846</v>
      </c>
      <c r="E167" s="268">
        <v>8.1426022703487491E-2</v>
      </c>
      <c r="F167" s="268">
        <v>0.25980215620335384</v>
      </c>
      <c r="G167" s="268">
        <v>0.22603590906519025</v>
      </c>
    </row>
    <row r="168" spans="2:10" x14ac:dyDescent="0.3">
      <c r="B168" s="190" t="s">
        <v>202</v>
      </c>
      <c r="C168" s="190"/>
      <c r="D168" s="268">
        <v>0.43273591202796818</v>
      </c>
      <c r="E168" s="268">
        <v>8.1426022703487561E-2</v>
      </c>
      <c r="F168" s="268">
        <v>0.25980215620335462</v>
      </c>
      <c r="G168" s="268">
        <v>0.22603590906518975</v>
      </c>
      <c r="J168" s="24"/>
    </row>
    <row r="169" spans="2:10" x14ac:dyDescent="0.3">
      <c r="B169" s="190" t="s">
        <v>203</v>
      </c>
      <c r="C169" s="190"/>
      <c r="D169" s="268">
        <v>0.43273591202796957</v>
      </c>
      <c r="E169" s="268">
        <v>8.1426022703487561E-2</v>
      </c>
      <c r="F169" s="268">
        <v>0.25980215620335317</v>
      </c>
      <c r="G169" s="268">
        <v>0.22603590906518972</v>
      </c>
    </row>
    <row r="170" spans="2:10" x14ac:dyDescent="0.3">
      <c r="B170" s="127"/>
      <c r="C170" s="127"/>
      <c r="D170" s="127"/>
      <c r="E170" s="268">
        <v>8.1426022703487477E-2</v>
      </c>
      <c r="F170" s="127"/>
      <c r="G170" s="127"/>
    </row>
    <row r="171" spans="2:10" x14ac:dyDescent="0.3">
      <c r="B171" s="127"/>
      <c r="C171" s="127"/>
      <c r="D171" s="127"/>
      <c r="E171" s="268">
        <v>8.1426022703487561E-2</v>
      </c>
      <c r="F171" s="127"/>
      <c r="G171" s="127"/>
    </row>
    <row r="172" spans="2:10" x14ac:dyDescent="0.3">
      <c r="B172" s="127">
        <v>2022</v>
      </c>
      <c r="C172" s="190"/>
      <c r="D172" s="190" t="s">
        <v>186</v>
      </c>
      <c r="E172" s="127"/>
      <c r="F172" s="190" t="s">
        <v>187</v>
      </c>
      <c r="G172" s="190" t="s">
        <v>192</v>
      </c>
    </row>
    <row r="173" spans="2:10" x14ac:dyDescent="0.3">
      <c r="B173" s="190" t="s">
        <v>193</v>
      </c>
      <c r="C173" s="190"/>
      <c r="D173" s="190" t="s">
        <v>194</v>
      </c>
      <c r="E173" s="127"/>
      <c r="F173" s="190" t="s">
        <v>194</v>
      </c>
      <c r="G173" s="190" t="s">
        <v>194</v>
      </c>
    </row>
    <row r="174" spans="2:10" x14ac:dyDescent="0.3">
      <c r="B174" s="190"/>
      <c r="C174" s="190"/>
      <c r="D174" s="190"/>
      <c r="E174" s="190" t="s">
        <v>188</v>
      </c>
      <c r="F174" s="190"/>
      <c r="G174" s="190"/>
    </row>
    <row r="175" spans="2:10" x14ac:dyDescent="0.3">
      <c r="B175" s="190" t="s">
        <v>195</v>
      </c>
      <c r="C175" s="190"/>
      <c r="D175" s="268">
        <v>0.43273591202796846</v>
      </c>
      <c r="E175" s="190" t="s">
        <v>194</v>
      </c>
      <c r="F175" s="268">
        <v>0.25980215620335384</v>
      </c>
      <c r="G175" s="268">
        <v>0.22603590906519025</v>
      </c>
    </row>
    <row r="176" spans="2:10" x14ac:dyDescent="0.3">
      <c r="B176" s="190" t="s">
        <v>196</v>
      </c>
      <c r="C176" s="190"/>
      <c r="D176" s="268">
        <v>0.52914974745856724</v>
      </c>
      <c r="E176" s="190"/>
      <c r="F176" s="268">
        <v>0.31768624124570172</v>
      </c>
      <c r="G176" s="268">
        <v>5.3596219133103154E-2</v>
      </c>
    </row>
    <row r="177" spans="2:7" x14ac:dyDescent="0.3">
      <c r="B177" s="190" t="s">
        <v>197</v>
      </c>
      <c r="C177" s="190"/>
      <c r="D177" s="268">
        <v>0.43273591202796835</v>
      </c>
      <c r="E177" s="268">
        <v>8.1426022703487561E-2</v>
      </c>
      <c r="F177" s="268">
        <v>0.25980215620335428</v>
      </c>
      <c r="G177" s="268">
        <v>0.22603590906518967</v>
      </c>
    </row>
    <row r="178" spans="2:7" x14ac:dyDescent="0.3">
      <c r="B178" s="190" t="s">
        <v>198</v>
      </c>
      <c r="C178" s="190"/>
      <c r="D178" s="268">
        <v>0.43273591202796835</v>
      </c>
      <c r="E178" s="268">
        <v>9.9567792162627941E-2</v>
      </c>
      <c r="F178" s="268">
        <v>0.25980215620335428</v>
      </c>
      <c r="G178" s="268">
        <v>0.22603590906518967</v>
      </c>
    </row>
    <row r="179" spans="2:7" x14ac:dyDescent="0.3">
      <c r="B179" s="190" t="s">
        <v>199</v>
      </c>
      <c r="C179" s="190"/>
      <c r="D179" s="268">
        <v>0.43273591202796846</v>
      </c>
      <c r="E179" s="268">
        <v>8.1426022703487574E-2</v>
      </c>
      <c r="F179" s="268">
        <v>0.25980215620335423</v>
      </c>
      <c r="G179" s="268">
        <v>0.22603590906518969</v>
      </c>
    </row>
    <row r="180" spans="2:7" x14ac:dyDescent="0.3">
      <c r="B180" s="190" t="s">
        <v>200</v>
      </c>
      <c r="C180" s="190"/>
      <c r="D180" s="268">
        <v>0.43273591202796846</v>
      </c>
      <c r="E180" s="268">
        <v>8.1426022703487574E-2</v>
      </c>
      <c r="F180" s="268">
        <v>0.25980215620335384</v>
      </c>
      <c r="G180" s="268">
        <v>0.22603590906519025</v>
      </c>
    </row>
    <row r="181" spans="2:7" x14ac:dyDescent="0.3">
      <c r="B181" s="190" t="s">
        <v>201</v>
      </c>
      <c r="C181" s="190"/>
      <c r="D181" s="268">
        <v>0.43273591202796846</v>
      </c>
      <c r="E181" s="268">
        <v>8.1426022703487491E-2</v>
      </c>
      <c r="F181" s="268">
        <v>0.25980215620335384</v>
      </c>
      <c r="G181" s="268">
        <v>0.22603590906519025</v>
      </c>
    </row>
    <row r="182" spans="2:7" x14ac:dyDescent="0.3">
      <c r="B182" s="190" t="s">
        <v>202</v>
      </c>
      <c r="C182" s="190"/>
      <c r="D182" s="268">
        <v>0.43273591202796818</v>
      </c>
      <c r="E182" s="268">
        <v>8.1426022703487561E-2</v>
      </c>
      <c r="F182" s="268">
        <v>0.25980215620335462</v>
      </c>
      <c r="G182" s="268">
        <v>0.22603590906518975</v>
      </c>
    </row>
    <row r="183" spans="2:7" x14ac:dyDescent="0.3">
      <c r="B183" s="190" t="s">
        <v>203</v>
      </c>
      <c r="C183" s="190"/>
      <c r="D183" s="268">
        <v>0.43273591202796957</v>
      </c>
      <c r="E183" s="268">
        <v>8.1426022703487561E-2</v>
      </c>
      <c r="F183" s="268">
        <v>0.25980215620335317</v>
      </c>
      <c r="G183" s="268">
        <v>0.22603590906518972</v>
      </c>
    </row>
    <row r="184" spans="2:7" x14ac:dyDescent="0.3">
      <c r="B184" s="127"/>
      <c r="C184" s="127"/>
      <c r="D184" s="127"/>
      <c r="E184" s="268">
        <v>8.1426022703487477E-2</v>
      </c>
      <c r="F184" s="127"/>
      <c r="G184" s="127"/>
    </row>
    <row r="185" spans="2:7" x14ac:dyDescent="0.3">
      <c r="B185" s="269" t="s">
        <v>204</v>
      </c>
      <c r="C185" s="127"/>
      <c r="D185" s="127"/>
      <c r="E185" s="268">
        <v>8.1426022703487561E-2</v>
      </c>
      <c r="F185" s="127"/>
      <c r="G185" s="127"/>
    </row>
    <row r="186" spans="2:7" x14ac:dyDescent="0.3">
      <c r="B186" s="190"/>
      <c r="C186" s="190"/>
      <c r="D186" s="190" t="s">
        <v>186</v>
      </c>
      <c r="E186" s="127"/>
      <c r="F186" s="190" t="s">
        <v>187</v>
      </c>
      <c r="G186" s="190" t="s">
        <v>192</v>
      </c>
    </row>
    <row r="187" spans="2:7" x14ac:dyDescent="0.3">
      <c r="B187" s="190" t="s">
        <v>193</v>
      </c>
      <c r="C187" s="190"/>
      <c r="D187" s="268" t="s">
        <v>194</v>
      </c>
      <c r="E187" s="127"/>
      <c r="F187" s="268" t="s">
        <v>194</v>
      </c>
      <c r="G187" s="268" t="s">
        <v>194</v>
      </c>
    </row>
    <row r="188" spans="2:7" x14ac:dyDescent="0.3">
      <c r="B188" s="190"/>
      <c r="C188" s="190"/>
      <c r="D188" s="268"/>
      <c r="E188" s="190" t="s">
        <v>188</v>
      </c>
      <c r="F188" s="268"/>
      <c r="G188" s="268"/>
    </row>
    <row r="189" spans="2:7" x14ac:dyDescent="0.3">
      <c r="B189" s="190" t="s">
        <v>195</v>
      </c>
      <c r="C189" s="190"/>
      <c r="D189" s="268">
        <f t="shared" ref="D189:G199" si="41">((D175*$C$15)+(D161*$D$15))/($C$15+$D$15)</f>
        <v>0.43273591202796846</v>
      </c>
      <c r="E189" s="268" t="s">
        <v>194</v>
      </c>
      <c r="F189" s="268">
        <f t="shared" si="41"/>
        <v>0.25980215620335384</v>
      </c>
      <c r="G189" s="268">
        <f t="shared" si="41"/>
        <v>0.22603590906519025</v>
      </c>
    </row>
    <row r="190" spans="2:7" x14ac:dyDescent="0.3">
      <c r="B190" s="190" t="s">
        <v>196</v>
      </c>
      <c r="C190" s="190"/>
      <c r="D190" s="268">
        <f t="shared" si="41"/>
        <v>0.52914974745856735</v>
      </c>
      <c r="E190" s="268"/>
      <c r="F190" s="268">
        <f t="shared" si="41"/>
        <v>0.31768624124570166</v>
      </c>
      <c r="G190" s="268">
        <f t="shared" si="41"/>
        <v>5.3596219133103147E-2</v>
      </c>
    </row>
    <row r="191" spans="2:7" x14ac:dyDescent="0.3">
      <c r="B191" s="190" t="s">
        <v>197</v>
      </c>
      <c r="C191" s="190"/>
      <c r="D191" s="268">
        <f t="shared" si="41"/>
        <v>0.43273591202796835</v>
      </c>
      <c r="E191" s="268">
        <f t="shared" si="41"/>
        <v>8.1426022703487561E-2</v>
      </c>
      <c r="F191" s="268">
        <f t="shared" si="41"/>
        <v>0.25980215620335434</v>
      </c>
      <c r="G191" s="268">
        <f t="shared" si="41"/>
        <v>0.22603590906518967</v>
      </c>
    </row>
    <row r="192" spans="2:7" x14ac:dyDescent="0.3">
      <c r="B192" s="190" t="s">
        <v>198</v>
      </c>
      <c r="C192" s="190"/>
      <c r="D192" s="268">
        <f t="shared" si="41"/>
        <v>0.43273591202796835</v>
      </c>
      <c r="E192" s="268">
        <f t="shared" si="41"/>
        <v>9.9567792162627941E-2</v>
      </c>
      <c r="F192" s="268">
        <f t="shared" si="41"/>
        <v>0.25980215620335434</v>
      </c>
      <c r="G192" s="268">
        <f t="shared" si="41"/>
        <v>0.22603590906518967</v>
      </c>
    </row>
    <row r="193" spans="2:7" x14ac:dyDescent="0.3">
      <c r="B193" s="190" t="s">
        <v>199</v>
      </c>
      <c r="C193" s="190"/>
      <c r="D193" s="268">
        <f t="shared" si="41"/>
        <v>0.43273591202796846</v>
      </c>
      <c r="E193" s="268">
        <f t="shared" si="41"/>
        <v>8.1426022703487588E-2</v>
      </c>
      <c r="F193" s="268">
        <f t="shared" si="41"/>
        <v>0.25980215620335428</v>
      </c>
      <c r="G193" s="268">
        <f t="shared" si="41"/>
        <v>0.22603590906518969</v>
      </c>
    </row>
    <row r="194" spans="2:7" x14ac:dyDescent="0.3">
      <c r="B194" s="190" t="s">
        <v>200</v>
      </c>
      <c r="C194" s="190"/>
      <c r="D194" s="268">
        <f t="shared" si="41"/>
        <v>0.43273591202796846</v>
      </c>
      <c r="E194" s="268">
        <f t="shared" si="41"/>
        <v>8.1426022703487588E-2</v>
      </c>
      <c r="F194" s="268">
        <f t="shared" si="41"/>
        <v>0.25980215620335384</v>
      </c>
      <c r="G194" s="268">
        <f t="shared" si="41"/>
        <v>0.22603590906519025</v>
      </c>
    </row>
    <row r="195" spans="2:7" x14ac:dyDescent="0.3">
      <c r="B195" s="190" t="s">
        <v>201</v>
      </c>
      <c r="C195" s="190"/>
      <c r="D195" s="268">
        <f t="shared" si="41"/>
        <v>0.43273591202796846</v>
      </c>
      <c r="E195" s="268">
        <f t="shared" si="41"/>
        <v>8.1426022703487477E-2</v>
      </c>
      <c r="F195" s="268">
        <f t="shared" si="41"/>
        <v>0.25980215620335384</v>
      </c>
      <c r="G195" s="268">
        <f t="shared" si="41"/>
        <v>0.22603590906519025</v>
      </c>
    </row>
    <row r="196" spans="2:7" x14ac:dyDescent="0.3">
      <c r="B196" s="190" t="s">
        <v>202</v>
      </c>
      <c r="C196" s="190"/>
      <c r="D196" s="268">
        <f t="shared" si="41"/>
        <v>0.43273591202796824</v>
      </c>
      <c r="E196" s="268">
        <f t="shared" si="41"/>
        <v>8.1426022703487561E-2</v>
      </c>
      <c r="F196" s="268">
        <f t="shared" si="41"/>
        <v>0.25980215620335462</v>
      </c>
      <c r="G196" s="268">
        <f t="shared" si="41"/>
        <v>0.22603590906518978</v>
      </c>
    </row>
    <row r="197" spans="2:7" x14ac:dyDescent="0.3">
      <c r="B197" s="190" t="s">
        <v>203</v>
      </c>
      <c r="C197" s="190"/>
      <c r="D197" s="268">
        <f t="shared" si="41"/>
        <v>0.43273591202796957</v>
      </c>
      <c r="E197" s="268">
        <f t="shared" si="41"/>
        <v>8.1426022703487561E-2</v>
      </c>
      <c r="F197" s="268">
        <f t="shared" si="41"/>
        <v>0.25980215620335317</v>
      </c>
      <c r="G197" s="268">
        <f t="shared" si="41"/>
        <v>0.22603590906518975</v>
      </c>
    </row>
    <row r="198" spans="2:7" x14ac:dyDescent="0.3">
      <c r="E198" s="268">
        <f t="shared" si="41"/>
        <v>8.1426022703487491E-2</v>
      </c>
    </row>
    <row r="199" spans="2:7" x14ac:dyDescent="0.3">
      <c r="E199" s="268">
        <f t="shared" si="41"/>
        <v>8.1426022703487561E-2</v>
      </c>
    </row>
  </sheetData>
  <mergeCells count="11">
    <mergeCell ref="H2:I2"/>
    <mergeCell ref="B4:B5"/>
    <mergeCell ref="C4:E4"/>
    <mergeCell ref="F4:H4"/>
    <mergeCell ref="I4:K4"/>
    <mergeCell ref="R4:T4"/>
    <mergeCell ref="U4:W4"/>
    <mergeCell ref="X4:Z4"/>
    <mergeCell ref="K12:L12"/>
    <mergeCell ref="B60:H60"/>
    <mergeCell ref="Q4:Q5"/>
  </mergeCells>
  <conditionalFormatting sqref="K13:L13">
    <cfRule type="cellIs" dxfId="55" priority="1" operator="equal">
      <formula>"Escassez Hídrica"</formula>
    </cfRule>
    <cfRule type="cellIs" dxfId="54" priority="2" operator="equal">
      <formula>"VERDE"</formula>
    </cfRule>
    <cfRule type="cellIs" dxfId="53" priority="3" operator="equal">
      <formula>"BVM2"</formula>
    </cfRule>
    <cfRule type="cellIs" dxfId="52" priority="4" operator="equal">
      <formula>"BVM1"</formula>
    </cfRule>
    <cfRule type="cellIs" dxfId="51" priority="5" operator="equal">
      <formula>"BAM"</formula>
    </cfRule>
  </conditionalFormatting>
  <conditionalFormatting sqref="M3">
    <cfRule type="cellIs" dxfId="50" priority="11" operator="equal">
      <formula>"VERDE"</formula>
    </cfRule>
    <cfRule type="cellIs" dxfId="49" priority="12" operator="equal">
      <formula>"BVM2"</formula>
    </cfRule>
    <cfRule type="cellIs" dxfId="48" priority="13" operator="equal">
      <formula>"BVM1"</formula>
    </cfRule>
    <cfRule type="cellIs" dxfId="47" priority="14" operator="equal">
      <formula>"BAM"</formula>
    </cfRule>
  </conditionalFormatting>
  <conditionalFormatting sqref="M7">
    <cfRule type="containsText" dxfId="46" priority="6" operator="containsText" text="Escassez Hídrica">
      <formula>NOT(ISERROR(SEARCH("Escassez Hídrica",M7)))</formula>
    </cfRule>
    <cfRule type="cellIs" dxfId="45" priority="7" operator="equal">
      <formula>"VERDE"</formula>
    </cfRule>
    <cfRule type="cellIs" dxfId="44" priority="8" operator="equal">
      <formula>"BVM2"</formula>
    </cfRule>
    <cfRule type="cellIs" dxfId="43" priority="9" operator="equal">
      <formula>"BVM1"</formula>
    </cfRule>
    <cfRule type="cellIs" dxfId="42" priority="10" operator="equal">
      <formula>"BAM"</formula>
    </cfRule>
  </conditionalFormatting>
  <dataValidations count="1">
    <dataValidation type="list" allowBlank="1" showInputMessage="1" showErrorMessage="1" sqref="K13:L13" xr:uid="{C9EA0B2F-9418-4E12-BA3E-CCBD597933C0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216F-FF51-42ED-AF3B-D132061A7A76}">
  <sheetPr>
    <tabColor rgb="FFFFC000"/>
  </sheetPr>
  <dimension ref="A1:Z66"/>
  <sheetViews>
    <sheetView showGridLines="0" topLeftCell="A13" zoomScale="80" zoomScaleNormal="80" workbookViewId="0">
      <selection activeCell="H28" sqref="H28"/>
    </sheetView>
  </sheetViews>
  <sheetFormatPr defaultColWidth="9.109375" defaultRowHeight="14.4" x14ac:dyDescent="0.3"/>
  <cols>
    <col min="1" max="1" width="5.44140625" style="19" customWidth="1"/>
    <col min="2" max="10" width="12.6640625" style="19" customWidth="1"/>
    <col min="11" max="12" width="14.33203125" style="19" customWidth="1"/>
    <col min="13" max="14" width="12.6640625" style="19" customWidth="1"/>
    <col min="15" max="15" width="12.109375" style="19" customWidth="1"/>
    <col min="16" max="16" width="13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F1" s="24"/>
      <c r="G1" s="1"/>
      <c r="H1" s="1"/>
      <c r="I1" s="1"/>
      <c r="J1" s="1"/>
      <c r="K1" s="1"/>
    </row>
    <row r="2" spans="1:26" ht="18" x14ac:dyDescent="0.3">
      <c r="B2" s="25" t="s">
        <v>72</v>
      </c>
      <c r="C2" s="26" t="s">
        <v>73</v>
      </c>
      <c r="E2" s="20" t="s">
        <v>28</v>
      </c>
      <c r="F2" s="21">
        <f>'[5]A2 Azul'!F2</f>
        <v>45145</v>
      </c>
      <c r="G2" s="1" t="s">
        <v>8</v>
      </c>
      <c r="I2" s="86" t="s">
        <v>74</v>
      </c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[5]BANDEIRA!$D$4</f>
        <v>0</v>
      </c>
    </row>
    <row r="4" spans="1:26" ht="15" customHeight="1" x14ac:dyDescent="0.3">
      <c r="B4" s="451" t="s">
        <v>31</v>
      </c>
      <c r="C4" s="453" t="str">
        <f>'[5]A2 Azul'!C4:E4</f>
        <v>TARIFA ANTIGA - REH 3091/2022</v>
      </c>
      <c r="D4" s="454"/>
      <c r="E4" s="455"/>
      <c r="F4" s="453" t="str">
        <f>'[5]A2 Azul'!F4:H4</f>
        <v>TARIFA NOVA - REH 3241/2023</v>
      </c>
      <c r="G4" s="454"/>
      <c r="H4" s="455"/>
      <c r="I4" s="453" t="s">
        <v>32</v>
      </c>
      <c r="J4" s="454"/>
      <c r="K4" s="455"/>
      <c r="M4" s="9" t="s">
        <v>14</v>
      </c>
      <c r="N4" s="10">
        <f>[5]BANDEIRA!$D$5</f>
        <v>2.989E-2</v>
      </c>
      <c r="Q4" s="451" t="s">
        <v>31</v>
      </c>
      <c r="R4" s="453" t="str">
        <f>C4</f>
        <v>TARIFA ANTIGA - REH 3091/2022</v>
      </c>
      <c r="S4" s="454"/>
      <c r="T4" s="455"/>
      <c r="U4" s="453" t="str">
        <f>F4</f>
        <v>TARIFA NOVA - REH 3241/2023</v>
      </c>
      <c r="V4" s="454"/>
      <c r="W4" s="455"/>
      <c r="X4" s="453" t="s">
        <v>32</v>
      </c>
      <c r="Y4" s="454"/>
      <c r="Z4" s="455"/>
    </row>
    <row r="5" spans="1:26" x14ac:dyDescent="0.3">
      <c r="B5" s="452"/>
      <c r="C5" s="28" t="s">
        <v>75</v>
      </c>
      <c r="D5" s="28" t="s">
        <v>35</v>
      </c>
      <c r="E5" s="28" t="s">
        <v>76</v>
      </c>
      <c r="F5" s="28" t="s">
        <v>75</v>
      </c>
      <c r="G5" s="28" t="s">
        <v>35</v>
      </c>
      <c r="H5" s="28" t="s">
        <v>76</v>
      </c>
      <c r="I5" s="28" t="s">
        <v>75</v>
      </c>
      <c r="J5" s="28" t="s">
        <v>35</v>
      </c>
      <c r="K5" s="28" t="s">
        <v>76</v>
      </c>
      <c r="M5" s="11" t="s">
        <v>15</v>
      </c>
      <c r="N5" s="12">
        <f>[5]BANDEIRA!$D$6</f>
        <v>6.5000000000000002E-2</v>
      </c>
      <c r="Q5" s="452"/>
      <c r="R5" s="28" t="s">
        <v>75</v>
      </c>
      <c r="S5" s="28" t="s">
        <v>75</v>
      </c>
      <c r="T5"/>
      <c r="U5" s="28" t="s">
        <v>75</v>
      </c>
      <c r="V5" s="28" t="s">
        <v>75</v>
      </c>
      <c r="W5"/>
      <c r="X5" s="28" t="s">
        <v>75</v>
      </c>
      <c r="Y5" s="28" t="s">
        <v>75</v>
      </c>
      <c r="Z5"/>
    </row>
    <row r="6" spans="1:26" x14ac:dyDescent="0.3">
      <c r="B6" s="30" t="s">
        <v>77</v>
      </c>
      <c r="C6" s="31">
        <f>'[5]TABELA DE TARIFAS ANTIGAS'!E52</f>
        <v>30.44</v>
      </c>
      <c r="D6" s="31">
        <f>'[5]TABELA DE TARIFAS ANTIGAS'!F53/1000</f>
        <v>1.2400199999999999</v>
      </c>
      <c r="E6" s="31">
        <f>'[5]TABELA DE TARIFAS ANTIGAS'!G53/1000</f>
        <v>0.42260000000000003</v>
      </c>
      <c r="F6" s="31">
        <f>'[5]TABELA DE TARIFAS NOVAS'!E52</f>
        <v>31.53</v>
      </c>
      <c r="G6" s="31">
        <f>'[5]TABELA DE TARIFAS NOVAS'!F53/1000</f>
        <v>1.26783</v>
      </c>
      <c r="H6" s="31">
        <f>'[5]TABELA DE TARIFAS NOVAS'!G53/1000</f>
        <v>0.45802999999999999</v>
      </c>
      <c r="I6" s="31">
        <f>((C6*$C$17)+(F6*$D$17))/($D$17+$C$17)</f>
        <v>31.319032258064517</v>
      </c>
      <c r="J6" s="31">
        <f>((D6*$C$17)+(G6*$D$17))/($D$17+$C$17)</f>
        <v>1.2624474193548385</v>
      </c>
      <c r="K6" s="31">
        <f>((E6*$C$17)+(H6*$D$17))/($D$17+$C$17)</f>
        <v>0.4511725806451613</v>
      </c>
      <c r="M6" s="13" t="s">
        <v>16</v>
      </c>
      <c r="N6" s="14">
        <f>[5]BANDEIRA!$D$7</f>
        <v>9.7949999999999995E-2</v>
      </c>
      <c r="Q6" s="30" t="str">
        <f>B6</f>
        <v>A4 Verde P</v>
      </c>
      <c r="R6" s="31">
        <f>'[5]Grupo A_FIO B'!F49</f>
        <v>26.16</v>
      </c>
      <c r="S6" s="31">
        <f>'[5]Grupo A_FIO B'!G50/1000</f>
        <v>0.93588000000000005</v>
      </c>
      <c r="T6"/>
      <c r="U6" s="31">
        <f>'[5]Grupo A_FIO B'!I49</f>
        <v>24.04</v>
      </c>
      <c r="V6" s="31">
        <f>'[5]Grupo A_FIO B'!J50/1000</f>
        <v>0.86024</v>
      </c>
      <c r="W6"/>
      <c r="X6" s="31">
        <f>((R6*$C$17)+(U6*$D$17))/($D$17+$C$17)</f>
        <v>24.450322580645164</v>
      </c>
      <c r="Y6" s="31">
        <f>((S6*$C$17)+(V6*$D$17))/($D$17+$C$17)</f>
        <v>0.87487999999999999</v>
      </c>
      <c r="Z6"/>
    </row>
    <row r="7" spans="1:26" x14ac:dyDescent="0.3">
      <c r="B7" s="30" t="s">
        <v>78</v>
      </c>
      <c r="C7" s="31"/>
      <c r="D7" s="31">
        <f>'[5]TABELA DE TARIFAS ANTIGAS'!F54/1000</f>
        <v>0.13433</v>
      </c>
      <c r="E7" s="31">
        <f>'[5]TABELA DE TARIFAS ANTIGAS'!G54/1000</f>
        <v>0.26380000000000003</v>
      </c>
      <c r="F7" s="31"/>
      <c r="G7" s="31">
        <f>'[5]TABELA DE TARIFAS NOVAS'!F54/1000</f>
        <v>0.12117</v>
      </c>
      <c r="H7" s="31">
        <f>'[5]TABELA DE TARIFAS NOVAS'!G54/1000</f>
        <v>0.29041</v>
      </c>
      <c r="I7" s="31"/>
      <c r="J7" s="31">
        <f>((D7*$C$17)+(G7*$D$17))/($D$17+$C$17)</f>
        <v>0.12371709677419356</v>
      </c>
      <c r="K7" s="31">
        <f>((E7*$C$17)+(H7*$D$17))/($D$17+$C$17)</f>
        <v>0.28525967741935482</v>
      </c>
      <c r="M7" s="7" t="s">
        <v>17</v>
      </c>
      <c r="N7" s="15">
        <f>[5]BANDEIRA!$D$8</f>
        <v>0.14199999999999999</v>
      </c>
      <c r="O7" s="20"/>
      <c r="P7" s="1"/>
      <c r="Q7" s="30" t="str">
        <f>B7</f>
        <v>A4 Verde FP</v>
      </c>
      <c r="R7" s="31"/>
      <c r="S7" s="31"/>
      <c r="T7"/>
      <c r="U7" s="31"/>
      <c r="V7" s="31"/>
      <c r="W7"/>
      <c r="X7" s="31"/>
      <c r="Y7" s="31"/>
      <c r="Z7"/>
    </row>
    <row r="8" spans="1:26" x14ac:dyDescent="0.3">
      <c r="B8" s="30" t="s">
        <v>36</v>
      </c>
      <c r="C8" s="31"/>
      <c r="D8" s="31">
        <f>'[5]TABELA DE TARIFAS ANTIGAS'!G71/1000</f>
        <v>0.39681</v>
      </c>
      <c r="E8" s="31">
        <f>'[5]TABELA DE TARIFAS ANTIGAS'!H71/1000</f>
        <v>0.27703</v>
      </c>
      <c r="F8" s="31"/>
      <c r="G8" s="31">
        <f>'[5]TABELA DE TARIFAS NOVAS'!G71/1000</f>
        <v>0.39252999999999999</v>
      </c>
      <c r="H8" s="31">
        <f>'[5]TABELA DE TARIFAS NOVAS'!H71/1000</f>
        <v>0.30560000000000004</v>
      </c>
      <c r="I8" s="31"/>
      <c r="J8" s="31">
        <f>((D8*$C$17)+(G8*$D$17))/($D$17+$C$17)</f>
        <v>0.39335838709677418</v>
      </c>
      <c r="K8" s="31">
        <f>((E8*$C$17)+(H8*$D$17))/($D$17+$C$17)</f>
        <v>0.30007032258064514</v>
      </c>
      <c r="O8" s="20"/>
      <c r="P8" s="1"/>
      <c r="Q8"/>
      <c r="R8"/>
      <c r="S8"/>
      <c r="T8"/>
      <c r="U8"/>
      <c r="V8"/>
      <c r="W8"/>
      <c r="X8"/>
      <c r="Y8"/>
      <c r="Z8"/>
    </row>
    <row r="9" spans="1:26" x14ac:dyDescent="0.3">
      <c r="B9" s="94" t="s">
        <v>111</v>
      </c>
      <c r="C9" s="83"/>
      <c r="D9" s="83"/>
      <c r="E9" s="83"/>
      <c r="F9" s="83"/>
      <c r="H9" s="81">
        <f>H6*15%</f>
        <v>6.8704500000000002E-2</v>
      </c>
      <c r="I9" s="83"/>
      <c r="K9" s="31">
        <f>((D9*$C$17)+(H9*$D$17))/($D$17+$C$17)</f>
        <v>5.5406854838709677E-2</v>
      </c>
      <c r="O9" s="20"/>
      <c r="P9" s="1"/>
      <c r="Q9"/>
      <c r="R9"/>
      <c r="S9"/>
      <c r="T9"/>
      <c r="U9"/>
      <c r="V9"/>
      <c r="W9"/>
      <c r="X9"/>
      <c r="Y9"/>
      <c r="Z9"/>
    </row>
    <row r="10" spans="1:26" x14ac:dyDescent="0.3">
      <c r="B10" s="94" t="s">
        <v>112</v>
      </c>
      <c r="C10" s="83"/>
      <c r="D10" s="83"/>
      <c r="E10" s="83"/>
      <c r="F10" s="83"/>
      <c r="H10" s="81">
        <f>H7*15%</f>
        <v>4.3561499999999996E-2</v>
      </c>
      <c r="I10" s="83"/>
      <c r="K10" s="31">
        <f>((D10*$C$17)+(H10*$D$17))/($D$17+$C$17)</f>
        <v>3.513024193548387E-2</v>
      </c>
      <c r="O10" s="20"/>
      <c r="P10" s="1"/>
      <c r="Q10"/>
      <c r="R10"/>
      <c r="S10"/>
      <c r="T10"/>
      <c r="U10"/>
      <c r="V10"/>
      <c r="W10"/>
      <c r="X10"/>
      <c r="Y10"/>
      <c r="Z10"/>
    </row>
    <row r="11" spans="1:26" x14ac:dyDescent="0.3">
      <c r="B11"/>
      <c r="C11"/>
      <c r="D11"/>
      <c r="E11"/>
      <c r="F11"/>
      <c r="G11"/>
      <c r="H11"/>
      <c r="I11"/>
      <c r="J11"/>
      <c r="K11"/>
      <c r="O11" s="20"/>
      <c r="P11" s="1"/>
      <c r="Q11"/>
      <c r="R11"/>
      <c r="S11"/>
      <c r="T11"/>
      <c r="U11"/>
      <c r="V11"/>
      <c r="W11"/>
      <c r="X11"/>
      <c r="Y11"/>
      <c r="Z11"/>
    </row>
    <row r="12" spans="1:26" s="1" customFormat="1" x14ac:dyDescent="0.3">
      <c r="B12" s="115" t="s">
        <v>73</v>
      </c>
    </row>
    <row r="13" spans="1:26" x14ac:dyDescent="0.3">
      <c r="B13" s="34"/>
      <c r="C13" s="35"/>
      <c r="D13" s="36"/>
      <c r="E13" s="35"/>
      <c r="F13" s="35"/>
      <c r="G13" s="35"/>
      <c r="H13" s="37" t="s">
        <v>37</v>
      </c>
      <c r="I13" s="1"/>
      <c r="L13" s="20" t="s">
        <v>25</v>
      </c>
      <c r="M13" s="21">
        <f>EOMONTH(B17,0)+1</f>
        <v>45139</v>
      </c>
    </row>
    <row r="14" spans="1:26" x14ac:dyDescent="0.3">
      <c r="B14" s="38" t="s">
        <v>38</v>
      </c>
      <c r="C14" s="39">
        <v>1175387</v>
      </c>
      <c r="E14" s="1"/>
      <c r="F14" s="1"/>
      <c r="G14" s="1"/>
      <c r="H14" s="40">
        <f>E17</f>
        <v>45169</v>
      </c>
      <c r="K14" s="458" t="s">
        <v>26</v>
      </c>
      <c r="L14" s="458"/>
    </row>
    <row r="15" spans="1:26" x14ac:dyDescent="0.3">
      <c r="B15" s="41"/>
      <c r="H15" s="43"/>
      <c r="K15" s="7" t="s">
        <v>13</v>
      </c>
      <c r="L15" s="7" t="s">
        <v>13</v>
      </c>
    </row>
    <row r="16" spans="1:26" ht="27.6" x14ac:dyDescent="0.3">
      <c r="B16" s="16" t="s">
        <v>21</v>
      </c>
      <c r="C16" s="16" t="s">
        <v>22</v>
      </c>
      <c r="D16" s="16" t="s">
        <v>23</v>
      </c>
      <c r="E16" s="16" t="s">
        <v>24</v>
      </c>
      <c r="F16" s="1"/>
      <c r="G16" s="1"/>
      <c r="H16" s="43"/>
      <c r="J16" s="16" t="s">
        <v>21</v>
      </c>
      <c r="K16" s="16" t="s">
        <v>22</v>
      </c>
      <c r="L16" s="16" t="s">
        <v>23</v>
      </c>
      <c r="M16" s="16" t="s">
        <v>24</v>
      </c>
    </row>
    <row r="17" spans="2:18" x14ac:dyDescent="0.3">
      <c r="B17" s="17">
        <v>45138</v>
      </c>
      <c r="C17" s="18">
        <f>IF((F2-B17-1)&lt;0,0,(F2-B17-1))</f>
        <v>6</v>
      </c>
      <c r="D17" s="18">
        <f>E17-F2+1</f>
        <v>25</v>
      </c>
      <c r="E17" s="17">
        <v>45169</v>
      </c>
      <c r="F17" s="44"/>
      <c r="G17" s="44"/>
      <c r="H17" s="45"/>
      <c r="J17" s="22">
        <f>B17</f>
        <v>45138</v>
      </c>
      <c r="K17" s="23">
        <f>IF((M13-J17-1)&lt;0,0,(M13-J17-1))</f>
        <v>0</v>
      </c>
      <c r="L17" s="23">
        <f>M17-M13+1</f>
        <v>31</v>
      </c>
      <c r="M17" s="22">
        <f>E17</f>
        <v>45169</v>
      </c>
      <c r="N17"/>
      <c r="O17"/>
      <c r="P17"/>
    </row>
    <row r="18" spans="2:18" x14ac:dyDescent="0.3">
      <c r="N18"/>
      <c r="O18"/>
      <c r="P18"/>
      <c r="Q18"/>
      <c r="R18"/>
    </row>
    <row r="19" spans="2:18" x14ac:dyDescent="0.3">
      <c r="B19" s="5" t="s">
        <v>55</v>
      </c>
      <c r="E19" s="26" t="s">
        <v>117</v>
      </c>
      <c r="F19" s="85">
        <v>0.88680000000000003</v>
      </c>
      <c r="G19" s="86" t="s">
        <v>118</v>
      </c>
      <c r="H19" s="85">
        <v>1</v>
      </c>
      <c r="N19"/>
      <c r="O19"/>
      <c r="P19"/>
      <c r="Q19"/>
      <c r="R19"/>
    </row>
    <row r="20" spans="2:18" x14ac:dyDescent="0.3">
      <c r="B20" s="5"/>
      <c r="E20" s="26" t="s">
        <v>119</v>
      </c>
      <c r="F20" s="85">
        <v>1</v>
      </c>
      <c r="G20" s="86" t="s">
        <v>120</v>
      </c>
      <c r="H20" s="85">
        <v>1</v>
      </c>
      <c r="N20"/>
      <c r="O20"/>
      <c r="P20"/>
      <c r="Q20"/>
      <c r="R20"/>
    </row>
    <row r="21" spans="2:18" x14ac:dyDescent="0.3">
      <c r="N21"/>
      <c r="O21"/>
      <c r="P21"/>
      <c r="Q21"/>
      <c r="R21"/>
    </row>
    <row r="22" spans="2:18" x14ac:dyDescent="0.3">
      <c r="B22" s="508" t="s">
        <v>79</v>
      </c>
      <c r="C22" s="509"/>
      <c r="D22" s="509"/>
      <c r="E22" s="509"/>
      <c r="F22" s="509"/>
      <c r="G22" s="509"/>
      <c r="H22" s="510"/>
      <c r="I22"/>
      <c r="J22" s="124" t="s">
        <v>80</v>
      </c>
      <c r="K22" s="1"/>
      <c r="L22" s="125"/>
      <c r="M22" s="1"/>
      <c r="N22" s="1"/>
      <c r="O22"/>
      <c r="P22"/>
      <c r="Q22"/>
      <c r="R22"/>
    </row>
    <row r="23" spans="2:18" x14ac:dyDescent="0.3">
      <c r="B23" s="126"/>
      <c r="C23" s="127"/>
      <c r="D23" s="128" t="s">
        <v>40</v>
      </c>
      <c r="E23" s="128" t="s">
        <v>10</v>
      </c>
      <c r="F23" s="127" t="s">
        <v>9</v>
      </c>
      <c r="G23" s="128" t="s">
        <v>34</v>
      </c>
      <c r="H23" s="129" t="s">
        <v>7</v>
      </c>
      <c r="I23"/>
      <c r="J23" s="1"/>
      <c r="K23" s="1"/>
      <c r="L23" s="1"/>
      <c r="M23" s="1"/>
      <c r="N23" s="1"/>
      <c r="O23"/>
      <c r="P23"/>
      <c r="Q23"/>
      <c r="R23"/>
    </row>
    <row r="24" spans="2:18" x14ac:dyDescent="0.3">
      <c r="B24" s="126"/>
      <c r="C24" s="127"/>
      <c r="D24" s="128"/>
      <c r="E24" s="128"/>
      <c r="F24" s="127"/>
      <c r="G24" s="128"/>
      <c r="H24" s="129"/>
      <c r="I24"/>
      <c r="J24" s="26" t="s">
        <v>81</v>
      </c>
      <c r="K24" s="26" t="s">
        <v>82</v>
      </c>
      <c r="L24" s="1"/>
      <c r="M24" s="1"/>
      <c r="N24" s="1"/>
      <c r="O24"/>
      <c r="P24"/>
      <c r="Q24"/>
      <c r="R24"/>
    </row>
    <row r="25" spans="2:18" x14ac:dyDescent="0.3">
      <c r="B25" s="126" t="s">
        <v>83</v>
      </c>
      <c r="C25" s="127"/>
      <c r="D25" s="130">
        <v>1290.8358000000001</v>
      </c>
      <c r="E25" s="131">
        <f>IF(AND($B$17&lt;$F$2,$E$17&lt;$F$2),D6,IF($B$17&lt;$F$2,J6,G6))</f>
        <v>1.2624474193548385</v>
      </c>
      <c r="F25" s="131">
        <f>IF(AND($B$17&lt;$F$2,$E$17&lt;$F$2),E6,IF($B$17&lt;$F$2,K6,H6))</f>
        <v>0.4511725806451613</v>
      </c>
      <c r="G25" s="131">
        <f>E25+F25</f>
        <v>1.7136199999999997</v>
      </c>
      <c r="H25" s="132">
        <f>ROUND((D25*E25),2)+ROUND((D25*F25),2)</f>
        <v>2212</v>
      </c>
      <c r="I25"/>
      <c r="J25" s="133">
        <f>IF(AND($B$17&lt;$F$2,$E$17&lt;$F$2),S6,IF($B$17&lt;$F$2,Y6,V6))</f>
        <v>0.87487999999999999</v>
      </c>
      <c r="K25" s="134">
        <f>D25*J25</f>
        <v>1129.3264247040001</v>
      </c>
      <c r="L25" s="135"/>
      <c r="M25" s="1"/>
      <c r="N25" s="1"/>
      <c r="O25" s="1"/>
      <c r="P25" s="1"/>
    </row>
    <row r="26" spans="2:18" x14ac:dyDescent="0.3">
      <c r="B26" s="126" t="s">
        <v>84</v>
      </c>
      <c r="C26" s="127"/>
      <c r="D26" s="130">
        <v>12358.3266</v>
      </c>
      <c r="E26" s="131">
        <f>IF(AND($B$17&lt;$F$2,$E$17&lt;$F$2),D7,IF($B$17&lt;$F$2,J7,G7))</f>
        <v>0.12371709677419356</v>
      </c>
      <c r="F26" s="131">
        <f>IF(AND($B$17&lt;$F$2,$E$17&lt;$F$2),E7,IF($B$17&lt;$F$2,K7,H7))</f>
        <v>0.28525967741935482</v>
      </c>
      <c r="G26" s="131">
        <f>E26+F26</f>
        <v>0.40897677419354839</v>
      </c>
      <c r="H26" s="132">
        <f>ROUND((D26*E26),2)+ROUND((D26*F26),2)</f>
        <v>5054.2700000000004</v>
      </c>
      <c r="I26"/>
      <c r="J26"/>
      <c r="K26"/>
      <c r="L26"/>
      <c r="M26" s="1"/>
      <c r="N26" s="1"/>
      <c r="O26" s="1"/>
      <c r="P26" s="1"/>
    </row>
    <row r="27" spans="2:18" x14ac:dyDescent="0.3">
      <c r="B27" s="126"/>
      <c r="C27" s="127"/>
      <c r="D27" s="136"/>
      <c r="E27" s="127"/>
      <c r="F27" s="127"/>
      <c r="G27" s="127"/>
      <c r="H27" s="129"/>
      <c r="I27"/>
      <c r="J27" s="1"/>
      <c r="K27" s="1"/>
      <c r="L27" s="1"/>
      <c r="M27" s="1"/>
      <c r="N27" s="1"/>
      <c r="O27" s="1"/>
      <c r="P27" s="1"/>
    </row>
    <row r="28" spans="2:18" x14ac:dyDescent="0.3">
      <c r="B28" s="126" t="s">
        <v>85</v>
      </c>
      <c r="C28" s="127"/>
      <c r="D28" s="137">
        <f>IF($K$15=$M$4,((D25+D26)*(K17)/(K17+L17)),0)+IF($L$15=$M$4,((D25+D26)*(L17)/(K17+L17)),0)</f>
        <v>0</v>
      </c>
      <c r="E28" s="127"/>
      <c r="F28" s="138">
        <f>N4</f>
        <v>2.989E-2</v>
      </c>
      <c r="G28" s="127"/>
      <c r="H28" s="132">
        <f>ROUND(D28*(E28+F28),2)</f>
        <v>0</v>
      </c>
      <c r="I28"/>
      <c r="J28" s="1"/>
      <c r="K28" s="1"/>
      <c r="L28" s="1"/>
      <c r="M28" s="1"/>
      <c r="N28" s="1"/>
      <c r="O28" s="1"/>
      <c r="P28" s="1"/>
    </row>
    <row r="29" spans="2:18" x14ac:dyDescent="0.3">
      <c r="B29" s="126" t="s">
        <v>44</v>
      </c>
      <c r="C29" s="127"/>
      <c r="D29" s="137">
        <f>IF($K$15=$M$5,((D25+D26)*(K17)/(K17+L17)),0)+IF($L$15=$M$5,((D25+D26)*(L17)/(K17+L17)),0)</f>
        <v>0</v>
      </c>
      <c r="E29" s="127"/>
      <c r="F29" s="138">
        <f>N5</f>
        <v>6.5000000000000002E-2</v>
      </c>
      <c r="G29" s="127"/>
      <c r="H29" s="132">
        <f>ROUND(D29*(E29+F29),2)</f>
        <v>0</v>
      </c>
      <c r="I29"/>
      <c r="K29" s="1"/>
      <c r="L29" s="1"/>
      <c r="M29" s="1"/>
      <c r="N29" s="1"/>
      <c r="O29" s="1"/>
      <c r="P29" s="1"/>
    </row>
    <row r="30" spans="2:18" x14ac:dyDescent="0.3">
      <c r="B30" s="126" t="s">
        <v>45</v>
      </c>
      <c r="C30" s="127"/>
      <c r="D30" s="137">
        <f>IF($K$15=$M$6,((D25+D26)*(K17)/(K17+L17)),0)+IF($L$15=$M$6,((D25+D26)*(L17)/(K17+L17)),0)</f>
        <v>0</v>
      </c>
      <c r="E30" s="127"/>
      <c r="F30" s="138">
        <f>N6</f>
        <v>9.7949999999999995E-2</v>
      </c>
      <c r="G30" s="127"/>
      <c r="H30" s="132">
        <f>ROUND(D30*(E30+F30),2)</f>
        <v>0</v>
      </c>
      <c r="I30"/>
      <c r="K30" s="1"/>
      <c r="L30" s="1"/>
      <c r="M30" s="1"/>
      <c r="N30" s="1"/>
      <c r="O30" s="1"/>
      <c r="P30" s="1"/>
    </row>
    <row r="31" spans="2:18" x14ac:dyDescent="0.3">
      <c r="B31" s="126" t="s">
        <v>86</v>
      </c>
      <c r="C31" s="127"/>
      <c r="D31" s="137">
        <f>IF($K$15=$M$7,((D25+D26)*(K17)/(K17+L17)),0)+IF($L$15=$M$7,((D25+D26)*(L17)/(K17+L17)),0)</f>
        <v>0</v>
      </c>
      <c r="E31" s="127"/>
      <c r="F31" s="138">
        <f>N7</f>
        <v>0.14199999999999999</v>
      </c>
      <c r="G31" s="127"/>
      <c r="H31" s="132">
        <f>ROUND(D31*(E31+F31),2)</f>
        <v>0</v>
      </c>
      <c r="I31"/>
      <c r="K31" s="1"/>
      <c r="L31" s="1"/>
      <c r="M31" s="1"/>
      <c r="N31" s="1"/>
      <c r="O31" s="1"/>
      <c r="P31" s="1"/>
    </row>
    <row r="32" spans="2:18" x14ac:dyDescent="0.3">
      <c r="B32" s="126"/>
      <c r="C32" s="127"/>
      <c r="D32" s="139"/>
      <c r="E32" s="127"/>
      <c r="F32" s="127"/>
      <c r="G32" s="127"/>
      <c r="H32" s="129"/>
      <c r="I32"/>
      <c r="K32" s="1"/>
      <c r="L32" s="1"/>
      <c r="M32" s="1"/>
      <c r="N32" s="1"/>
      <c r="O32" s="1"/>
      <c r="P32" s="1"/>
    </row>
    <row r="33" spans="2:16" x14ac:dyDescent="0.3">
      <c r="B33" s="126" t="s">
        <v>87</v>
      </c>
      <c r="C33" s="127"/>
      <c r="D33" s="118">
        <v>0</v>
      </c>
      <c r="E33" s="140">
        <f>-E25</f>
        <v>-1.2624474193548385</v>
      </c>
      <c r="F33" s="140">
        <f>-F25</f>
        <v>-0.4511725806451613</v>
      </c>
      <c r="G33" s="127"/>
      <c r="H33" s="132">
        <f>ROUND(D33*(E33+F33),2)</f>
        <v>0</v>
      </c>
      <c r="I33"/>
      <c r="K33" s="1"/>
      <c r="L33" s="1"/>
      <c r="M33" s="1"/>
      <c r="N33" s="1"/>
      <c r="O33" s="1"/>
      <c r="P33" s="1"/>
    </row>
    <row r="34" spans="2:16" x14ac:dyDescent="0.3">
      <c r="B34" s="126" t="s">
        <v>88</v>
      </c>
      <c r="C34" s="127"/>
      <c r="D34" s="118">
        <v>-1422.72</v>
      </c>
      <c r="E34" s="140">
        <f>-E26</f>
        <v>-0.12371709677419356</v>
      </c>
      <c r="F34" s="140">
        <f>-F26</f>
        <v>-0.28525967741935482</v>
      </c>
      <c r="G34" s="127"/>
      <c r="H34" s="132">
        <f>ROUND(D34*(E34+F34),2)</f>
        <v>581.86</v>
      </c>
      <c r="I34"/>
      <c r="K34" s="1"/>
      <c r="L34" s="1"/>
      <c r="M34" s="1"/>
      <c r="N34" s="1"/>
      <c r="O34" s="1"/>
      <c r="P34" s="1"/>
    </row>
    <row r="35" spans="2:16" x14ac:dyDescent="0.3">
      <c r="B35" s="126"/>
      <c r="C35" s="127"/>
      <c r="D35" s="136"/>
      <c r="E35" s="127"/>
      <c r="F35" s="127"/>
      <c r="G35" s="127"/>
      <c r="H35" s="129"/>
      <c r="I35"/>
      <c r="K35" s="1"/>
      <c r="L35" s="1"/>
      <c r="M35" s="1"/>
      <c r="N35" s="1"/>
      <c r="O35" s="1"/>
      <c r="P35" s="1"/>
    </row>
    <row r="36" spans="2:16" x14ac:dyDescent="0.3">
      <c r="B36" s="126" t="s">
        <v>85</v>
      </c>
      <c r="C36" s="127"/>
      <c r="D36" s="137">
        <f>IF($K$15=$M$4,((D33+D34)*(K17)/(K17+L17)),0)+IF($L$15=$M$4,((D33+D34)*(L17)/(K17+L17)),0)</f>
        <v>0</v>
      </c>
      <c r="E36" s="127"/>
      <c r="F36" s="138">
        <f>-F28</f>
        <v>-2.989E-2</v>
      </c>
      <c r="G36" s="127"/>
      <c r="H36" s="132">
        <f>ROUND(D36*(E36+F36),2)</f>
        <v>0</v>
      </c>
      <c r="I36"/>
      <c r="K36" s="1"/>
      <c r="L36" s="1"/>
      <c r="M36" s="1"/>
      <c r="N36" s="1"/>
      <c r="O36" s="1"/>
      <c r="P36" s="1"/>
    </row>
    <row r="37" spans="2:16" x14ac:dyDescent="0.3">
      <c r="B37" s="126" t="s">
        <v>44</v>
      </c>
      <c r="C37" s="127"/>
      <c r="D37" s="137">
        <f>IF($K$15=$M$5,((D33+D34)*(K17)/(K17+L17)),0)+IF($L$15=$M$5,((D33+D34)*(L17)/(K17+L17)),0)</f>
        <v>0</v>
      </c>
      <c r="E37" s="127"/>
      <c r="F37" s="138">
        <f t="shared" ref="F37:F39" si="0">-F29</f>
        <v>-6.5000000000000002E-2</v>
      </c>
      <c r="G37" s="127"/>
      <c r="H37" s="132">
        <f>ROUND(D37*(E37+F37),2)</f>
        <v>0</v>
      </c>
      <c r="I37"/>
      <c r="K37" s="1"/>
      <c r="L37" s="1"/>
      <c r="M37" s="1"/>
      <c r="N37" s="1"/>
      <c r="O37" s="1"/>
      <c r="P37" s="1"/>
    </row>
    <row r="38" spans="2:16" x14ac:dyDescent="0.3">
      <c r="B38" s="126" t="s">
        <v>45</v>
      </c>
      <c r="C38" s="127"/>
      <c r="D38" s="137">
        <f>IF($K$15=$M$6,((D33+D34)*(K17)/(K17+L17)),0)+IF($L$15=$M$6,((D33+D34)*(L17)/(K17+L17)),0)</f>
        <v>0</v>
      </c>
      <c r="E38" s="127"/>
      <c r="F38" s="138">
        <f t="shared" si="0"/>
        <v>-9.7949999999999995E-2</v>
      </c>
      <c r="G38" s="127"/>
      <c r="H38" s="132">
        <f>ROUND(D38*(E38+F38),2)</f>
        <v>0</v>
      </c>
      <c r="I38"/>
      <c r="K38" s="1"/>
      <c r="L38" s="1"/>
      <c r="M38" s="1"/>
      <c r="N38" s="1"/>
      <c r="O38" s="1"/>
      <c r="P38" s="1"/>
    </row>
    <row r="39" spans="2:16" x14ac:dyDescent="0.3">
      <c r="B39" s="126" t="s">
        <v>86</v>
      </c>
      <c r="C39" s="127"/>
      <c r="D39" s="137">
        <f>IF($K$15=$M$7,((D33+D34)*(K17)/(K17+L17)),0)+IF($L$15=$M$7,((D33+D34)*(L17)/(K17+L17)),0)</f>
        <v>0</v>
      </c>
      <c r="E39" s="127"/>
      <c r="F39" s="138">
        <f t="shared" si="0"/>
        <v>-0.14199999999999999</v>
      </c>
      <c r="G39" s="127"/>
      <c r="H39" s="132">
        <f>ROUND(D39*(E39+F39),2)</f>
        <v>0</v>
      </c>
      <c r="I39"/>
      <c r="K39" s="1"/>
      <c r="L39" s="1"/>
      <c r="M39" s="1"/>
      <c r="N39" s="1"/>
      <c r="O39" s="1"/>
      <c r="P39" s="1"/>
    </row>
    <row r="40" spans="2:16" x14ac:dyDescent="0.3">
      <c r="B40" s="126"/>
      <c r="C40" s="127"/>
      <c r="D40" s="136"/>
      <c r="E40" s="127"/>
      <c r="F40" s="127"/>
      <c r="G40" s="127"/>
      <c r="H40" s="129"/>
      <c r="I40"/>
      <c r="J40" s="26" t="s">
        <v>81</v>
      </c>
      <c r="K40" s="26" t="s">
        <v>82</v>
      </c>
      <c r="L40" s="26" t="s">
        <v>89</v>
      </c>
      <c r="M40" s="1"/>
      <c r="N40" s="1"/>
      <c r="O40" s="1"/>
      <c r="P40" s="1"/>
    </row>
    <row r="41" spans="2:16" x14ac:dyDescent="0.3">
      <c r="B41" s="126" t="s">
        <v>90</v>
      </c>
      <c r="C41" s="127"/>
      <c r="D41" s="130">
        <v>100.86</v>
      </c>
      <c r="E41" s="131">
        <f>IF(AND($B$17&lt;$F$2,$E$17&lt;$F$2),C6,IF($B$17&lt;$F$2,I6,F6))</f>
        <v>31.319032258064517</v>
      </c>
      <c r="F41" s="127"/>
      <c r="G41" s="127"/>
      <c r="H41" s="132">
        <f>ROUND(D41*(E41+F41),2)</f>
        <v>3158.84</v>
      </c>
      <c r="I41"/>
      <c r="J41" s="133">
        <f>IF(AND($B$17&lt;$F$2,$E$17&lt;$F$2),R6,IF($B$17&lt;$F$2,X6,U6))</f>
        <v>24.450322580645164</v>
      </c>
      <c r="K41" s="134">
        <f>D41*J41</f>
        <v>2466.0595354838711</v>
      </c>
      <c r="L41" s="141">
        <f>K41+K44+K47</f>
        <v>2567.2838709677421</v>
      </c>
      <c r="M41" s="1"/>
      <c r="N41" s="1"/>
      <c r="O41" s="1"/>
      <c r="P41" s="1"/>
    </row>
    <row r="42" spans="2:16" x14ac:dyDescent="0.3">
      <c r="B42" s="126"/>
      <c r="C42"/>
      <c r="D42"/>
      <c r="E42"/>
      <c r="F42"/>
      <c r="G42"/>
      <c r="H42" s="132"/>
      <c r="I42"/>
      <c r="K42" s="1"/>
      <c r="L42" s="1"/>
      <c r="M42" s="1"/>
      <c r="N42" s="1"/>
      <c r="O42" s="1"/>
      <c r="P42" s="1"/>
    </row>
    <row r="43" spans="2:16" x14ac:dyDescent="0.3">
      <c r="B43" s="126"/>
      <c r="C43" s="127"/>
      <c r="D43" s="136"/>
      <c r="E43" s="127"/>
      <c r="F43" s="127"/>
      <c r="G43" s="127"/>
      <c r="H43" s="132"/>
      <c r="I43"/>
      <c r="K43" s="1"/>
      <c r="L43" s="1"/>
      <c r="M43" s="1"/>
      <c r="N43" s="1"/>
      <c r="O43" s="1"/>
      <c r="P43" s="1"/>
    </row>
    <row r="44" spans="2:16" x14ac:dyDescent="0.3">
      <c r="B44" s="126" t="s">
        <v>91</v>
      </c>
      <c r="C44" s="127"/>
      <c r="D44" s="130">
        <v>4.1399999999999997</v>
      </c>
      <c r="E44" s="131">
        <f>E41</f>
        <v>31.319032258064517</v>
      </c>
      <c r="F44" s="127"/>
      <c r="G44" s="127"/>
      <c r="H44" s="132">
        <f>ROUND(D44*(E44+F44),2)</f>
        <v>129.66</v>
      </c>
      <c r="I44"/>
      <c r="J44" s="142">
        <f>J41</f>
        <v>24.450322580645164</v>
      </c>
      <c r="K44" s="134">
        <f>D44*J44</f>
        <v>101.22433548387097</v>
      </c>
      <c r="L44" s="1"/>
      <c r="M44" s="1"/>
      <c r="N44" s="1"/>
      <c r="O44" s="1"/>
      <c r="P44" s="1"/>
    </row>
    <row r="45" spans="2:16" x14ac:dyDescent="0.3">
      <c r="B45" s="126"/>
      <c r="C45"/>
      <c r="D45"/>
      <c r="E45"/>
      <c r="F45"/>
      <c r="G45"/>
      <c r="H45" s="132"/>
      <c r="I45"/>
      <c r="K45" s="1"/>
      <c r="L45" s="1"/>
      <c r="M45" s="1"/>
      <c r="N45" s="1"/>
      <c r="O45" s="1"/>
      <c r="P45" s="1"/>
    </row>
    <row r="46" spans="2:16" x14ac:dyDescent="0.3">
      <c r="B46" s="126"/>
      <c r="C46" s="127"/>
      <c r="D46" s="136"/>
      <c r="E46" s="127"/>
      <c r="F46" s="127"/>
      <c r="G46" s="127"/>
      <c r="H46" s="132"/>
      <c r="I46"/>
      <c r="K46" s="1"/>
      <c r="L46" s="1"/>
      <c r="M46" s="1"/>
      <c r="N46" s="1"/>
      <c r="O46" s="1"/>
      <c r="P46" s="1"/>
    </row>
    <row r="47" spans="2:16" x14ac:dyDescent="0.3">
      <c r="B47" s="126" t="s">
        <v>92</v>
      </c>
      <c r="C47" s="127"/>
      <c r="D47" s="143">
        <v>0</v>
      </c>
      <c r="E47" s="144">
        <f>E41*2</f>
        <v>62.638064516129035</v>
      </c>
      <c r="F47" s="127"/>
      <c r="G47" s="127"/>
      <c r="H47" s="132">
        <f>ROUND(D47*(E47+F47),2)</f>
        <v>0</v>
      </c>
      <c r="I47"/>
      <c r="K47" s="1"/>
      <c r="L47" s="1"/>
      <c r="M47" s="1"/>
      <c r="N47" s="1"/>
      <c r="O47" s="1"/>
      <c r="P47" s="1"/>
    </row>
    <row r="48" spans="2:16" x14ac:dyDescent="0.3">
      <c r="B48" s="126"/>
      <c r="C48"/>
      <c r="D48"/>
      <c r="E48"/>
      <c r="F48"/>
      <c r="G48"/>
      <c r="H48" s="132"/>
      <c r="I48"/>
      <c r="K48" s="1"/>
      <c r="L48" s="1"/>
      <c r="M48" s="1"/>
      <c r="N48" s="1"/>
      <c r="O48" s="1"/>
      <c r="P48" s="1"/>
    </row>
    <row r="49" spans="2:16" x14ac:dyDescent="0.3">
      <c r="B49" s="116" t="s">
        <v>113</v>
      </c>
      <c r="C49" s="117"/>
      <c r="D49" s="118">
        <f>-D33</f>
        <v>0</v>
      </c>
      <c r="E49" s="119">
        <f>E25</f>
        <v>1.2624474193548385</v>
      </c>
      <c r="F49" s="119">
        <f>IF(AND($B$17&lt;$F$2,$E$17&lt;$F$2),D9,IF($B$17&lt;$F$2,K9,H9))</f>
        <v>5.5406854838709677E-2</v>
      </c>
      <c r="G49" s="119">
        <f>E49+F49</f>
        <v>1.3178542741935482</v>
      </c>
      <c r="H49" s="121">
        <f>ROUND(D49*(E49+F49),2)</f>
        <v>0</v>
      </c>
      <c r="K49" s="1"/>
      <c r="L49" s="1"/>
      <c r="M49" s="1"/>
      <c r="N49" s="1"/>
      <c r="O49" s="1"/>
      <c r="P49" s="1"/>
    </row>
    <row r="50" spans="2:16" x14ac:dyDescent="0.3">
      <c r="B50" s="116" t="s">
        <v>114</v>
      </c>
      <c r="C50" s="117"/>
      <c r="D50" s="118">
        <f>-D34</f>
        <v>1422.72</v>
      </c>
      <c r="E50" s="119">
        <f>E26</f>
        <v>0.12371709677419356</v>
      </c>
      <c r="F50" s="119">
        <f>IF(AND($B$17&lt;$F$2,$E$17&lt;$F$2),D10,IF($B$17&lt;$F$2,K10,H10))</f>
        <v>3.513024193548387E-2</v>
      </c>
      <c r="G50" s="119">
        <f>E50+F50</f>
        <v>0.15884733870967743</v>
      </c>
      <c r="H50" s="121">
        <f>ROUND(D50*(E50+F50),2)</f>
        <v>226</v>
      </c>
      <c r="K50" s="1"/>
      <c r="L50" s="1"/>
      <c r="M50" s="1"/>
      <c r="N50" s="1"/>
      <c r="O50" s="1"/>
      <c r="P50" s="1"/>
    </row>
    <row r="51" spans="2:16" x14ac:dyDescent="0.3">
      <c r="B51" s="116"/>
      <c r="C51" s="117"/>
      <c r="D51" s="122"/>
      <c r="E51" s="117"/>
      <c r="F51" s="123"/>
      <c r="G51" s="123"/>
      <c r="H51" s="121"/>
      <c r="K51" s="1"/>
      <c r="L51" s="1"/>
      <c r="M51" s="1"/>
      <c r="N51" s="1"/>
      <c r="O51" s="1"/>
      <c r="P51" s="1"/>
    </row>
    <row r="52" spans="2:16" x14ac:dyDescent="0.3">
      <c r="B52" s="116" t="s">
        <v>115</v>
      </c>
      <c r="C52" s="117"/>
      <c r="D52" s="118">
        <f>-D49</f>
        <v>0</v>
      </c>
      <c r="E52" s="119">
        <f>E49*F19</f>
        <v>1.1195383714838709</v>
      </c>
      <c r="F52" s="120">
        <f>F49*H19</f>
        <v>5.5406854838709677E-2</v>
      </c>
      <c r="G52" s="119">
        <f>E52+F52</f>
        <v>1.1749452263225806</v>
      </c>
      <c r="H52" s="121">
        <f>ROUND(D52*(E52+F52),2)</f>
        <v>0</v>
      </c>
      <c r="K52" s="1"/>
      <c r="L52" s="1"/>
      <c r="M52" s="1"/>
      <c r="N52" s="1"/>
      <c r="O52" s="1"/>
      <c r="P52" s="1"/>
    </row>
    <row r="53" spans="2:16" x14ac:dyDescent="0.3">
      <c r="B53" s="116" t="s">
        <v>116</v>
      </c>
      <c r="C53" s="117"/>
      <c r="D53" s="118">
        <f>-D50</f>
        <v>-1422.72</v>
      </c>
      <c r="E53" s="119">
        <f>E50*F20</f>
        <v>0.12371709677419356</v>
      </c>
      <c r="F53" s="120">
        <f>F50*H20</f>
        <v>3.513024193548387E-2</v>
      </c>
      <c r="G53" s="119">
        <f>E53+F53</f>
        <v>0.15884733870967743</v>
      </c>
      <c r="H53" s="121">
        <f>ROUND(D53*(E53+F53),2)</f>
        <v>-226</v>
      </c>
      <c r="K53" s="1"/>
      <c r="L53" s="1"/>
      <c r="M53" s="1"/>
      <c r="N53" s="1"/>
      <c r="O53" s="1"/>
      <c r="P53" s="1"/>
    </row>
    <row r="54" spans="2:16" x14ac:dyDescent="0.3">
      <c r="B54" s="126"/>
      <c r="C54" s="127"/>
      <c r="D54" s="143"/>
      <c r="E54" s="144"/>
      <c r="F54" s="127"/>
      <c r="G54" s="127"/>
      <c r="H54" s="132"/>
      <c r="K54" s="1"/>
      <c r="L54" s="1"/>
      <c r="M54" s="1"/>
      <c r="N54" s="1"/>
      <c r="O54" s="1"/>
      <c r="P54" s="1"/>
    </row>
    <row r="55" spans="2:16" x14ac:dyDescent="0.3">
      <c r="B55" s="126" t="s">
        <v>93</v>
      </c>
      <c r="C55" s="127"/>
      <c r="D55" s="130">
        <v>27.675000000000001</v>
      </c>
      <c r="E55" s="131"/>
      <c r="F55" s="131">
        <f>IF(AND($B$17&lt;$F$2,$E$17&lt;$F$2),E8,IF($B$17&lt;$F$2,K8,H8))</f>
        <v>0.30007032258064514</v>
      </c>
      <c r="G55" s="127"/>
      <c r="H55" s="132">
        <f>ROUND(D55*(E55+F55),2)</f>
        <v>8.3000000000000007</v>
      </c>
      <c r="J55" s="1"/>
      <c r="K55" s="1"/>
      <c r="L55" s="1"/>
      <c r="M55" s="1"/>
      <c r="N55" s="1"/>
      <c r="O55" s="1"/>
      <c r="P55" s="1"/>
    </row>
    <row r="56" spans="2:16" x14ac:dyDescent="0.3">
      <c r="B56" s="145" t="s">
        <v>94</v>
      </c>
      <c r="C56" s="146"/>
      <c r="D56" s="130">
        <v>0</v>
      </c>
      <c r="E56" s="147">
        <f>E42</f>
        <v>0</v>
      </c>
      <c r="F56" s="146"/>
      <c r="G56" s="146"/>
      <c r="H56" s="148">
        <f>ROUND(D56*(E56+F56),2)</f>
        <v>0</v>
      </c>
      <c r="K56" s="1"/>
      <c r="L56" s="97"/>
      <c r="M56" s="1"/>
      <c r="N56" s="1"/>
      <c r="O56" s="1"/>
      <c r="P56" s="1"/>
    </row>
    <row r="57" spans="2:16" x14ac:dyDescent="0.3">
      <c r="B57" s="149"/>
      <c r="C57" s="150"/>
      <c r="D57" s="150"/>
      <c r="E57" s="150"/>
      <c r="F57" s="150"/>
      <c r="G57" s="151"/>
      <c r="H57" s="152"/>
      <c r="K57" s="1"/>
      <c r="L57" s="1"/>
      <c r="M57" s="1"/>
      <c r="N57" s="1"/>
      <c r="O57" s="1"/>
      <c r="P57" s="1"/>
    </row>
    <row r="58" spans="2:16" x14ac:dyDescent="0.3">
      <c r="B58" s="126"/>
      <c r="C58" s="127"/>
      <c r="D58" s="153" t="s">
        <v>48</v>
      </c>
      <c r="E58" s="154"/>
      <c r="F58" s="154"/>
      <c r="G58" s="127"/>
      <c r="H58" s="155"/>
      <c r="J58" s="67"/>
      <c r="K58" s="1"/>
      <c r="L58" s="1"/>
      <c r="M58" s="1"/>
      <c r="N58" s="1"/>
      <c r="O58" s="1"/>
      <c r="P58" s="1"/>
    </row>
    <row r="59" spans="2:16" x14ac:dyDescent="0.3">
      <c r="B59" s="126" t="s">
        <v>49</v>
      </c>
      <c r="C59" s="127"/>
      <c r="D59" s="156">
        <f>(SUM(H25:H31)+H41+H47+H55+H56)/(1-E59-E62)</f>
        <v>10922.749162479062</v>
      </c>
      <c r="E59" s="157">
        <v>8.0000000000000002E-3</v>
      </c>
      <c r="F59" s="127"/>
      <c r="G59" s="127"/>
      <c r="H59" s="132">
        <f>D59*E59</f>
        <v>87.381993299832502</v>
      </c>
      <c r="K59" s="1"/>
      <c r="L59" s="1"/>
      <c r="M59" s="1"/>
      <c r="N59" s="1"/>
      <c r="O59" s="1"/>
      <c r="P59" s="1"/>
    </row>
    <row r="60" spans="2:16" x14ac:dyDescent="0.3">
      <c r="B60" s="126" t="s">
        <v>95</v>
      </c>
      <c r="C60" s="127"/>
      <c r="D60" s="156">
        <f>(SUM(H33:H39,H49:H53))/(1-E59-E62)</f>
        <v>609.14991624790616</v>
      </c>
      <c r="E60" s="158">
        <f>E59</f>
        <v>8.0000000000000002E-3</v>
      </c>
      <c r="F60" s="127"/>
      <c r="G60" s="127"/>
      <c r="H60" s="132">
        <f t="shared" ref="H60:H64" si="1">D60*E60</f>
        <v>4.8731993299832492</v>
      </c>
      <c r="K60" s="1"/>
      <c r="L60" s="1"/>
      <c r="M60" s="1"/>
      <c r="N60" s="1"/>
      <c r="O60" s="1"/>
      <c r="P60" s="1"/>
    </row>
    <row r="61" spans="2:16" x14ac:dyDescent="0.3">
      <c r="B61" s="126" t="s">
        <v>96</v>
      </c>
      <c r="C61" s="127"/>
      <c r="D61" s="156">
        <f>(H44)/(1-E61-E64)</f>
        <v>135.74120603015075</v>
      </c>
      <c r="E61" s="158">
        <f>E59</f>
        <v>8.0000000000000002E-3</v>
      </c>
      <c r="F61" s="127"/>
      <c r="G61" s="127"/>
      <c r="H61" s="132">
        <f t="shared" si="1"/>
        <v>1.085929648241206</v>
      </c>
      <c r="K61" s="1"/>
      <c r="L61" s="1"/>
      <c r="M61" s="1"/>
      <c r="N61" s="1"/>
      <c r="O61" s="1"/>
      <c r="P61" s="1"/>
    </row>
    <row r="62" spans="2:16" x14ac:dyDescent="0.3">
      <c r="B62" s="126" t="s">
        <v>51</v>
      </c>
      <c r="C62" s="127"/>
      <c r="D62" s="156">
        <f>D59</f>
        <v>10922.749162479062</v>
      </c>
      <c r="E62" s="157">
        <v>3.6799999999999999E-2</v>
      </c>
      <c r="F62" s="127"/>
      <c r="G62" s="127"/>
      <c r="H62" s="132">
        <f t="shared" si="1"/>
        <v>401.95716917922948</v>
      </c>
      <c r="K62" s="1"/>
      <c r="L62" s="1"/>
      <c r="M62" s="1"/>
      <c r="N62" s="1"/>
      <c r="O62" s="1"/>
      <c r="P62" s="1"/>
    </row>
    <row r="63" spans="2:16" x14ac:dyDescent="0.3">
      <c r="B63" s="126" t="s">
        <v>97</v>
      </c>
      <c r="C63" s="127"/>
      <c r="D63" s="156">
        <f>D60</f>
        <v>609.14991624790616</v>
      </c>
      <c r="E63" s="158">
        <f>E62</f>
        <v>3.6799999999999999E-2</v>
      </c>
      <c r="F63" s="127"/>
      <c r="G63" s="127"/>
      <c r="H63" s="132">
        <f t="shared" si="1"/>
        <v>22.416716917922948</v>
      </c>
      <c r="K63" s="1"/>
      <c r="L63" s="1"/>
      <c r="M63" s="1"/>
      <c r="N63" s="1"/>
      <c r="O63" s="1"/>
      <c r="P63" s="1"/>
    </row>
    <row r="64" spans="2:16" x14ac:dyDescent="0.3">
      <c r="B64" s="126" t="s">
        <v>98</v>
      </c>
      <c r="C64" s="127"/>
      <c r="D64" s="156">
        <f>D61</f>
        <v>135.74120603015075</v>
      </c>
      <c r="E64" s="158">
        <f>E62</f>
        <v>3.6799999999999999E-2</v>
      </c>
      <c r="F64" s="127"/>
      <c r="G64" s="127"/>
      <c r="H64" s="132">
        <f t="shared" si="1"/>
        <v>4.9952763819095471</v>
      </c>
      <c r="K64" s="1"/>
      <c r="L64" s="1"/>
      <c r="M64" s="1"/>
      <c r="N64" s="1"/>
      <c r="O64" s="1"/>
      <c r="P64" s="1"/>
    </row>
    <row r="65" spans="2:16" x14ac:dyDescent="0.3">
      <c r="B65" s="145" t="s">
        <v>11</v>
      </c>
      <c r="C65" s="146"/>
      <c r="D65" s="159">
        <f>D59/(1-E65)</f>
        <v>13159.938749974774</v>
      </c>
      <c r="E65" s="160">
        <v>0.17</v>
      </c>
      <c r="F65" s="146"/>
      <c r="G65" s="146"/>
      <c r="H65" s="148">
        <f>D65*E65</f>
        <v>2237.1895874957117</v>
      </c>
      <c r="K65" s="1"/>
      <c r="L65" s="1"/>
      <c r="M65" s="1"/>
      <c r="N65" s="1"/>
      <c r="O65" s="1"/>
      <c r="P65" s="1"/>
    </row>
    <row r="66" spans="2:16" x14ac:dyDescent="0.3">
      <c r="B66" s="145" t="s">
        <v>99</v>
      </c>
      <c r="C66" s="146"/>
      <c r="D66" s="159">
        <f>((D33*F33)+(D34*F34)+SUM(H36:H39)+(D49*F49)+(D50*F50)+(D52*F52)+(D53*F53))/(1-E60-E63)/(1-E66)</f>
        <v>511.90269653748726</v>
      </c>
      <c r="E66" s="160">
        <f>E65</f>
        <v>0.17</v>
      </c>
      <c r="F66" s="146"/>
      <c r="G66" s="146"/>
      <c r="H66" s="148">
        <f>D66*E66</f>
        <v>87.023458411372843</v>
      </c>
      <c r="K66" s="1"/>
      <c r="L66" s="1"/>
      <c r="M66" s="1"/>
      <c r="N66" s="1"/>
      <c r="O66" s="1"/>
      <c r="P66" s="1"/>
    </row>
  </sheetData>
  <mergeCells count="10">
    <mergeCell ref="U4:W4"/>
    <mergeCell ref="X4:Z4"/>
    <mergeCell ref="K14:L14"/>
    <mergeCell ref="B22:H22"/>
    <mergeCell ref="B4:B5"/>
    <mergeCell ref="C4:E4"/>
    <mergeCell ref="F4:H4"/>
    <mergeCell ref="I4:K4"/>
    <mergeCell ref="Q4:Q5"/>
    <mergeCell ref="R4:T4"/>
  </mergeCells>
  <conditionalFormatting sqref="K15:L15">
    <cfRule type="cellIs" dxfId="41" priority="1" operator="equal">
      <formula>"Escassez Hídrica"</formula>
    </cfRule>
    <cfRule type="cellIs" dxfId="40" priority="2" operator="equal">
      <formula>"VERDE"</formula>
    </cfRule>
    <cfRule type="cellIs" dxfId="39" priority="3" operator="equal">
      <formula>"BVM2"</formula>
    </cfRule>
    <cfRule type="cellIs" dxfId="38" priority="4" operator="equal">
      <formula>"BVM1"</formula>
    </cfRule>
    <cfRule type="cellIs" dxfId="37" priority="5" operator="equal">
      <formula>"BAM"</formula>
    </cfRule>
  </conditionalFormatting>
  <conditionalFormatting sqref="M3">
    <cfRule type="cellIs" dxfId="36" priority="16" operator="equal">
      <formula>"VERDE"</formula>
    </cfRule>
    <cfRule type="cellIs" dxfId="35" priority="17" operator="equal">
      <formula>"BVM2"</formula>
    </cfRule>
    <cfRule type="cellIs" dxfId="34" priority="18" operator="equal">
      <formula>"BVM1"</formula>
    </cfRule>
    <cfRule type="cellIs" dxfId="33" priority="19" operator="equal">
      <formula>"BAM"</formula>
    </cfRule>
  </conditionalFormatting>
  <conditionalFormatting sqref="M7">
    <cfRule type="containsText" dxfId="32" priority="11" operator="containsText" text="Escassez Hídrica">
      <formula>NOT(ISERROR(SEARCH("Escassez Hídrica",M7)))</formula>
    </cfRule>
    <cfRule type="cellIs" dxfId="31" priority="12" operator="equal">
      <formula>"VERDE"</formula>
    </cfRule>
    <cfRule type="cellIs" dxfId="30" priority="13" operator="equal">
      <formula>"BVM2"</formula>
    </cfRule>
    <cfRule type="cellIs" dxfId="29" priority="14" operator="equal">
      <formula>"BVM1"</formula>
    </cfRule>
    <cfRule type="cellIs" dxfId="28" priority="15" operator="equal">
      <formula>"BAM"</formula>
    </cfRule>
  </conditionalFormatting>
  <dataValidations disablePrompts="1" count="1">
    <dataValidation type="list" allowBlank="1" showInputMessage="1" showErrorMessage="1" sqref="K15:L15" xr:uid="{BB82347B-9541-4372-8067-627CB46C04AB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D3BB-82FD-4D20-9815-64F6B506A3E5}">
  <sheetPr>
    <tabColor rgb="FFFFC000"/>
  </sheetPr>
  <dimension ref="A1:Z67"/>
  <sheetViews>
    <sheetView showGridLines="0" topLeftCell="A35" zoomScale="80" zoomScaleNormal="80" workbookViewId="0">
      <selection activeCell="H28" sqref="H28"/>
    </sheetView>
  </sheetViews>
  <sheetFormatPr defaultColWidth="9.109375" defaultRowHeight="14.4" x14ac:dyDescent="0.3"/>
  <cols>
    <col min="1" max="1" width="5.44140625" style="19" customWidth="1"/>
    <col min="2" max="10" width="12.6640625" style="19" customWidth="1"/>
    <col min="11" max="12" width="14.33203125" style="19" customWidth="1"/>
    <col min="13" max="14" width="12.6640625" style="19" customWidth="1"/>
    <col min="15" max="15" width="12.109375" style="19" customWidth="1"/>
    <col min="16" max="16" width="13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F1" s="24"/>
      <c r="G1" s="1"/>
      <c r="H1" s="1"/>
      <c r="I1" s="1"/>
      <c r="J1" s="1"/>
      <c r="K1" s="1"/>
    </row>
    <row r="2" spans="1:26" ht="18" x14ac:dyDescent="0.3">
      <c r="B2" s="25" t="s">
        <v>100</v>
      </c>
      <c r="C2" s="26" t="s">
        <v>73</v>
      </c>
      <c r="E2" s="20" t="s">
        <v>28</v>
      </c>
      <c r="F2" s="21">
        <f>'[5]A2 Azul'!F2</f>
        <v>45145</v>
      </c>
      <c r="G2" s="1" t="s">
        <v>8</v>
      </c>
      <c r="I2" s="86" t="s">
        <v>74</v>
      </c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3">
      <c r="M3" s="7" t="s">
        <v>13</v>
      </c>
      <c r="N3" s="8">
        <f>[5]BANDEIRA!$D$4</f>
        <v>0</v>
      </c>
    </row>
    <row r="4" spans="1:26" ht="15" customHeight="1" x14ac:dyDescent="0.3">
      <c r="B4" s="451" t="s">
        <v>31</v>
      </c>
      <c r="C4" s="453" t="str">
        <f>'[5]A2 Azul'!C4:E4</f>
        <v>TARIFA ANTIGA - REH 3091/2022</v>
      </c>
      <c r="D4" s="454"/>
      <c r="E4" s="455"/>
      <c r="F4" s="453" t="str">
        <f>'[5]A2 Azul'!F4:H4</f>
        <v>TARIFA NOVA - REH 3241/2023</v>
      </c>
      <c r="G4" s="454"/>
      <c r="H4" s="455"/>
      <c r="I4" s="453" t="s">
        <v>32</v>
      </c>
      <c r="J4" s="454"/>
      <c r="K4" s="455"/>
      <c r="M4" s="9" t="s">
        <v>14</v>
      </c>
      <c r="N4" s="10">
        <f>[5]BANDEIRA!$D$5</f>
        <v>2.989E-2</v>
      </c>
      <c r="Q4" s="451" t="s">
        <v>31</v>
      </c>
      <c r="R4" s="453" t="str">
        <f>C4</f>
        <v>TARIFA ANTIGA - REH 3091/2022</v>
      </c>
      <c r="S4" s="454"/>
      <c r="T4" s="455"/>
      <c r="U4" s="453" t="str">
        <f>F4</f>
        <v>TARIFA NOVA - REH 3241/2023</v>
      </c>
      <c r="V4" s="454"/>
      <c r="W4" s="455"/>
      <c r="X4" s="453" t="s">
        <v>32</v>
      </c>
      <c r="Y4" s="454"/>
      <c r="Z4" s="455"/>
    </row>
    <row r="5" spans="1:26" x14ac:dyDescent="0.3">
      <c r="B5" s="452"/>
      <c r="C5" s="28" t="s">
        <v>75</v>
      </c>
      <c r="D5" s="28" t="s">
        <v>35</v>
      </c>
      <c r="E5" s="28" t="s">
        <v>76</v>
      </c>
      <c r="F5" s="28" t="s">
        <v>75</v>
      </c>
      <c r="G5" s="28" t="s">
        <v>35</v>
      </c>
      <c r="H5" s="28" t="s">
        <v>76</v>
      </c>
      <c r="I5" s="28" t="s">
        <v>75</v>
      </c>
      <c r="J5" s="28" t="s">
        <v>35</v>
      </c>
      <c r="K5" s="28" t="s">
        <v>76</v>
      </c>
      <c r="M5" s="11" t="s">
        <v>15</v>
      </c>
      <c r="N5" s="12">
        <f>[5]BANDEIRA!$D$6</f>
        <v>6.5000000000000002E-2</v>
      </c>
      <c r="Q5" s="452"/>
      <c r="R5" s="28" t="s">
        <v>75</v>
      </c>
      <c r="S5" s="28" t="s">
        <v>75</v>
      </c>
      <c r="T5"/>
      <c r="U5" s="28" t="s">
        <v>75</v>
      </c>
      <c r="V5" s="28" t="s">
        <v>75</v>
      </c>
      <c r="W5"/>
      <c r="X5" s="28" t="s">
        <v>75</v>
      </c>
      <c r="Y5" s="28" t="s">
        <v>75</v>
      </c>
      <c r="Z5"/>
    </row>
    <row r="6" spans="1:26" x14ac:dyDescent="0.3">
      <c r="B6" s="30" t="s">
        <v>101</v>
      </c>
      <c r="C6" s="31">
        <f>'[5]A4 Azul'!C6</f>
        <v>45.59</v>
      </c>
      <c r="D6" s="31">
        <f>'[5]A4 Azul'!D6</f>
        <v>0.13433</v>
      </c>
      <c r="E6" s="31">
        <f>'[5]A4 Azul'!E6</f>
        <v>0.42260000000000003</v>
      </c>
      <c r="F6" s="31">
        <f>'[5]A4 Azul'!F6</f>
        <v>47.23</v>
      </c>
      <c r="G6" s="31">
        <f>'[5]A4 Azul'!G6</f>
        <v>0.12117</v>
      </c>
      <c r="H6" s="31">
        <f>'[5]A4 Azul'!H6</f>
        <v>0.45802999999999999</v>
      </c>
      <c r="I6" s="31">
        <f>((C6*$C$17)+(F6*$D$17))/($D$17+$C$17)</f>
        <v>46.912580645161292</v>
      </c>
      <c r="J6" s="31">
        <f>((D6*$C$17)+(G6*$D$17))/($D$17+$C$17)</f>
        <v>0.12371709677419356</v>
      </c>
      <c r="K6" s="31">
        <f>((E6*$C$17)+(H6*$D$17))/($D$17+$C$17)</f>
        <v>0.4511725806451613</v>
      </c>
      <c r="M6" s="13" t="s">
        <v>16</v>
      </c>
      <c r="N6" s="14">
        <f>[5]BANDEIRA!$D$7</f>
        <v>9.7949999999999995E-2</v>
      </c>
      <c r="Q6" s="30" t="str">
        <f>B6</f>
        <v>A4 Azul P</v>
      </c>
      <c r="R6" s="31">
        <f>'[5]Grupo A_FIO B'!F49</f>
        <v>26.16</v>
      </c>
      <c r="S6" s="31">
        <f>'[5]Grupo A_FIO B'!G50/1000</f>
        <v>0.93588000000000005</v>
      </c>
      <c r="T6"/>
      <c r="U6" s="31">
        <f>'[5]Grupo A_FIO B'!I49</f>
        <v>24.04</v>
      </c>
      <c r="V6" s="31">
        <f>'[5]Grupo A_FIO B'!J50/1000</f>
        <v>0.86024</v>
      </c>
      <c r="W6"/>
      <c r="X6" s="31">
        <f>((R6*$C$17)+(U6*$D$17))/($D$17+$C$17)</f>
        <v>24.450322580645164</v>
      </c>
      <c r="Y6" s="31">
        <f>((S6*$C$17)+(V6*$D$17))/($D$17+$C$17)</f>
        <v>0.87487999999999999</v>
      </c>
      <c r="Z6"/>
    </row>
    <row r="7" spans="1:26" x14ac:dyDescent="0.3">
      <c r="B7" s="30" t="s">
        <v>102</v>
      </c>
      <c r="C7" s="31">
        <f>'[5]A4 Azul'!C7</f>
        <v>30.44</v>
      </c>
      <c r="D7" s="31">
        <f>'[5]A4 Azul'!D7</f>
        <v>0.13433</v>
      </c>
      <c r="E7" s="31">
        <f>'[5]A4 Azul'!E7</f>
        <v>0.26380000000000003</v>
      </c>
      <c r="F7" s="31">
        <f>'[5]A4 Azul'!F7</f>
        <v>31.53</v>
      </c>
      <c r="G7" s="31">
        <f>'[5]A4 Azul'!G7</f>
        <v>0.12117</v>
      </c>
      <c r="H7" s="31">
        <f>'[5]A4 Azul'!H7</f>
        <v>0.29041</v>
      </c>
      <c r="I7" s="31">
        <f>((C7*$C$17)+(F7*$D$17))/($D$17+$C$17)</f>
        <v>31.319032258064517</v>
      </c>
      <c r="J7" s="31">
        <f t="shared" ref="J7" si="0">((D7*$C$17)+(G7*$D$17))/($D$17+$C$17)</f>
        <v>0.12371709677419356</v>
      </c>
      <c r="K7" s="31">
        <f>((E7*$C$17)+(H7*$D$17))/($D$17+$C$17)</f>
        <v>0.28525967741935482</v>
      </c>
      <c r="M7" s="7" t="s">
        <v>17</v>
      </c>
      <c r="N7" s="15">
        <f>[5]BANDEIRA!$D$8</f>
        <v>0.14199999999999999</v>
      </c>
      <c r="O7" s="20"/>
      <c r="P7" s="1"/>
      <c r="Q7" s="30" t="str">
        <f>B7</f>
        <v>A4 Azul FP</v>
      </c>
      <c r="R7" s="31"/>
      <c r="S7" s="31"/>
      <c r="T7"/>
      <c r="U7" s="31"/>
      <c r="V7" s="31"/>
      <c r="W7"/>
      <c r="X7" s="31"/>
      <c r="Y7" s="31"/>
      <c r="Z7"/>
    </row>
    <row r="8" spans="1:26" x14ac:dyDescent="0.3">
      <c r="B8" s="30" t="s">
        <v>36</v>
      </c>
      <c r="C8" s="31"/>
      <c r="D8" s="31">
        <f>'[5]TABELA DE TARIFAS ANTIGAS'!G71/1000</f>
        <v>0.39681</v>
      </c>
      <c r="E8" s="31">
        <f>'[5]TABELA DE TARIFAS ANTIGAS'!H71/1000</f>
        <v>0.27703</v>
      </c>
      <c r="F8" s="31"/>
      <c r="G8" s="31">
        <f>'[5]TABELA DE TARIFAS NOVAS'!G71/1000</f>
        <v>0.39252999999999999</v>
      </c>
      <c r="H8" s="31">
        <f>'[5]TABELA DE TARIFAS NOVAS'!H71/1000</f>
        <v>0.30560000000000004</v>
      </c>
      <c r="I8" s="31"/>
      <c r="J8" s="31">
        <f>((D8*$C$17)+(G8*$D$17))/($D$17+$C$17)</f>
        <v>0.39335838709677418</v>
      </c>
      <c r="K8" s="31">
        <f>((E8*$C$17)+(H8*$D$17))/($D$17+$C$17)</f>
        <v>0.30007032258064514</v>
      </c>
      <c r="O8" s="20"/>
      <c r="P8" s="1"/>
      <c r="Q8"/>
      <c r="R8"/>
      <c r="S8"/>
      <c r="T8"/>
      <c r="U8"/>
      <c r="V8"/>
      <c r="W8"/>
      <c r="X8"/>
      <c r="Y8"/>
      <c r="Z8"/>
    </row>
    <row r="9" spans="1:26" x14ac:dyDescent="0.3">
      <c r="B9" s="94" t="s">
        <v>111</v>
      </c>
      <c r="C9" s="83"/>
      <c r="D9" s="83"/>
      <c r="E9" s="83"/>
      <c r="F9" s="83"/>
      <c r="H9" s="81">
        <f>H6*15%</f>
        <v>6.8704500000000002E-2</v>
      </c>
      <c r="I9" s="83"/>
      <c r="K9" s="31">
        <f>((D9*$C$17)+(H9*$D$17))/($D$17+$C$17)</f>
        <v>5.5406854838709677E-2</v>
      </c>
      <c r="O9" s="20"/>
      <c r="P9" s="1"/>
      <c r="Q9"/>
      <c r="R9"/>
      <c r="S9"/>
      <c r="T9"/>
      <c r="U9"/>
      <c r="V9"/>
      <c r="W9"/>
      <c r="X9"/>
      <c r="Y9"/>
      <c r="Z9"/>
    </row>
    <row r="10" spans="1:26" x14ac:dyDescent="0.3">
      <c r="B10" s="94" t="s">
        <v>112</v>
      </c>
      <c r="C10" s="83"/>
      <c r="D10" s="83"/>
      <c r="E10" s="83"/>
      <c r="F10" s="83"/>
      <c r="H10" s="81">
        <f>H7*15%</f>
        <v>4.3561499999999996E-2</v>
      </c>
      <c r="I10" s="83"/>
      <c r="K10" s="31">
        <f>((D10*$C$17)+(H10*$D$17))/($D$17+$C$17)</f>
        <v>3.513024193548387E-2</v>
      </c>
      <c r="O10" s="20"/>
      <c r="P10" s="1"/>
      <c r="Q10"/>
      <c r="R10"/>
      <c r="S10"/>
      <c r="T10"/>
      <c r="U10"/>
      <c r="V10"/>
      <c r="W10"/>
      <c r="X10"/>
      <c r="Y10"/>
      <c r="Z10"/>
    </row>
    <row r="11" spans="1:26" x14ac:dyDescent="0.3">
      <c r="B11"/>
      <c r="C11"/>
      <c r="D11"/>
      <c r="E11"/>
      <c r="F11"/>
      <c r="G11"/>
      <c r="H11"/>
      <c r="I11"/>
      <c r="J11"/>
      <c r="K11"/>
      <c r="O11" s="20"/>
      <c r="P11" s="1"/>
      <c r="Q11"/>
      <c r="R11"/>
      <c r="S11"/>
      <c r="T11"/>
      <c r="U11"/>
      <c r="V11"/>
      <c r="W11"/>
      <c r="X11"/>
      <c r="Y11"/>
      <c r="Z11"/>
    </row>
    <row r="12" spans="1:26" s="1" customFormat="1" x14ac:dyDescent="0.3">
      <c r="B12" s="115" t="s">
        <v>73</v>
      </c>
    </row>
    <row r="13" spans="1:26" x14ac:dyDescent="0.3">
      <c r="B13" s="34"/>
      <c r="C13" s="35"/>
      <c r="D13" s="36"/>
      <c r="E13" s="35"/>
      <c r="F13" s="35"/>
      <c r="G13" s="35"/>
      <c r="H13" s="37" t="s">
        <v>37</v>
      </c>
      <c r="I13" s="1"/>
      <c r="L13" s="20" t="s">
        <v>25</v>
      </c>
      <c r="M13" s="21">
        <f>EOMONTH(B17,0)+1</f>
        <v>45139</v>
      </c>
    </row>
    <row r="14" spans="1:26" x14ac:dyDescent="0.3">
      <c r="B14" s="38" t="s">
        <v>38</v>
      </c>
      <c r="C14" s="39"/>
      <c r="E14" s="1"/>
      <c r="F14" s="1"/>
      <c r="G14" s="1"/>
      <c r="H14" s="40">
        <f>E17</f>
        <v>45169</v>
      </c>
      <c r="K14" s="458" t="s">
        <v>26</v>
      </c>
      <c r="L14" s="458"/>
    </row>
    <row r="15" spans="1:26" x14ac:dyDescent="0.3">
      <c r="B15" s="41"/>
      <c r="H15" s="43"/>
      <c r="K15" s="7" t="s">
        <v>13</v>
      </c>
      <c r="L15" s="7" t="s">
        <v>13</v>
      </c>
    </row>
    <row r="16" spans="1:26" ht="27.6" x14ac:dyDescent="0.3">
      <c r="B16" s="16" t="s">
        <v>21</v>
      </c>
      <c r="C16" s="16" t="s">
        <v>22</v>
      </c>
      <c r="D16" s="16" t="s">
        <v>23</v>
      </c>
      <c r="E16" s="16" t="s">
        <v>24</v>
      </c>
      <c r="F16" s="1"/>
      <c r="G16" s="1"/>
      <c r="H16" s="43"/>
      <c r="J16" s="16" t="s">
        <v>21</v>
      </c>
      <c r="K16" s="16" t="s">
        <v>22</v>
      </c>
      <c r="L16" s="16" t="s">
        <v>23</v>
      </c>
      <c r="M16" s="16" t="s">
        <v>24</v>
      </c>
    </row>
    <row r="17" spans="2:18" x14ac:dyDescent="0.3">
      <c r="B17" s="17">
        <v>45138</v>
      </c>
      <c r="C17" s="18">
        <f>IF((F2-B17-1)&lt;0,0,(F2-B17-1))</f>
        <v>6</v>
      </c>
      <c r="D17" s="18">
        <f>E17-F2+1</f>
        <v>25</v>
      </c>
      <c r="E17" s="17">
        <v>45169</v>
      </c>
      <c r="F17" s="44"/>
      <c r="G17" s="44"/>
      <c r="H17" s="45"/>
      <c r="J17" s="22">
        <f>B17</f>
        <v>45138</v>
      </c>
      <c r="K17" s="23">
        <f>IF((M13-J17-1)&lt;0,0,(M13-J17-1))</f>
        <v>0</v>
      </c>
      <c r="L17" s="23">
        <f>M17-M13+1</f>
        <v>31</v>
      </c>
      <c r="M17" s="22">
        <f>E17</f>
        <v>45169</v>
      </c>
      <c r="N17"/>
      <c r="O17"/>
      <c r="P17"/>
    </row>
    <row r="18" spans="2:18" x14ac:dyDescent="0.3">
      <c r="N18"/>
      <c r="O18"/>
      <c r="P18"/>
      <c r="Q18"/>
      <c r="R18"/>
    </row>
    <row r="19" spans="2:18" x14ac:dyDescent="0.3">
      <c r="B19" s="5" t="s">
        <v>55</v>
      </c>
      <c r="E19" s="26" t="s">
        <v>117</v>
      </c>
      <c r="F19" s="85">
        <v>1</v>
      </c>
      <c r="G19" s="86" t="s">
        <v>118</v>
      </c>
      <c r="H19" s="85">
        <v>1</v>
      </c>
      <c r="N19"/>
      <c r="O19"/>
      <c r="P19"/>
      <c r="Q19"/>
      <c r="R19"/>
    </row>
    <row r="20" spans="2:18" x14ac:dyDescent="0.3">
      <c r="B20" s="5"/>
      <c r="E20" s="26" t="s">
        <v>119</v>
      </c>
      <c r="F20" s="85">
        <v>1</v>
      </c>
      <c r="G20" s="86" t="s">
        <v>120</v>
      </c>
      <c r="H20" s="85">
        <v>1</v>
      </c>
      <c r="N20"/>
      <c r="O20"/>
      <c r="P20"/>
      <c r="Q20"/>
      <c r="R20"/>
    </row>
    <row r="21" spans="2:18" x14ac:dyDescent="0.3">
      <c r="N21"/>
      <c r="O21"/>
      <c r="P21"/>
      <c r="Q21"/>
      <c r="R21"/>
    </row>
    <row r="22" spans="2:18" x14ac:dyDescent="0.3">
      <c r="B22" s="508" t="s">
        <v>103</v>
      </c>
      <c r="C22" s="509"/>
      <c r="D22" s="509"/>
      <c r="E22" s="509"/>
      <c r="F22" s="509"/>
      <c r="G22" s="509"/>
      <c r="H22" s="510"/>
      <c r="I22"/>
      <c r="J22" s="124" t="s">
        <v>80</v>
      </c>
      <c r="K22" s="1"/>
      <c r="L22" s="125"/>
      <c r="M22" s="1"/>
      <c r="N22" s="1"/>
      <c r="O22"/>
      <c r="P22"/>
      <c r="Q22"/>
      <c r="R22"/>
    </row>
    <row r="23" spans="2:18" x14ac:dyDescent="0.3">
      <c r="B23" s="126"/>
      <c r="C23" s="127"/>
      <c r="D23" s="128" t="s">
        <v>40</v>
      </c>
      <c r="E23" s="128" t="s">
        <v>10</v>
      </c>
      <c r="F23" s="127" t="s">
        <v>9</v>
      </c>
      <c r="G23" s="128" t="s">
        <v>34</v>
      </c>
      <c r="H23" s="129" t="s">
        <v>7</v>
      </c>
      <c r="I23"/>
      <c r="J23" s="1"/>
      <c r="K23" s="1"/>
      <c r="L23" s="1"/>
      <c r="M23" s="1"/>
      <c r="N23" s="1"/>
      <c r="O23"/>
      <c r="P23"/>
      <c r="Q23"/>
      <c r="R23"/>
    </row>
    <row r="24" spans="2:18" x14ac:dyDescent="0.3">
      <c r="B24" s="126"/>
      <c r="C24" s="127"/>
      <c r="D24" s="128"/>
      <c r="E24" s="128"/>
      <c r="F24" s="127"/>
      <c r="G24" s="128"/>
      <c r="H24" s="129"/>
      <c r="I24"/>
      <c r="J24" s="26" t="s">
        <v>81</v>
      </c>
      <c r="K24" s="26" t="s">
        <v>82</v>
      </c>
      <c r="L24" s="1"/>
      <c r="M24" s="1"/>
      <c r="N24" s="1"/>
      <c r="O24"/>
      <c r="P24"/>
      <c r="Q24"/>
      <c r="R24"/>
    </row>
    <row r="25" spans="2:18" x14ac:dyDescent="0.3">
      <c r="B25" s="126" t="s">
        <v>83</v>
      </c>
      <c r="C25" s="127"/>
      <c r="D25" s="130">
        <v>1290.8358000000001</v>
      </c>
      <c r="E25" s="131">
        <f>IF(AND($B$17&lt;$F$2,$E$17&lt;$F$2),D6,IF($B$17&lt;$F$2,J6,G6))</f>
        <v>0.12371709677419356</v>
      </c>
      <c r="F25" s="131">
        <f>IF(AND($B$17&lt;$F$2,$E$17&lt;$F$2),E6,IF($B$17&lt;$F$2,K6,H6))</f>
        <v>0.4511725806451613</v>
      </c>
      <c r="G25" s="131">
        <f>E25+F25</f>
        <v>0.57488967741935482</v>
      </c>
      <c r="H25" s="132">
        <f>ROUND((D25*E25),2)+ROUND((D25*F25),2)</f>
        <v>742.08999999999992</v>
      </c>
      <c r="I25"/>
      <c r="J25" s="133">
        <f>IF(AND($B$17&lt;$F$2,$E$17&lt;$F$2),S6,IF($B$17&lt;$F$2,Y6,V6))</f>
        <v>0.87487999999999999</v>
      </c>
      <c r="K25" s="134">
        <f>D25*J25</f>
        <v>1129.3264247040001</v>
      </c>
      <c r="L25" s="135"/>
      <c r="M25" s="1"/>
      <c r="N25" s="1"/>
      <c r="O25" s="1"/>
      <c r="P25" s="1"/>
    </row>
    <row r="26" spans="2:18" x14ac:dyDescent="0.3">
      <c r="B26" s="126" t="s">
        <v>84</v>
      </c>
      <c r="C26" s="127"/>
      <c r="D26" s="130">
        <v>12358.3266</v>
      </c>
      <c r="E26" s="131">
        <f>IF(AND($B$17&lt;$F$2,$E$17&lt;$F$2),D7,IF($B$17&lt;$F$2,J7,G7))</f>
        <v>0.12371709677419356</v>
      </c>
      <c r="F26" s="131">
        <f>IF(AND($B$17&lt;$F$2,$E$17&lt;$F$2),E7,IF($B$17&lt;$F$2,K7,H7))</f>
        <v>0.28525967741935482</v>
      </c>
      <c r="G26" s="131">
        <f>E26+F26</f>
        <v>0.40897677419354839</v>
      </c>
      <c r="H26" s="132">
        <f>ROUND((D26*E26),2)+ROUND((D26*F26),2)</f>
        <v>5054.2700000000004</v>
      </c>
      <c r="I26"/>
      <c r="J26"/>
      <c r="K26"/>
      <c r="L26"/>
      <c r="M26" s="1"/>
      <c r="N26" s="1"/>
      <c r="O26" s="1"/>
      <c r="P26" s="1"/>
    </row>
    <row r="27" spans="2:18" x14ac:dyDescent="0.3">
      <c r="B27" s="126"/>
      <c r="C27" s="127"/>
      <c r="D27" s="136"/>
      <c r="E27" s="127"/>
      <c r="F27" s="127"/>
      <c r="G27" s="127"/>
      <c r="H27" s="129"/>
      <c r="I27"/>
      <c r="J27" s="1"/>
      <c r="K27" s="1"/>
      <c r="L27" s="1"/>
      <c r="M27" s="1"/>
      <c r="N27" s="1"/>
      <c r="O27" s="1"/>
      <c r="P27" s="1"/>
    </row>
    <row r="28" spans="2:18" x14ac:dyDescent="0.3">
      <c r="B28" s="126" t="s">
        <v>85</v>
      </c>
      <c r="C28" s="127"/>
      <c r="D28" s="137">
        <f>IF($K$15=$M$4,((D25+D26)*(K17)/(K17+L17)),0)+IF($L$15=$M$4,((D25+D26)*(L17)/(K17+L17)),0)</f>
        <v>0</v>
      </c>
      <c r="E28" s="127"/>
      <c r="F28" s="138">
        <f>N4</f>
        <v>2.989E-2</v>
      </c>
      <c r="G28" s="127"/>
      <c r="H28" s="132">
        <f>ROUND(D28*(E28+F28),2)</f>
        <v>0</v>
      </c>
      <c r="I28"/>
      <c r="J28" s="1"/>
      <c r="K28" s="1"/>
      <c r="L28" s="1"/>
      <c r="M28" s="1"/>
      <c r="N28" s="1"/>
      <c r="O28" s="1"/>
      <c r="P28" s="1"/>
    </row>
    <row r="29" spans="2:18" x14ac:dyDescent="0.3">
      <c r="B29" s="126" t="s">
        <v>44</v>
      </c>
      <c r="C29" s="127"/>
      <c r="D29" s="137">
        <f>IF($K$15=$M$5,((D25+D26)*(K17)/(K17+L17)),0)+IF($L$15=$M$5,((D25+D26)*(L17)/(K17+L17)),0)</f>
        <v>0</v>
      </c>
      <c r="E29" s="127"/>
      <c r="F29" s="138">
        <f>N5</f>
        <v>6.5000000000000002E-2</v>
      </c>
      <c r="G29" s="127"/>
      <c r="H29" s="132">
        <f>ROUND(D29*(E29+F29),2)</f>
        <v>0</v>
      </c>
      <c r="I29"/>
      <c r="K29" s="1"/>
      <c r="L29" s="1"/>
      <c r="M29" s="1"/>
      <c r="N29" s="1"/>
      <c r="O29" s="1"/>
      <c r="P29" s="1"/>
    </row>
    <row r="30" spans="2:18" x14ac:dyDescent="0.3">
      <c r="B30" s="126" t="s">
        <v>45</v>
      </c>
      <c r="C30" s="127"/>
      <c r="D30" s="137">
        <f>IF($K$15=$M$6,((D25+D26)*(K17)/(K17+L17)),0)+IF($L$15=$M$6,((D25+D26)*(L17)/(K17+L17)),0)</f>
        <v>0</v>
      </c>
      <c r="E30" s="127"/>
      <c r="F30" s="138">
        <f>N6</f>
        <v>9.7949999999999995E-2</v>
      </c>
      <c r="G30" s="127"/>
      <c r="H30" s="132">
        <f>ROUND(D30*(E30+F30),2)</f>
        <v>0</v>
      </c>
      <c r="I30"/>
      <c r="K30" s="1"/>
      <c r="L30" s="1"/>
      <c r="M30" s="1"/>
      <c r="N30" s="1"/>
      <c r="O30" s="1"/>
      <c r="P30" s="1"/>
    </row>
    <row r="31" spans="2:18" x14ac:dyDescent="0.3">
      <c r="B31" s="126" t="s">
        <v>86</v>
      </c>
      <c r="C31" s="127"/>
      <c r="D31" s="137">
        <f>IF($K$15=$M$7,((D25+D26)*(K17)/(K17+L17)),0)+IF($L$15=$M$7,((D25+D26)*(L17)/(K17+L17)),0)</f>
        <v>0</v>
      </c>
      <c r="E31" s="127"/>
      <c r="F31" s="138">
        <f>N7</f>
        <v>0.14199999999999999</v>
      </c>
      <c r="G31" s="127"/>
      <c r="H31" s="132">
        <f>ROUND(D31*(E31+F31),2)</f>
        <v>0</v>
      </c>
      <c r="I31"/>
      <c r="K31" s="1"/>
      <c r="L31" s="1"/>
      <c r="M31" s="1"/>
      <c r="N31" s="1"/>
      <c r="O31" s="1"/>
      <c r="P31" s="1"/>
    </row>
    <row r="32" spans="2:18" x14ac:dyDescent="0.3">
      <c r="B32" s="126"/>
      <c r="C32" s="127"/>
      <c r="D32" s="139"/>
      <c r="E32" s="127"/>
      <c r="F32" s="127"/>
      <c r="G32" s="127"/>
      <c r="H32" s="129"/>
      <c r="I32"/>
      <c r="K32" s="1"/>
      <c r="L32" s="1"/>
      <c r="M32" s="1"/>
      <c r="N32" s="1"/>
      <c r="O32" s="1"/>
      <c r="P32" s="1"/>
    </row>
    <row r="33" spans="2:16" x14ac:dyDescent="0.3">
      <c r="B33" s="126" t="s">
        <v>87</v>
      </c>
      <c r="C33" s="127"/>
      <c r="D33" s="130">
        <v>0</v>
      </c>
      <c r="E33" s="140">
        <f>-E25</f>
        <v>-0.12371709677419356</v>
      </c>
      <c r="F33" s="140">
        <f>-F25</f>
        <v>-0.4511725806451613</v>
      </c>
      <c r="G33" s="127"/>
      <c r="H33" s="132">
        <f>ROUND(D33*(E33+F33),2)</f>
        <v>0</v>
      </c>
      <c r="I33"/>
      <c r="K33" s="1"/>
      <c r="L33" s="1"/>
      <c r="M33" s="1"/>
      <c r="N33" s="1"/>
      <c r="O33" s="1"/>
      <c r="P33" s="1"/>
    </row>
    <row r="34" spans="2:16" x14ac:dyDescent="0.3">
      <c r="B34" s="126" t="s">
        <v>88</v>
      </c>
      <c r="C34" s="127"/>
      <c r="D34" s="130">
        <v>1422.72</v>
      </c>
      <c r="E34" s="140">
        <f>-E26</f>
        <v>-0.12371709677419356</v>
      </c>
      <c r="F34" s="140">
        <f>-F26</f>
        <v>-0.28525967741935482</v>
      </c>
      <c r="G34" s="127"/>
      <c r="H34" s="132">
        <f>ROUND(D34*(E34+F34),2)</f>
        <v>-581.86</v>
      </c>
      <c r="I34"/>
      <c r="K34" s="1"/>
      <c r="L34" s="1"/>
      <c r="M34" s="1"/>
      <c r="N34" s="1"/>
      <c r="O34" s="1"/>
      <c r="P34" s="1"/>
    </row>
    <row r="35" spans="2:16" x14ac:dyDescent="0.3">
      <c r="B35" s="126"/>
      <c r="C35" s="127"/>
      <c r="D35" s="136"/>
      <c r="E35" s="127"/>
      <c r="F35" s="127"/>
      <c r="G35" s="127"/>
      <c r="H35" s="129"/>
      <c r="I35"/>
      <c r="K35" s="1"/>
      <c r="L35" s="1"/>
      <c r="M35" s="1"/>
      <c r="N35" s="1"/>
      <c r="O35" s="1"/>
      <c r="P35" s="1"/>
    </row>
    <row r="36" spans="2:16" x14ac:dyDescent="0.3">
      <c r="B36" s="126" t="s">
        <v>85</v>
      </c>
      <c r="C36" s="127"/>
      <c r="D36" s="137">
        <f>IF($K$15=$M$4,((D33+D34)*(K17)/(K17+L17)),0)+IF($L$15=$M$4,((D33+D34)*(L17)/(K17+L17)),0)</f>
        <v>0</v>
      </c>
      <c r="E36" s="127"/>
      <c r="F36" s="138">
        <f>-F28</f>
        <v>-2.989E-2</v>
      </c>
      <c r="G36" s="127"/>
      <c r="H36" s="132">
        <f>ROUND(D36*(E36+F36),2)</f>
        <v>0</v>
      </c>
      <c r="I36"/>
      <c r="K36" s="1"/>
      <c r="L36" s="1"/>
      <c r="M36" s="1"/>
      <c r="N36" s="1"/>
      <c r="O36" s="1"/>
      <c r="P36" s="1"/>
    </row>
    <row r="37" spans="2:16" x14ac:dyDescent="0.3">
      <c r="B37" s="126" t="s">
        <v>44</v>
      </c>
      <c r="C37" s="127"/>
      <c r="D37" s="137">
        <f>IF($K$15=$M$5,((D33+D34)*(K17)/(K17+L17)),0)+IF($L$15=$M$5,((D33+D34)*(L17)/(K17+L17)),0)</f>
        <v>0</v>
      </c>
      <c r="E37" s="127"/>
      <c r="F37" s="138">
        <f t="shared" ref="F37:F39" si="1">-F29</f>
        <v>-6.5000000000000002E-2</v>
      </c>
      <c r="G37" s="127"/>
      <c r="H37" s="132">
        <f>ROUND(D37*(E37+F37),2)</f>
        <v>0</v>
      </c>
      <c r="I37"/>
      <c r="K37" s="1"/>
      <c r="L37" s="1"/>
      <c r="M37" s="1"/>
      <c r="N37" s="1"/>
      <c r="O37" s="1"/>
      <c r="P37" s="1"/>
    </row>
    <row r="38" spans="2:16" x14ac:dyDescent="0.3">
      <c r="B38" s="126" t="s">
        <v>45</v>
      </c>
      <c r="C38" s="127"/>
      <c r="D38" s="137">
        <f>IF($K$15=$M$6,((D33+D34)*(K17)/(K17+L17)),0)+IF($L$15=$M$6,((D33+D34)*(L17)/(K17+L17)),0)</f>
        <v>0</v>
      </c>
      <c r="E38" s="127"/>
      <c r="F38" s="138">
        <f t="shared" si="1"/>
        <v>-9.7949999999999995E-2</v>
      </c>
      <c r="G38" s="127"/>
      <c r="H38" s="132">
        <f>ROUND(D38*(E38+F38),2)</f>
        <v>0</v>
      </c>
      <c r="I38"/>
      <c r="K38" s="1"/>
      <c r="L38" s="1"/>
      <c r="M38" s="1"/>
      <c r="N38" s="1"/>
      <c r="O38" s="1"/>
      <c r="P38" s="1"/>
    </row>
    <row r="39" spans="2:16" x14ac:dyDescent="0.3">
      <c r="B39" s="126" t="s">
        <v>86</v>
      </c>
      <c r="C39" s="127"/>
      <c r="D39" s="137">
        <f>IF($K$15=$M$7,((D33+D34)*(K17)/(K17+L17)),0)+IF($L$15=$M$7,((D33+D34)*(L17)/(K17+L17)),0)</f>
        <v>0</v>
      </c>
      <c r="E39" s="127"/>
      <c r="F39" s="138">
        <f t="shared" si="1"/>
        <v>-0.14199999999999999</v>
      </c>
      <c r="G39" s="127"/>
      <c r="H39" s="132">
        <f>ROUND(D39*(E39+F39),2)</f>
        <v>0</v>
      </c>
      <c r="I39"/>
      <c r="K39" s="1"/>
      <c r="L39" s="1"/>
      <c r="M39" s="1"/>
      <c r="N39" s="1"/>
      <c r="O39" s="1"/>
      <c r="P39" s="1"/>
    </row>
    <row r="40" spans="2:16" x14ac:dyDescent="0.3">
      <c r="B40" s="126"/>
      <c r="C40" s="127"/>
      <c r="D40" s="136"/>
      <c r="E40" s="127"/>
      <c r="F40" s="127"/>
      <c r="G40" s="127"/>
      <c r="H40" s="129"/>
      <c r="I40"/>
      <c r="J40" s="26" t="s">
        <v>81</v>
      </c>
      <c r="K40" s="26" t="s">
        <v>82</v>
      </c>
      <c r="L40" s="26" t="s">
        <v>89</v>
      </c>
      <c r="M40" s="1"/>
      <c r="N40" s="1"/>
      <c r="O40" s="1"/>
      <c r="P40" s="1"/>
    </row>
    <row r="41" spans="2:16" x14ac:dyDescent="0.3">
      <c r="B41" s="126" t="s">
        <v>104</v>
      </c>
      <c r="C41" s="127"/>
      <c r="D41" s="130">
        <v>100.86</v>
      </c>
      <c r="E41" s="131">
        <f>IF(AND($B$17&lt;$F$2,$E$17&lt;$F$2),C6,IF($B$17&lt;$F$2,I6,F6))</f>
        <v>46.912580645161292</v>
      </c>
      <c r="F41" s="127"/>
      <c r="G41" s="127"/>
      <c r="H41" s="132">
        <f>ROUND(D41*(E41+F41),2)</f>
        <v>4731.6000000000004</v>
      </c>
      <c r="I41"/>
      <c r="J41" s="133">
        <f>IF(AND($B$17&lt;$F$2,$E$17&lt;$F$2),R6,IF($B$17&lt;$F$2,X6,U6))</f>
        <v>24.450322580645164</v>
      </c>
      <c r="K41" s="134">
        <f>D41*J41</f>
        <v>2466.0595354838711</v>
      </c>
      <c r="L41" s="141">
        <f>K41+K44+K47</f>
        <v>2567.2838709677421</v>
      </c>
      <c r="M41" s="1"/>
      <c r="N41" s="1"/>
      <c r="O41" s="1"/>
      <c r="P41" s="1"/>
    </row>
    <row r="42" spans="2:16" x14ac:dyDescent="0.3">
      <c r="B42" s="126" t="s">
        <v>105</v>
      </c>
      <c r="C42" s="127"/>
      <c r="D42" s="130">
        <v>100.86</v>
      </c>
      <c r="E42" s="131">
        <f>IF(AND($B$17&lt;$F$2,$E$17&lt;$F$2),C7,IF($B$17&lt;$F$2,I7,F7))</f>
        <v>31.319032258064517</v>
      </c>
      <c r="F42" s="127"/>
      <c r="G42" s="127"/>
      <c r="H42" s="132">
        <f>ROUND(D42*(E42+F42),2)</f>
        <v>3158.84</v>
      </c>
      <c r="I42"/>
      <c r="K42" s="1"/>
      <c r="L42" s="1"/>
      <c r="M42" s="1"/>
      <c r="N42" s="1"/>
      <c r="O42" s="1"/>
      <c r="P42" s="1"/>
    </row>
    <row r="43" spans="2:16" x14ac:dyDescent="0.3">
      <c r="B43" s="126"/>
      <c r="C43" s="127"/>
      <c r="D43" s="136"/>
      <c r="E43" s="127"/>
      <c r="F43" s="127"/>
      <c r="G43" s="127"/>
      <c r="H43" s="132"/>
      <c r="I43"/>
      <c r="K43" s="1"/>
      <c r="L43" s="1"/>
      <c r="M43" s="1"/>
      <c r="N43" s="1"/>
      <c r="O43" s="1"/>
      <c r="P43" s="1"/>
    </row>
    <row r="44" spans="2:16" x14ac:dyDescent="0.3">
      <c r="B44" s="126" t="s">
        <v>106</v>
      </c>
      <c r="C44" s="127"/>
      <c r="D44" s="130">
        <v>4.1399999999999997</v>
      </c>
      <c r="E44" s="131">
        <f>E41</f>
        <v>46.912580645161292</v>
      </c>
      <c r="F44" s="127"/>
      <c r="G44" s="127"/>
      <c r="H44" s="132">
        <f>ROUND(D44*(E44+F44),2)</f>
        <v>194.22</v>
      </c>
      <c r="I44"/>
      <c r="J44" s="142">
        <f>J41</f>
        <v>24.450322580645164</v>
      </c>
      <c r="K44" s="134">
        <f>D44*J44</f>
        <v>101.22433548387097</v>
      </c>
      <c r="L44" s="1"/>
      <c r="M44" s="1"/>
      <c r="N44" s="1"/>
      <c r="O44" s="1"/>
      <c r="P44" s="1"/>
    </row>
    <row r="45" spans="2:16" x14ac:dyDescent="0.3">
      <c r="B45" s="126" t="s">
        <v>107</v>
      </c>
      <c r="C45" s="127"/>
      <c r="D45" s="130">
        <v>4.1399999999999997</v>
      </c>
      <c r="E45" s="131">
        <f>E42</f>
        <v>31.319032258064517</v>
      </c>
      <c r="F45" s="127"/>
      <c r="G45" s="127"/>
      <c r="H45" s="132">
        <f>ROUND(D45*(E45+F45),2)</f>
        <v>129.66</v>
      </c>
      <c r="I45"/>
      <c r="K45" s="1"/>
      <c r="L45" s="1"/>
      <c r="M45" s="1"/>
      <c r="N45" s="1"/>
      <c r="O45" s="1"/>
      <c r="P45" s="1"/>
    </row>
    <row r="46" spans="2:16" x14ac:dyDescent="0.3">
      <c r="B46" s="126"/>
      <c r="C46" s="127"/>
      <c r="D46" s="136"/>
      <c r="E46" s="127"/>
      <c r="F46" s="127"/>
      <c r="G46" s="127"/>
      <c r="H46" s="132"/>
      <c r="I46"/>
      <c r="K46" s="1"/>
      <c r="L46" s="1"/>
      <c r="M46" s="1"/>
      <c r="N46" s="1"/>
      <c r="O46" s="1"/>
      <c r="P46" s="1"/>
    </row>
    <row r="47" spans="2:16" x14ac:dyDescent="0.3">
      <c r="B47" s="126" t="s">
        <v>108</v>
      </c>
      <c r="C47" s="127"/>
      <c r="D47" s="143">
        <v>0</v>
      </c>
      <c r="E47" s="144">
        <f>E41*2</f>
        <v>93.825161290322583</v>
      </c>
      <c r="F47" s="127"/>
      <c r="G47" s="127"/>
      <c r="H47" s="132">
        <f>ROUND(D47*(E47+F47),2)</f>
        <v>0</v>
      </c>
      <c r="I47"/>
      <c r="K47" s="1"/>
      <c r="L47" s="1"/>
      <c r="M47" s="1"/>
      <c r="N47" s="1"/>
      <c r="O47" s="1"/>
      <c r="P47" s="1"/>
    </row>
    <row r="48" spans="2:16" x14ac:dyDescent="0.3">
      <c r="B48" s="126" t="s">
        <v>109</v>
      </c>
      <c r="C48" s="127"/>
      <c r="D48" s="143">
        <v>0</v>
      </c>
      <c r="E48" s="144">
        <f>E42*2</f>
        <v>62.638064516129035</v>
      </c>
      <c r="F48" s="127"/>
      <c r="G48" s="127"/>
      <c r="H48" s="132">
        <f>ROUND(D48*(E48+F48),2)</f>
        <v>0</v>
      </c>
      <c r="I48"/>
      <c r="K48" s="1"/>
      <c r="L48" s="1"/>
      <c r="M48" s="1"/>
      <c r="N48" s="1"/>
      <c r="O48" s="1"/>
      <c r="P48" s="1"/>
    </row>
    <row r="49" spans="2:16" x14ac:dyDescent="0.3">
      <c r="B49" s="126"/>
      <c r="C49" s="127"/>
      <c r="D49" s="143"/>
      <c r="E49" s="144"/>
      <c r="F49" s="127"/>
      <c r="G49" s="127"/>
      <c r="H49" s="132"/>
      <c r="K49" s="1"/>
      <c r="L49" s="1"/>
      <c r="M49" s="1"/>
      <c r="N49" s="1"/>
      <c r="O49" s="1"/>
      <c r="P49" s="1"/>
    </row>
    <row r="50" spans="2:16" x14ac:dyDescent="0.3">
      <c r="B50" s="116" t="s">
        <v>113</v>
      </c>
      <c r="C50" s="117"/>
      <c r="D50" s="118">
        <f>-D33</f>
        <v>0</v>
      </c>
      <c r="E50" s="119">
        <f>E25</f>
        <v>0.12371709677419356</v>
      </c>
      <c r="F50" s="119">
        <f>IF(AND($B$17&lt;$F$2,$E$17&lt;$F$2),D9,IF($B$17&lt;$F$2,K9,H9))</f>
        <v>5.5406854838709677E-2</v>
      </c>
      <c r="G50" s="119">
        <f>E50+F50</f>
        <v>0.17912395161290323</v>
      </c>
      <c r="H50" s="121">
        <f>ROUND(D50*(E50+F50),2)</f>
        <v>0</v>
      </c>
      <c r="K50" s="1"/>
      <c r="L50" s="1"/>
      <c r="M50" s="1"/>
      <c r="N50" s="1"/>
      <c r="O50" s="1"/>
      <c r="P50" s="1"/>
    </row>
    <row r="51" spans="2:16" x14ac:dyDescent="0.3">
      <c r="B51" s="116" t="s">
        <v>114</v>
      </c>
      <c r="C51" s="117"/>
      <c r="D51" s="118">
        <f>-D34</f>
        <v>-1422.72</v>
      </c>
      <c r="E51" s="119">
        <f>E26</f>
        <v>0.12371709677419356</v>
      </c>
      <c r="F51" s="119">
        <f>IF(AND($B$17&lt;$F$2,$E$17&lt;$F$2),D10,IF($B$17&lt;$F$2,K10,H10))</f>
        <v>3.513024193548387E-2</v>
      </c>
      <c r="G51" s="119">
        <f>E51+F51</f>
        <v>0.15884733870967743</v>
      </c>
      <c r="H51" s="121">
        <f>ROUND(D51*(E51+F51),2)</f>
        <v>-226</v>
      </c>
      <c r="K51" s="1"/>
      <c r="L51" s="1"/>
      <c r="M51" s="1"/>
      <c r="N51" s="1"/>
      <c r="O51" s="1"/>
      <c r="P51" s="1"/>
    </row>
    <row r="52" spans="2:16" x14ac:dyDescent="0.3">
      <c r="B52" s="116"/>
      <c r="C52" s="117"/>
      <c r="D52" s="122"/>
      <c r="E52" s="117"/>
      <c r="F52" s="123"/>
      <c r="G52" s="123"/>
      <c r="H52" s="121"/>
      <c r="K52" s="1"/>
      <c r="L52" s="1"/>
      <c r="M52" s="1"/>
      <c r="N52" s="1"/>
      <c r="O52" s="1"/>
      <c r="P52" s="1"/>
    </row>
    <row r="53" spans="2:16" x14ac:dyDescent="0.3">
      <c r="B53" s="116" t="s">
        <v>115</v>
      </c>
      <c r="C53" s="117"/>
      <c r="D53" s="118">
        <f>-D50</f>
        <v>0</v>
      </c>
      <c r="E53" s="119">
        <f>E50*F19</f>
        <v>0.12371709677419356</v>
      </c>
      <c r="F53" s="120">
        <f>F50*H19</f>
        <v>5.5406854838709677E-2</v>
      </c>
      <c r="G53" s="119">
        <f>E53+F53</f>
        <v>0.17912395161290323</v>
      </c>
      <c r="H53" s="121">
        <f>ROUND(D53*(E53+F53),2)</f>
        <v>0</v>
      </c>
      <c r="K53" s="1"/>
      <c r="L53" s="1"/>
      <c r="M53" s="1"/>
      <c r="N53" s="1"/>
      <c r="O53" s="1"/>
      <c r="P53" s="1"/>
    </row>
    <row r="54" spans="2:16" x14ac:dyDescent="0.3">
      <c r="B54" s="116" t="s">
        <v>116</v>
      </c>
      <c r="C54" s="117"/>
      <c r="D54" s="118">
        <f>-D51</f>
        <v>1422.72</v>
      </c>
      <c r="E54" s="119">
        <f>E51*F20</f>
        <v>0.12371709677419356</v>
      </c>
      <c r="F54" s="120">
        <f>F51*H20</f>
        <v>3.513024193548387E-2</v>
      </c>
      <c r="G54" s="119">
        <f>E54+F54</f>
        <v>0.15884733870967743</v>
      </c>
      <c r="H54" s="121">
        <f>ROUND(D54*(E54+F54),2)</f>
        <v>226</v>
      </c>
      <c r="K54" s="1"/>
      <c r="L54" s="1"/>
      <c r="M54" s="1"/>
      <c r="N54" s="1"/>
      <c r="O54" s="1"/>
      <c r="P54" s="1"/>
    </row>
    <row r="55" spans="2:16" x14ac:dyDescent="0.3">
      <c r="B55" s="126"/>
      <c r="C55" s="127"/>
      <c r="D55" s="143"/>
      <c r="E55" s="144"/>
      <c r="F55" s="127"/>
      <c r="G55" s="127"/>
      <c r="H55" s="132"/>
      <c r="K55" s="1"/>
      <c r="L55" s="1"/>
      <c r="M55" s="1"/>
      <c r="N55" s="1"/>
      <c r="O55" s="1"/>
      <c r="P55" s="1"/>
    </row>
    <row r="56" spans="2:16" x14ac:dyDescent="0.3">
      <c r="B56" s="126" t="s">
        <v>93</v>
      </c>
      <c r="C56" s="127"/>
      <c r="D56" s="130">
        <v>27.675000000000001</v>
      </c>
      <c r="E56" s="131"/>
      <c r="F56" s="131">
        <f>IF(AND($B$17&lt;$F$2,$E$17&lt;$F$2),E8,IF($B$17&lt;$F$2,K8,H8))</f>
        <v>0.30007032258064514</v>
      </c>
      <c r="G56" s="127"/>
      <c r="H56" s="132">
        <f>ROUND(D56*(E56+F56),2)</f>
        <v>8.3000000000000007</v>
      </c>
      <c r="J56" s="1"/>
      <c r="K56" s="1"/>
      <c r="L56" s="1"/>
      <c r="M56" s="1"/>
      <c r="N56" s="1"/>
      <c r="O56" s="1"/>
      <c r="P56" s="1"/>
    </row>
    <row r="57" spans="2:16" x14ac:dyDescent="0.3">
      <c r="B57" s="145" t="s">
        <v>94</v>
      </c>
      <c r="C57" s="146"/>
      <c r="D57" s="130">
        <v>0</v>
      </c>
      <c r="E57" s="147">
        <f>E42</f>
        <v>31.319032258064517</v>
      </c>
      <c r="F57" s="146"/>
      <c r="G57" s="146"/>
      <c r="H57" s="148">
        <f>ROUND(D57*(E57+F57),2)</f>
        <v>0</v>
      </c>
      <c r="K57" s="1"/>
      <c r="L57" s="97"/>
      <c r="M57" s="1"/>
      <c r="N57" s="1"/>
      <c r="O57" s="1"/>
      <c r="P57" s="1"/>
    </row>
    <row r="58" spans="2:16" x14ac:dyDescent="0.3">
      <c r="B58" s="149"/>
      <c r="C58" s="150"/>
      <c r="D58" s="150"/>
      <c r="E58" s="150"/>
      <c r="F58" s="150"/>
      <c r="G58" s="151"/>
      <c r="H58" s="152"/>
      <c r="K58" s="1"/>
      <c r="L58" s="1"/>
      <c r="M58" s="1"/>
      <c r="N58" s="1"/>
      <c r="O58" s="1"/>
      <c r="P58" s="1"/>
    </row>
    <row r="59" spans="2:16" x14ac:dyDescent="0.3">
      <c r="B59" s="126"/>
      <c r="C59" s="127"/>
      <c r="D59" s="153" t="s">
        <v>48</v>
      </c>
      <c r="E59" s="154"/>
      <c r="F59" s="154"/>
      <c r="G59" s="127"/>
      <c r="H59" s="155"/>
      <c r="J59" s="67"/>
      <c r="K59" s="1"/>
      <c r="L59" s="1"/>
      <c r="M59" s="1"/>
      <c r="N59" s="1"/>
      <c r="O59" s="1"/>
      <c r="P59" s="1"/>
    </row>
    <row r="60" spans="2:16" x14ac:dyDescent="0.3">
      <c r="B60" s="126" t="s">
        <v>49</v>
      </c>
      <c r="C60" s="127"/>
      <c r="D60" s="156">
        <f>(SUM(H25:H31)+H41+H42+H47+H48+H56+H57)/(1-E60-E63)</f>
        <v>14337.416247906198</v>
      </c>
      <c r="E60" s="157">
        <v>8.0000000000000002E-3</v>
      </c>
      <c r="F60" s="127"/>
      <c r="G60" s="127"/>
      <c r="H60" s="132">
        <f>D60*E60</f>
        <v>114.69932998324958</v>
      </c>
      <c r="K60" s="1"/>
      <c r="L60" s="1"/>
      <c r="M60" s="1"/>
      <c r="N60" s="1"/>
      <c r="O60" s="1"/>
      <c r="P60" s="1"/>
    </row>
    <row r="61" spans="2:16" x14ac:dyDescent="0.3">
      <c r="B61" s="126" t="s">
        <v>95</v>
      </c>
      <c r="C61" s="127"/>
      <c r="D61" s="156">
        <f>(SUM(H33:H39))/(1-E60-E63)</f>
        <v>-609.14991624790616</v>
      </c>
      <c r="E61" s="158">
        <f>E60</f>
        <v>8.0000000000000002E-3</v>
      </c>
      <c r="F61" s="127"/>
      <c r="G61" s="127"/>
      <c r="H61" s="132">
        <f t="shared" ref="H61:H65" si="2">D61*E61</f>
        <v>-4.8731993299832492</v>
      </c>
      <c r="K61" s="1"/>
      <c r="L61" s="1"/>
      <c r="M61" s="1"/>
      <c r="N61" s="1"/>
      <c r="O61" s="1"/>
      <c r="P61" s="1"/>
    </row>
    <row r="62" spans="2:16" x14ac:dyDescent="0.3">
      <c r="B62" s="126" t="s">
        <v>96</v>
      </c>
      <c r="C62" s="127"/>
      <c r="D62" s="156">
        <f>(H44+H45)/(1-E62-E65)</f>
        <v>339.07035175879395</v>
      </c>
      <c r="E62" s="158">
        <f>E60</f>
        <v>8.0000000000000002E-3</v>
      </c>
      <c r="F62" s="127"/>
      <c r="G62" s="127"/>
      <c r="H62" s="132">
        <f t="shared" si="2"/>
        <v>2.7125628140703517</v>
      </c>
      <c r="K62" s="1"/>
      <c r="L62" s="1"/>
      <c r="M62" s="1"/>
      <c r="N62" s="1"/>
      <c r="O62" s="1"/>
      <c r="P62" s="1"/>
    </row>
    <row r="63" spans="2:16" x14ac:dyDescent="0.3">
      <c r="B63" s="126" t="s">
        <v>51</v>
      </c>
      <c r="C63" s="127"/>
      <c r="D63" s="156">
        <f>D60</f>
        <v>14337.416247906198</v>
      </c>
      <c r="E63" s="157">
        <v>3.6799999999999999E-2</v>
      </c>
      <c r="F63" s="127"/>
      <c r="G63" s="127"/>
      <c r="H63" s="132">
        <f t="shared" si="2"/>
        <v>527.61691792294812</v>
      </c>
      <c r="K63" s="1"/>
      <c r="L63" s="1"/>
      <c r="M63" s="1"/>
      <c r="N63" s="1"/>
      <c r="O63" s="1"/>
      <c r="P63" s="1"/>
    </row>
    <row r="64" spans="2:16" x14ac:dyDescent="0.3">
      <c r="B64" s="126" t="s">
        <v>97</v>
      </c>
      <c r="C64" s="127"/>
      <c r="D64" s="156">
        <f>D61</f>
        <v>-609.14991624790616</v>
      </c>
      <c r="E64" s="158">
        <f>E63</f>
        <v>3.6799999999999999E-2</v>
      </c>
      <c r="F64" s="127"/>
      <c r="G64" s="127"/>
      <c r="H64" s="132">
        <f t="shared" si="2"/>
        <v>-22.416716917922948</v>
      </c>
      <c r="K64" s="1"/>
      <c r="L64" s="1"/>
      <c r="M64" s="1"/>
      <c r="N64" s="1"/>
      <c r="O64" s="1"/>
      <c r="P64" s="1"/>
    </row>
    <row r="65" spans="2:16" x14ac:dyDescent="0.3">
      <c r="B65" s="126" t="s">
        <v>98</v>
      </c>
      <c r="C65" s="127"/>
      <c r="D65" s="156">
        <f>D62</f>
        <v>339.07035175879395</v>
      </c>
      <c r="E65" s="158">
        <f>E63</f>
        <v>3.6799999999999999E-2</v>
      </c>
      <c r="F65" s="127"/>
      <c r="G65" s="127"/>
      <c r="H65" s="132">
        <f t="shared" si="2"/>
        <v>12.477788944723617</v>
      </c>
      <c r="K65" s="1"/>
      <c r="L65" s="1"/>
      <c r="M65" s="1"/>
      <c r="N65" s="1"/>
      <c r="O65" s="1"/>
      <c r="P65" s="1"/>
    </row>
    <row r="66" spans="2:16" x14ac:dyDescent="0.3">
      <c r="B66" s="145" t="s">
        <v>11</v>
      </c>
      <c r="C66" s="146"/>
      <c r="D66" s="159">
        <f>D60/(1-E66)</f>
        <v>17273.995479405057</v>
      </c>
      <c r="E66" s="160">
        <v>0.17</v>
      </c>
      <c r="F66" s="146"/>
      <c r="G66" s="146"/>
      <c r="H66" s="148">
        <f>D66*E66</f>
        <v>2936.5792314988598</v>
      </c>
      <c r="K66" s="1"/>
      <c r="L66" s="1"/>
      <c r="M66" s="1"/>
      <c r="N66" s="1"/>
      <c r="O66" s="1"/>
      <c r="P66" s="1"/>
    </row>
    <row r="67" spans="2:16" x14ac:dyDescent="0.3">
      <c r="B67" s="145" t="s">
        <v>99</v>
      </c>
      <c r="C67" s="146"/>
      <c r="D67" s="159">
        <f>((D33*F33)+(D34*F34)+SUM(H36:H39)+(D50*F50)+(D51*F51)+(D53*F53)+(D54*F54))/(1-E61-E64)/(1-E67)</f>
        <v>-511.90269653748726</v>
      </c>
      <c r="E67" s="160">
        <f>E66</f>
        <v>0.17</v>
      </c>
      <c r="F67" s="146"/>
      <c r="G67" s="146"/>
      <c r="H67" s="148">
        <f>D67*E67</f>
        <v>-87.023458411372843</v>
      </c>
      <c r="K67" s="1"/>
      <c r="L67" s="1"/>
      <c r="M67" s="1"/>
      <c r="N67" s="1"/>
      <c r="O67" s="1"/>
      <c r="P67" s="1"/>
    </row>
  </sheetData>
  <mergeCells count="10">
    <mergeCell ref="U4:W4"/>
    <mergeCell ref="X4:Z4"/>
    <mergeCell ref="K14:L14"/>
    <mergeCell ref="B22:H22"/>
    <mergeCell ref="B4:B5"/>
    <mergeCell ref="C4:E4"/>
    <mergeCell ref="F4:H4"/>
    <mergeCell ref="I4:K4"/>
    <mergeCell ref="Q4:Q5"/>
    <mergeCell ref="R4:T4"/>
  </mergeCells>
  <conditionalFormatting sqref="K15:L15">
    <cfRule type="cellIs" dxfId="27" priority="1" operator="equal">
      <formula>"Escassez Hídrica"</formula>
    </cfRule>
    <cfRule type="cellIs" dxfId="26" priority="2" operator="equal">
      <formula>"VERDE"</formula>
    </cfRule>
    <cfRule type="cellIs" dxfId="25" priority="3" operator="equal">
      <formula>"BVM2"</formula>
    </cfRule>
    <cfRule type="cellIs" dxfId="24" priority="4" operator="equal">
      <formula>"BVM1"</formula>
    </cfRule>
    <cfRule type="cellIs" dxfId="23" priority="5" operator="equal">
      <formula>"BAM"</formula>
    </cfRule>
  </conditionalFormatting>
  <conditionalFormatting sqref="M3">
    <cfRule type="cellIs" dxfId="22" priority="16" operator="equal">
      <formula>"VERDE"</formula>
    </cfRule>
    <cfRule type="cellIs" dxfId="21" priority="17" operator="equal">
      <formula>"BVM2"</formula>
    </cfRule>
    <cfRule type="cellIs" dxfId="20" priority="18" operator="equal">
      <formula>"BVM1"</formula>
    </cfRule>
    <cfRule type="cellIs" dxfId="19" priority="19" operator="equal">
      <formula>"BAM"</formula>
    </cfRule>
  </conditionalFormatting>
  <conditionalFormatting sqref="M7">
    <cfRule type="containsText" dxfId="18" priority="11" operator="containsText" text="Escassez Hídrica">
      <formula>NOT(ISERROR(SEARCH("Escassez Hídrica",M7)))</formula>
    </cfRule>
    <cfRule type="cellIs" dxfId="17" priority="12" operator="equal">
      <formula>"VERDE"</formula>
    </cfRule>
    <cfRule type="cellIs" dxfId="16" priority="13" operator="equal">
      <formula>"BVM2"</formula>
    </cfRule>
    <cfRule type="cellIs" dxfId="15" priority="14" operator="equal">
      <formula>"BVM1"</formula>
    </cfRule>
    <cfRule type="cellIs" dxfId="14" priority="15" operator="equal">
      <formula>"BAM"</formula>
    </cfRule>
  </conditionalFormatting>
  <dataValidations count="1">
    <dataValidation type="list" allowBlank="1" showInputMessage="1" showErrorMessage="1" sqref="K15:L15" xr:uid="{FF407EE5-EF16-4449-9D83-8D0BEBAE8D7D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7D76-9137-4B88-AAF6-BC1D4949A705}">
  <dimension ref="A1:AF227"/>
  <sheetViews>
    <sheetView showGridLines="0" topLeftCell="A13" zoomScale="80" zoomScaleNormal="80" workbookViewId="0">
      <selection activeCell="H28" sqref="H28"/>
    </sheetView>
  </sheetViews>
  <sheetFormatPr defaultColWidth="9.109375" defaultRowHeight="14.4" x14ac:dyDescent="0.3"/>
  <cols>
    <col min="1" max="1" width="5.44140625" style="19" customWidth="1"/>
    <col min="2" max="2" width="19.33203125" style="19" customWidth="1"/>
    <col min="3" max="3" width="15.6640625" style="19" customWidth="1"/>
    <col min="4" max="10" width="12.6640625" style="19" customWidth="1"/>
    <col min="11" max="12" width="13.88671875" style="19" customWidth="1"/>
    <col min="13" max="16" width="12.6640625" style="19" customWidth="1"/>
    <col min="17" max="17" width="9.44140625" style="19" bestFit="1" customWidth="1"/>
    <col min="18" max="18" width="12.109375" style="19" bestFit="1" customWidth="1"/>
    <col min="19" max="19" width="13.109375" style="19" bestFit="1" customWidth="1"/>
    <col min="20" max="20" width="11.33203125" style="19" bestFit="1" customWidth="1"/>
    <col min="21" max="21" width="12.109375" style="19" bestFit="1" customWidth="1"/>
    <col min="22" max="22" width="13.109375" style="19" bestFit="1" customWidth="1"/>
    <col min="23" max="23" width="11.33203125" style="19" bestFit="1" customWidth="1"/>
    <col min="24" max="24" width="12.109375" style="19" bestFit="1" customWidth="1"/>
    <col min="25" max="25" width="13.109375" style="19" bestFit="1" customWidth="1"/>
    <col min="26" max="26" width="11.33203125" style="19" bestFit="1" customWidth="1"/>
    <col min="27" max="16384" width="9.109375" style="19"/>
  </cols>
  <sheetData>
    <row r="1" spans="1:26" x14ac:dyDescent="0.3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8" x14ac:dyDescent="0.3">
      <c r="A2" s="19" t="s">
        <v>8</v>
      </c>
      <c r="B2" s="25" t="s">
        <v>127</v>
      </c>
      <c r="E2" s="20" t="s">
        <v>28</v>
      </c>
      <c r="F2" s="21">
        <v>45145</v>
      </c>
      <c r="G2" s="1" t="s">
        <v>8</v>
      </c>
      <c r="I2" s="101" t="s">
        <v>64</v>
      </c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3">
      <c r="M3" s="7" t="s">
        <v>13</v>
      </c>
      <c r="N3" s="8">
        <v>0</v>
      </c>
    </row>
    <row r="4" spans="1:26" ht="15" customHeight="1" x14ac:dyDescent="0.3">
      <c r="B4" s="506" t="s">
        <v>125</v>
      </c>
      <c r="C4" s="456" t="s">
        <v>58</v>
      </c>
      <c r="D4" s="456"/>
      <c r="E4" s="456"/>
      <c r="F4" s="456" t="s">
        <v>59</v>
      </c>
      <c r="G4" s="456"/>
      <c r="H4" s="456"/>
      <c r="I4" s="457" t="s">
        <v>32</v>
      </c>
      <c r="J4" s="457"/>
      <c r="K4" s="457"/>
      <c r="M4" s="9" t="s">
        <v>14</v>
      </c>
      <c r="N4" s="10">
        <v>2.989E-2</v>
      </c>
      <c r="Q4" s="451" t="s">
        <v>31</v>
      </c>
      <c r="R4" s="453" t="str">
        <f>C4</f>
        <v>TARIFA ANTIGA - REH 3091/2022</v>
      </c>
      <c r="S4" s="454"/>
      <c r="T4" s="455"/>
      <c r="U4" s="453" t="str">
        <f>F4</f>
        <v>TARIFA NOVA - REH XXXX/2023</v>
      </c>
      <c r="V4" s="454"/>
      <c r="W4" s="455"/>
      <c r="X4" s="453" t="s">
        <v>32</v>
      </c>
      <c r="Y4" s="454"/>
      <c r="Z4" s="455"/>
    </row>
    <row r="5" spans="1:26" x14ac:dyDescent="0.3">
      <c r="B5" s="507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6.5000000000000002E-2</v>
      </c>
      <c r="Q5" s="452"/>
      <c r="R5" s="28" t="s">
        <v>35</v>
      </c>
      <c r="S5" s="1"/>
      <c r="T5" s="1"/>
      <c r="U5" s="28" t="s">
        <v>35</v>
      </c>
      <c r="V5" s="1"/>
      <c r="W5" s="1"/>
      <c r="X5" s="28" t="s">
        <v>35</v>
      </c>
      <c r="Y5" s="1"/>
      <c r="Z5" s="1"/>
    </row>
    <row r="6" spans="1:26" x14ac:dyDescent="0.3">
      <c r="B6" s="30" t="s">
        <v>126</v>
      </c>
      <c r="C6" s="31">
        <v>0.27266000000000001</v>
      </c>
      <c r="D6" s="31">
        <v>0.27703</v>
      </c>
      <c r="E6" s="31">
        <f t="shared" ref="E6" si="0">C6+D6</f>
        <v>0.54969000000000001</v>
      </c>
      <c r="F6" s="31">
        <v>0.27266000000000001</v>
      </c>
      <c r="G6" s="31">
        <v>0.27703</v>
      </c>
      <c r="H6" s="31">
        <f t="shared" ref="H6" si="1">F6+G6</f>
        <v>0.54969000000000001</v>
      </c>
      <c r="I6" s="31">
        <f>((C6*$C$13)+(F6*$D$13))/($D$13+$C$13)</f>
        <v>0.27266000000000001</v>
      </c>
      <c r="J6" s="31">
        <f>((D6*$C$13)+(G6*$D$13))/($D$13+$C$13)</f>
        <v>0.27703</v>
      </c>
      <c r="K6" s="32">
        <f t="shared" ref="K6" si="2">I6+J6</f>
        <v>0.54969000000000001</v>
      </c>
      <c r="M6" s="13" t="s">
        <v>16</v>
      </c>
      <c r="N6" s="14">
        <v>9.7949999999999995E-2</v>
      </c>
      <c r="P6" s="33"/>
      <c r="Q6" s="30" t="str">
        <f>B6</f>
        <v>Baixa renda</v>
      </c>
      <c r="R6" s="31">
        <f>'[6]FIO B'!H11/1000</f>
        <v>0.19205</v>
      </c>
      <c r="S6" s="1"/>
      <c r="T6" s="1"/>
      <c r="U6" s="31">
        <f>'[6]FIO B'!K11/1000</f>
        <v>0.17652000000000001</v>
      </c>
      <c r="V6" s="1"/>
      <c r="W6" s="1"/>
      <c r="X6" s="31">
        <f>((R6*$C$13)+(U6*$D$13))/($D$13+$C$13)</f>
        <v>0.18503645161290322</v>
      </c>
      <c r="Y6" s="1"/>
      <c r="Z6" s="1"/>
    </row>
    <row r="7" spans="1:26" x14ac:dyDescent="0.3">
      <c r="B7" s="94" t="s">
        <v>57</v>
      </c>
      <c r="C7" s="83"/>
      <c r="D7" s="83"/>
      <c r="E7" s="83"/>
      <c r="F7" s="83"/>
      <c r="G7" s="81">
        <f>G6*15%</f>
        <v>4.1554500000000001E-2</v>
      </c>
      <c r="H7" s="83"/>
      <c r="I7" s="83"/>
      <c r="J7" s="31">
        <f>((D7*$C$13)+(G7*$D$13))/($D$13+$C$13)</f>
        <v>1.8766548387096776E-2</v>
      </c>
      <c r="K7" s="84"/>
      <c r="M7" s="7" t="s">
        <v>17</v>
      </c>
      <c r="N7" s="15">
        <v>0.14199999999999999</v>
      </c>
      <c r="P7" s="33"/>
      <c r="Q7" s="82"/>
      <c r="R7" s="83"/>
      <c r="S7" s="1"/>
      <c r="T7" s="1"/>
      <c r="U7" s="83"/>
      <c r="V7" s="1"/>
      <c r="W7" s="1"/>
      <c r="X7" s="83"/>
      <c r="Y7" s="1"/>
      <c r="Z7" s="1"/>
    </row>
    <row r="8" spans="1:26" x14ac:dyDescent="0.3">
      <c r="A8" s="19" t="s">
        <v>8</v>
      </c>
      <c r="G8" s="1"/>
      <c r="H8" s="1"/>
      <c r="I8" s="1"/>
      <c r="J8" s="1"/>
      <c r="K8" s="1"/>
      <c r="O8" s="20"/>
      <c r="P8" s="1" t="s">
        <v>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B9" s="34"/>
      <c r="C9" s="35"/>
      <c r="D9" s="36"/>
      <c r="E9" s="35"/>
      <c r="F9" s="35"/>
      <c r="G9" s="35"/>
      <c r="H9" s="37" t="s">
        <v>37</v>
      </c>
      <c r="I9" s="1"/>
      <c r="L9" s="20" t="s">
        <v>25</v>
      </c>
      <c r="M9" s="21">
        <f>EOMONTH(B13,0)+1</f>
        <v>45139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B10" s="38" t="s">
        <v>38</v>
      </c>
      <c r="C10" s="39">
        <v>1182321</v>
      </c>
      <c r="E10" s="1"/>
      <c r="F10" s="1"/>
      <c r="G10" s="1"/>
      <c r="H10" s="40">
        <f>E13</f>
        <v>45158</v>
      </c>
      <c r="K10" s="458" t="s">
        <v>26</v>
      </c>
      <c r="L10" s="45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9" t="s">
        <v>8</v>
      </c>
      <c r="B11" s="41"/>
      <c r="H11" s="43"/>
      <c r="K11" s="7" t="s">
        <v>13</v>
      </c>
      <c r="L11" s="7" t="s">
        <v>13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 x14ac:dyDescent="0.3">
      <c r="B12" s="16" t="s">
        <v>21</v>
      </c>
      <c r="C12" s="16" t="s">
        <v>22</v>
      </c>
      <c r="D12" s="16" t="s">
        <v>23</v>
      </c>
      <c r="E12" s="16" t="s">
        <v>24</v>
      </c>
      <c r="F12" s="1"/>
      <c r="G12" s="1"/>
      <c r="H12" s="43"/>
      <c r="J12" s="16" t="s">
        <v>21</v>
      </c>
      <c r="K12" s="16" t="s">
        <v>22</v>
      </c>
      <c r="L12" s="16" t="s">
        <v>23</v>
      </c>
      <c r="M12" s="16" t="s">
        <v>24</v>
      </c>
    </row>
    <row r="13" spans="1:26" x14ac:dyDescent="0.3">
      <c r="B13" s="17">
        <v>45127</v>
      </c>
      <c r="C13" s="18">
        <f>IF((F2-B13-1)&lt;0,0,(F2-B13-1))</f>
        <v>17</v>
      </c>
      <c r="D13" s="18">
        <f>E13-F2+1</f>
        <v>14</v>
      </c>
      <c r="E13" s="17">
        <v>45158</v>
      </c>
      <c r="F13" s="44"/>
      <c r="G13" s="44"/>
      <c r="H13" s="45"/>
      <c r="J13" s="22">
        <f>B13</f>
        <v>45127</v>
      </c>
      <c r="K13" s="23">
        <f>IF((M9-J13-1)&lt;0,0,(M9-J13-1))</f>
        <v>11</v>
      </c>
      <c r="L13" s="23">
        <f>M13-M9+1</f>
        <v>20</v>
      </c>
      <c r="M13" s="22">
        <f>E13</f>
        <v>45158</v>
      </c>
    </row>
    <row r="15" spans="1:26" x14ac:dyDescent="0.3">
      <c r="B15" s="1" t="s">
        <v>0</v>
      </c>
      <c r="C15" s="1"/>
      <c r="D15" s="2"/>
    </row>
    <row r="16" spans="1:26" x14ac:dyDescent="0.3">
      <c r="A16" s="99" t="s">
        <v>60</v>
      </c>
      <c r="B16" s="1" t="s">
        <v>63</v>
      </c>
      <c r="D16" s="100" t="s">
        <v>62</v>
      </c>
      <c r="E16" s="1"/>
      <c r="G16" s="89">
        <f>IF(D16="monofásico",30,IF(D16="bifásico",50,100))</f>
        <v>100</v>
      </c>
      <c r="H16" s="3" t="s">
        <v>2</v>
      </c>
    </row>
    <row r="17" spans="1:32" x14ac:dyDescent="0.3">
      <c r="A17" s="99" t="s">
        <v>61</v>
      </c>
      <c r="B17" s="1" t="s">
        <v>4</v>
      </c>
      <c r="G17" s="79">
        <f>I6</f>
        <v>0.27266000000000001</v>
      </c>
      <c r="H17" s="3" t="s">
        <v>6</v>
      </c>
    </row>
    <row r="18" spans="1:32" x14ac:dyDescent="0.3">
      <c r="A18" s="99" t="s">
        <v>62</v>
      </c>
      <c r="B18" s="1" t="s">
        <v>5</v>
      </c>
      <c r="G18" s="79">
        <f>J6</f>
        <v>0.27703</v>
      </c>
      <c r="H18" s="3" t="s">
        <v>6</v>
      </c>
      <c r="J18" s="19" t="s">
        <v>56</v>
      </c>
    </row>
    <row r="19" spans="1:32" x14ac:dyDescent="0.3">
      <c r="B19" s="1" t="s">
        <v>18</v>
      </c>
      <c r="G19" s="80">
        <f>(IF($K$11=M4,(G16*(K13)/(K13+L13)),0)+IF($L$11=M4,(G16*(L13)/(K13+L13)),0))*N4</f>
        <v>0</v>
      </c>
      <c r="H19" s="3" t="s">
        <v>7</v>
      </c>
      <c r="I19" s="19">
        <f>IF(OR($K$11=M4,$L$11=M4),N4,0)</f>
        <v>0</v>
      </c>
      <c r="J19" s="19">
        <f>(IF($K$11=M4,(N4*(K13)/(K13+L13)),0)+IF($L$11=M4,(N4*(L13)/(K13+L13)),0))</f>
        <v>0</v>
      </c>
    </row>
    <row r="20" spans="1:32" x14ac:dyDescent="0.3">
      <c r="B20" s="1" t="s">
        <v>20</v>
      </c>
      <c r="G20" s="80">
        <f>(IF($K$11=M5,(G16*(K13)/(K13+L13)),0)+IF($L$11=M5,(G16*(L13)/(K13+L13)),0))*N5</f>
        <v>0</v>
      </c>
      <c r="H20" s="3" t="s">
        <v>7</v>
      </c>
      <c r="I20" s="19">
        <f t="shared" ref="I20:I21" si="3">IF(OR($K$11=M5,$L$11=M5),N5,0)</f>
        <v>0</v>
      </c>
      <c r="J20" s="19">
        <f>(IF($K$11=M5,(N5*(K13)/(K13+L13)),0)+IF($L$11=M5,(N5*(L13)/(K13+L13)),0))</f>
        <v>0</v>
      </c>
    </row>
    <row r="21" spans="1:32" x14ac:dyDescent="0.3">
      <c r="B21" s="1" t="s">
        <v>19</v>
      </c>
      <c r="G21" s="80">
        <f>(IF($K$11=M6,(G16*(K13)/(K13+L13)),0)+IF($L$11=M6,(G16*(L13)/(K13+L13)),0))*N6</f>
        <v>0</v>
      </c>
      <c r="H21" s="3" t="s">
        <v>7</v>
      </c>
      <c r="I21" s="19">
        <f t="shared" si="3"/>
        <v>0</v>
      </c>
      <c r="J21" s="19">
        <f>(IF($K$11=M6,(N6*(K13)/(K13+L13)),0)+IF($L$11=M6,(N6*(L13)/(K13+L13)),0))</f>
        <v>0</v>
      </c>
    </row>
    <row r="22" spans="1:32" x14ac:dyDescent="0.3">
      <c r="B22" s="1" t="s">
        <v>54</v>
      </c>
      <c r="G22" s="87">
        <f>G16*(G17+G18)+G19+G20+G21</f>
        <v>54.969000000000001</v>
      </c>
      <c r="H22" s="4" t="s">
        <v>7</v>
      </c>
    </row>
    <row r="24" spans="1:32" x14ac:dyDescent="0.3">
      <c r="B24" s="88" t="s">
        <v>1</v>
      </c>
      <c r="C24" s="88"/>
      <c r="D24" s="88"/>
      <c r="E24" s="88"/>
      <c r="F24" s="88"/>
      <c r="G24" s="89">
        <v>1000</v>
      </c>
      <c r="H24" s="3" t="s">
        <v>2</v>
      </c>
    </row>
    <row r="25" spans="1:32" x14ac:dyDescent="0.3">
      <c r="B25" s="88" t="s">
        <v>3</v>
      </c>
      <c r="C25" s="88"/>
      <c r="D25" s="88"/>
      <c r="E25" s="88"/>
      <c r="F25" s="88"/>
      <c r="G25" s="89">
        <v>600</v>
      </c>
      <c r="H25" s="3" t="s">
        <v>2</v>
      </c>
      <c r="I25" s="91">
        <f>G25+D53</f>
        <v>570</v>
      </c>
    </row>
    <row r="26" spans="1:32" x14ac:dyDescent="0.3">
      <c r="B26" s="1"/>
      <c r="G26" s="1">
        <f>-IF(G24&lt;G16,0,IF(G25&lt;(((G24*(E46+F46))+H48+H49+H50+H51)-((G16*(G17+G18)+G19+G20+G21)))/(E71+F56+J19+J20+J21),-G25,-(((G24*(E46+F46))+H48+H49+H50+H51)-((G16*(G17+G18)+G19+G20+G21)))/(E71+F56+J19+J20+J21)))</f>
        <v>600</v>
      </c>
      <c r="H26" s="184">
        <f>G24-G26</f>
        <v>400</v>
      </c>
    </row>
    <row r="27" spans="1:32" x14ac:dyDescent="0.3">
      <c r="B27" s="5" t="s">
        <v>55</v>
      </c>
      <c r="E27" s="26" t="s">
        <v>10</v>
      </c>
      <c r="F27" s="85">
        <v>1</v>
      </c>
      <c r="G27" s="86" t="s">
        <v>9</v>
      </c>
      <c r="H27" s="85">
        <v>1</v>
      </c>
      <c r="K27" s="67">
        <f>M101+M107</f>
        <v>72.880697633039645</v>
      </c>
    </row>
    <row r="28" spans="1:32" x14ac:dyDescent="0.3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32" x14ac:dyDescent="0.3">
      <c r="B29" s="459" t="s">
        <v>110</v>
      </c>
      <c r="C29" s="460"/>
      <c r="D29" s="460"/>
      <c r="E29" s="460"/>
      <c r="F29" s="460"/>
      <c r="G29" s="460"/>
      <c r="H29" s="461"/>
      <c r="I29" s="1"/>
      <c r="J29" s="1"/>
      <c r="K29" s="1"/>
      <c r="L29" s="1"/>
      <c r="M29" s="1"/>
      <c r="N29" s="1"/>
      <c r="O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2" x14ac:dyDescent="0.3">
      <c r="B30" s="41"/>
      <c r="D30" s="46" t="s">
        <v>40</v>
      </c>
      <c r="E30" s="46" t="s">
        <v>10</v>
      </c>
      <c r="F30" s="46" t="s">
        <v>9</v>
      </c>
      <c r="G30" s="46" t="s">
        <v>34</v>
      </c>
      <c r="H30" s="47" t="s">
        <v>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2" x14ac:dyDescent="0.3">
      <c r="A31" s="19" t="s">
        <v>8</v>
      </c>
      <c r="B31" s="48" t="s">
        <v>41</v>
      </c>
      <c r="C31" s="49"/>
      <c r="D31" s="50"/>
      <c r="E31" s="50"/>
      <c r="F31" s="50"/>
      <c r="G31" s="50"/>
      <c r="H31" s="51">
        <f>SUM(H33:H71)+SUM(H76:H81)</f>
        <v>25.154357655759867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19" t="s">
        <v>8</v>
      </c>
      <c r="B32" s="41"/>
      <c r="D32" s="46"/>
      <c r="E32" s="46"/>
      <c r="F32" s="46"/>
      <c r="G32" s="46"/>
      <c r="H32" s="5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161">
        <v>0.65</v>
      </c>
      <c r="B33" s="41" t="s">
        <v>157</v>
      </c>
      <c r="D33" s="93">
        <f>IF(H26&gt;0,30,0)</f>
        <v>30</v>
      </c>
      <c r="E33" s="53">
        <f>$E$46*(1-A33)</f>
        <v>9.5431000000000002E-2</v>
      </c>
      <c r="F33" s="53">
        <f>$F$46*(1-A33)</f>
        <v>9.6960499999999991E-2</v>
      </c>
      <c r="G33" s="53">
        <f>E33+F33</f>
        <v>0.19239149999999999</v>
      </c>
      <c r="H33" s="54">
        <f>ROUND((D33*E33),2)+ROUND((D33*F33),2)</f>
        <v>5.77</v>
      </c>
      <c r="I33" s="1"/>
      <c r="J33" s="1"/>
      <c r="K33" s="1"/>
      <c r="L33" s="1"/>
      <c r="M33" s="9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A34" s="161">
        <v>0.4</v>
      </c>
      <c r="B34" s="41" t="s">
        <v>158</v>
      </c>
      <c r="D34" s="93">
        <v>20</v>
      </c>
      <c r="E34" s="53">
        <f>$E$46*(1-A34)</f>
        <v>0.16359599999999999</v>
      </c>
      <c r="F34" s="53">
        <f t="shared" ref="F34:F36" si="4">$F$46*(1-A34)</f>
        <v>0.166218</v>
      </c>
      <c r="G34" s="53">
        <f t="shared" ref="G34:G36" si="5">E34+F34</f>
        <v>0.329814</v>
      </c>
      <c r="H34" s="54">
        <f t="shared" ref="H34:H36" si="6">ROUND((D34*E34),2)+ROUND((D34*F34),2)</f>
        <v>6.59</v>
      </c>
      <c r="I34" s="1"/>
      <c r="J34" s="1"/>
      <c r="K34" s="1"/>
      <c r="L34" s="1"/>
      <c r="M34" s="9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">
      <c r="A35" s="161">
        <v>0.1</v>
      </c>
      <c r="B35" s="41" t="s">
        <v>159</v>
      </c>
      <c r="D35" s="93"/>
      <c r="E35" s="53">
        <f>$E$46*(1-A35)</f>
        <v>0.24539400000000003</v>
      </c>
      <c r="F35" s="53">
        <f t="shared" si="4"/>
        <v>0.24932699999999999</v>
      </c>
      <c r="G35" s="53">
        <f t="shared" si="5"/>
        <v>0.49472100000000002</v>
      </c>
      <c r="H35" s="54">
        <f t="shared" si="6"/>
        <v>0</v>
      </c>
      <c r="I35" s="1"/>
      <c r="J35" s="1"/>
      <c r="K35" s="1"/>
      <c r="L35" s="1"/>
      <c r="M35" s="9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161">
        <v>0</v>
      </c>
      <c r="B36" s="41" t="s">
        <v>160</v>
      </c>
      <c r="D36" s="93"/>
      <c r="E36" s="53">
        <f>$E$46*(1-A36)</f>
        <v>0.27266000000000001</v>
      </c>
      <c r="F36" s="53">
        <f t="shared" si="4"/>
        <v>0.27703</v>
      </c>
      <c r="G36" s="53">
        <f t="shared" si="5"/>
        <v>0.54969000000000001</v>
      </c>
      <c r="H36" s="54">
        <f t="shared" si="6"/>
        <v>0</v>
      </c>
      <c r="I36" s="1"/>
      <c r="J36" s="1"/>
      <c r="K36" s="1"/>
      <c r="L36" s="1"/>
      <c r="M36" s="9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B37" s="41"/>
      <c r="D37" s="55"/>
      <c r="E37" s="56"/>
      <c r="F37" s="57"/>
      <c r="G37" s="57"/>
      <c r="H37" s="5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B38" s="41" t="s">
        <v>43</v>
      </c>
      <c r="D38" s="58"/>
      <c r="F38" s="59"/>
      <c r="G38" s="59"/>
      <c r="H38" s="54">
        <f>O124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B39" s="41" t="s">
        <v>44</v>
      </c>
      <c r="D39" s="58"/>
      <c r="F39" s="59"/>
      <c r="G39" s="59"/>
      <c r="H39" s="54">
        <f>O133</f>
        <v>0</v>
      </c>
      <c r="I39" s="1"/>
      <c r="J39" s="1"/>
      <c r="K39" s="1"/>
      <c r="L39" s="18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">
      <c r="B40" s="41" t="s">
        <v>45</v>
      </c>
      <c r="D40" s="58"/>
      <c r="F40" s="59"/>
      <c r="G40" s="59"/>
      <c r="H40" s="54">
        <f>O142</f>
        <v>0</v>
      </c>
      <c r="I40" s="1"/>
      <c r="J40" s="1"/>
      <c r="K40" s="1"/>
      <c r="L40" s="1"/>
      <c r="M40" s="1"/>
      <c r="N40" s="1"/>
      <c r="O40" s="1"/>
      <c r="AF40" s="1"/>
    </row>
    <row r="41" spans="1:32" x14ac:dyDescent="0.3">
      <c r="B41" s="41" t="s">
        <v>46</v>
      </c>
      <c r="D41" s="58"/>
      <c r="F41" s="59"/>
      <c r="G41" s="59"/>
      <c r="H41" s="54">
        <f>O151</f>
        <v>0</v>
      </c>
      <c r="I41" s="1"/>
      <c r="J41" s="1"/>
      <c r="K41" s="1"/>
      <c r="L41" s="1"/>
      <c r="M41" s="1"/>
      <c r="N41" s="1"/>
      <c r="O41" s="1"/>
      <c r="AF41" s="1"/>
    </row>
    <row r="42" spans="1:32" ht="14.25" customHeight="1" x14ac:dyDescent="0.3">
      <c r="B42" s="41"/>
      <c r="D42" s="60"/>
      <c r="H42" s="54"/>
      <c r="I42" s="1"/>
      <c r="J42" s="1"/>
      <c r="K42" s="90"/>
      <c r="L42" s="1"/>
      <c r="M42" s="1"/>
      <c r="N42" s="1"/>
      <c r="O42" s="1"/>
      <c r="AF42" s="1"/>
    </row>
    <row r="43" spans="1:32" x14ac:dyDescent="0.3">
      <c r="A43" s="161">
        <v>0.65</v>
      </c>
      <c r="B43" s="41" t="s">
        <v>121</v>
      </c>
      <c r="D43" s="93">
        <v>30</v>
      </c>
      <c r="E43" s="53">
        <f>$E$46*(1-A43)</f>
        <v>9.5431000000000002E-2</v>
      </c>
      <c r="F43" s="53">
        <f>$F$46*(1-A43)</f>
        <v>9.6960499999999991E-2</v>
      </c>
      <c r="G43" s="53">
        <f>E43+F43</f>
        <v>0.19239149999999999</v>
      </c>
      <c r="H43" s="54">
        <f>ROUND((D43*E43),2)+ROUND((D43*F43),2)</f>
        <v>5.77</v>
      </c>
      <c r="I43" s="1"/>
      <c r="J43" s="1"/>
      <c r="K43" s="1"/>
      <c r="L43" s="1"/>
      <c r="M43" s="9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161">
        <v>0.4</v>
      </c>
      <c r="B44" s="41" t="s">
        <v>122</v>
      </c>
      <c r="D44" s="93">
        <v>70</v>
      </c>
      <c r="E44" s="53">
        <f t="shared" ref="E44:E45" si="7">$E$46*(1-A44)</f>
        <v>0.16359599999999999</v>
      </c>
      <c r="F44" s="53">
        <f t="shared" ref="F44:F45" si="8">$F$46*(1-A44)</f>
        <v>0.166218</v>
      </c>
      <c r="G44" s="53">
        <f t="shared" ref="G44:G46" si="9">E44+F44</f>
        <v>0.329814</v>
      </c>
      <c r="H44" s="54">
        <f t="shared" ref="H44:H46" si="10">ROUND((D44*E44),2)+ROUND((D44*F44),2)</f>
        <v>23.09</v>
      </c>
      <c r="I44" s="1"/>
      <c r="J44" s="1"/>
      <c r="K44" s="1"/>
      <c r="L44" s="1"/>
      <c r="M44" s="9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161">
        <v>0.1</v>
      </c>
      <c r="B45" s="41" t="s">
        <v>124</v>
      </c>
      <c r="D45" s="93">
        <v>120</v>
      </c>
      <c r="E45" s="53">
        <f t="shared" si="7"/>
        <v>0.24539400000000003</v>
      </c>
      <c r="F45" s="53">
        <f t="shared" si="8"/>
        <v>0.24932699999999999</v>
      </c>
      <c r="G45" s="53">
        <f t="shared" si="9"/>
        <v>0.49472100000000002</v>
      </c>
      <c r="H45" s="54">
        <f t="shared" si="10"/>
        <v>59.370000000000005</v>
      </c>
      <c r="I45" s="1"/>
      <c r="J45" s="1"/>
      <c r="K45" s="1"/>
      <c r="L45" s="1"/>
      <c r="M45" s="9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161">
        <v>0</v>
      </c>
      <c r="B46" s="41" t="s">
        <v>123</v>
      </c>
      <c r="D46" s="93">
        <v>9</v>
      </c>
      <c r="E46" s="53">
        <f>IF(AND($B$13&lt;$F$2,$E$13&lt;$F$2),C6,IF($B$13&lt;$F$2,I6,F6))</f>
        <v>0.27266000000000001</v>
      </c>
      <c r="F46" s="53">
        <f>IF(AND($B$13&lt;$F$2,$E$13&lt;$F$2),D6,IF($B$13&lt;$F$2,J6,G6))</f>
        <v>0.27703</v>
      </c>
      <c r="G46" s="53">
        <f t="shared" si="9"/>
        <v>0.54969000000000001</v>
      </c>
      <c r="H46" s="54">
        <f t="shared" si="10"/>
        <v>4.9400000000000004</v>
      </c>
      <c r="I46" s="1"/>
      <c r="J46" s="1"/>
      <c r="K46" s="1"/>
      <c r="L46" s="1"/>
      <c r="M46" s="9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B47" s="41"/>
      <c r="D47" s="55"/>
      <c r="E47" s="56"/>
      <c r="F47" s="57"/>
      <c r="G47" s="57"/>
      <c r="H47" s="5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B48" s="41" t="s">
        <v>43</v>
      </c>
      <c r="D48" s="58"/>
      <c r="F48" s="59"/>
      <c r="G48" s="59"/>
      <c r="H48" s="54">
        <f>O161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B49" s="41" t="s">
        <v>44</v>
      </c>
      <c r="D49" s="58"/>
      <c r="F49" s="59"/>
      <c r="G49" s="59"/>
      <c r="H49" s="54">
        <f>O170</f>
        <v>0</v>
      </c>
      <c r="I49" s="1"/>
      <c r="J49" s="1"/>
      <c r="K49" s="1"/>
      <c r="L49" s="18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B50" s="41" t="s">
        <v>45</v>
      </c>
      <c r="D50" s="58"/>
      <c r="F50" s="59"/>
      <c r="G50" s="59"/>
      <c r="H50" s="54">
        <f>O179</f>
        <v>0</v>
      </c>
      <c r="I50" s="1"/>
      <c r="J50" s="1"/>
      <c r="K50" s="1"/>
      <c r="L50" s="1"/>
      <c r="M50" s="1"/>
      <c r="N50" s="1"/>
      <c r="O50" s="1"/>
      <c r="AF50" s="1"/>
    </row>
    <row r="51" spans="1:32" x14ac:dyDescent="0.3">
      <c r="B51" s="41" t="s">
        <v>46</v>
      </c>
      <c r="D51" s="58"/>
      <c r="F51" s="59"/>
      <c r="G51" s="59"/>
      <c r="H51" s="54">
        <f>O188</f>
        <v>0</v>
      </c>
      <c r="I51" s="1"/>
      <c r="J51" s="1"/>
      <c r="K51" s="1"/>
      <c r="L51" s="1"/>
      <c r="M51" s="1"/>
      <c r="N51" s="1"/>
      <c r="O51" s="1"/>
      <c r="AF51" s="1"/>
    </row>
    <row r="52" spans="1:32" ht="14.25" customHeight="1" x14ac:dyDescent="0.3">
      <c r="B52" s="41"/>
      <c r="D52" s="60"/>
      <c r="H52" s="54"/>
      <c r="I52" s="1"/>
      <c r="J52" s="1"/>
      <c r="K52" s="90"/>
      <c r="L52" s="1"/>
      <c r="M52" s="1"/>
      <c r="N52" s="1"/>
      <c r="O52" s="1"/>
      <c r="AF52" s="1"/>
    </row>
    <row r="53" spans="1:32" x14ac:dyDescent="0.3">
      <c r="A53" s="161">
        <v>0.65</v>
      </c>
      <c r="B53" s="41" t="s">
        <v>136</v>
      </c>
      <c r="D53" s="92">
        <v>-30</v>
      </c>
      <c r="E53" s="53">
        <f>E43</f>
        <v>9.5431000000000002E-2</v>
      </c>
      <c r="F53" s="53">
        <f>F43</f>
        <v>9.6960499999999991E-2</v>
      </c>
      <c r="G53" s="53">
        <f>E53+F53</f>
        <v>0.19239149999999999</v>
      </c>
      <c r="H53" s="54">
        <f>ROUND((D53*E53),2)+ROUND((D53*F53),2)</f>
        <v>-5.77</v>
      </c>
      <c r="I53" s="1"/>
      <c r="J53" s="1"/>
      <c r="K53" s="90"/>
      <c r="L53" s="1"/>
      <c r="M53" s="90"/>
      <c r="N53" s="1"/>
      <c r="O53" s="1"/>
      <c r="AF53" s="1"/>
    </row>
    <row r="54" spans="1:32" x14ac:dyDescent="0.3">
      <c r="A54" s="161">
        <v>0.4</v>
      </c>
      <c r="B54" s="41" t="s">
        <v>137</v>
      </c>
      <c r="D54" s="92">
        <v>-70</v>
      </c>
      <c r="E54" s="53">
        <f t="shared" ref="E54:F56" si="11">E44</f>
        <v>0.16359599999999999</v>
      </c>
      <c r="F54" s="53">
        <f t="shared" si="11"/>
        <v>0.166218</v>
      </c>
      <c r="G54" s="53">
        <f t="shared" ref="G54:G56" si="12">E54+F54</f>
        <v>0.329814</v>
      </c>
      <c r="H54" s="54">
        <f t="shared" ref="H54:H56" si="13">ROUND((D54*E54),2)+ROUND((D54*F54),2)</f>
        <v>-23.09</v>
      </c>
      <c r="I54" s="1"/>
      <c r="J54" s="1"/>
      <c r="K54" s="90"/>
      <c r="L54" s="1"/>
      <c r="M54" s="1"/>
      <c r="N54" s="1"/>
      <c r="O54" s="1"/>
      <c r="AF54" s="1"/>
    </row>
    <row r="55" spans="1:32" x14ac:dyDescent="0.3">
      <c r="A55" s="161">
        <v>0.1</v>
      </c>
      <c r="B55" s="41" t="s">
        <v>138</v>
      </c>
      <c r="D55" s="92">
        <v>-120</v>
      </c>
      <c r="E55" s="53">
        <f t="shared" si="11"/>
        <v>0.24539400000000003</v>
      </c>
      <c r="F55" s="53">
        <f t="shared" si="11"/>
        <v>0.24932699999999999</v>
      </c>
      <c r="G55" s="53">
        <f t="shared" si="12"/>
        <v>0.49472100000000002</v>
      </c>
      <c r="H55" s="54">
        <f t="shared" si="13"/>
        <v>-59.370000000000005</v>
      </c>
      <c r="I55" s="1"/>
      <c r="J55" s="1"/>
      <c r="K55" s="1"/>
      <c r="L55" s="1"/>
      <c r="M55" s="1"/>
      <c r="N55" s="1"/>
      <c r="O55" s="1"/>
      <c r="AF55" s="1"/>
    </row>
    <row r="56" spans="1:32" x14ac:dyDescent="0.3">
      <c r="A56" s="161">
        <v>0</v>
      </c>
      <c r="B56" s="41" t="s">
        <v>139</v>
      </c>
      <c r="D56" s="92">
        <v>-9</v>
      </c>
      <c r="E56" s="53">
        <f t="shared" si="11"/>
        <v>0.27266000000000001</v>
      </c>
      <c r="F56" s="53">
        <f t="shared" si="11"/>
        <v>0.27703</v>
      </c>
      <c r="G56" s="53">
        <f t="shared" si="12"/>
        <v>0.54969000000000001</v>
      </c>
      <c r="H56" s="54">
        <f t="shared" si="13"/>
        <v>-4.9400000000000004</v>
      </c>
      <c r="I56" s="1"/>
      <c r="J56" s="1"/>
      <c r="K56" s="1"/>
      <c r="L56" s="1"/>
      <c r="M56" s="1"/>
      <c r="N56" s="1"/>
      <c r="O56" s="1"/>
      <c r="AF56" s="1"/>
    </row>
    <row r="57" spans="1:32" x14ac:dyDescent="0.3">
      <c r="B57" s="41"/>
      <c r="D57" s="55"/>
      <c r="E57" s="56"/>
      <c r="F57" s="57"/>
      <c r="G57" s="57"/>
      <c r="H57" s="54"/>
      <c r="J57" s="1"/>
      <c r="K57" s="1"/>
      <c r="L57" s="1"/>
      <c r="M57" s="1"/>
      <c r="N57" s="1"/>
      <c r="O57" s="1"/>
      <c r="AF57" s="1"/>
    </row>
    <row r="58" spans="1:32" x14ac:dyDescent="0.3">
      <c r="B58" s="41" t="s">
        <v>43</v>
      </c>
      <c r="D58" s="58"/>
      <c r="F58" s="59"/>
      <c r="G58" s="59"/>
      <c r="H58" s="54">
        <f>O200</f>
        <v>0</v>
      </c>
      <c r="J58" s="1"/>
      <c r="K58" s="1"/>
      <c r="L58" s="1"/>
      <c r="M58" s="1"/>
      <c r="N58" s="1"/>
      <c r="O58" s="1"/>
      <c r="AF58" s="1"/>
    </row>
    <row r="59" spans="1:32" x14ac:dyDescent="0.3">
      <c r="B59" s="41" t="s">
        <v>44</v>
      </c>
      <c r="D59" s="58"/>
      <c r="F59" s="59"/>
      <c r="G59" s="59"/>
      <c r="H59" s="54">
        <f>O209</f>
        <v>0</v>
      </c>
      <c r="I59" s="1"/>
      <c r="J59" s="1"/>
      <c r="K59" s="1"/>
      <c r="L59" s="1"/>
      <c r="M59" s="1"/>
      <c r="N59" s="1"/>
      <c r="O59" s="1"/>
      <c r="AF59" s="1"/>
    </row>
    <row r="60" spans="1:32" x14ac:dyDescent="0.3">
      <c r="B60" s="41" t="s">
        <v>45</v>
      </c>
      <c r="D60" s="58"/>
      <c r="F60" s="59"/>
      <c r="G60" s="59"/>
      <c r="H60" s="54">
        <f>O218</f>
        <v>0</v>
      </c>
      <c r="I60" s="1"/>
      <c r="J60" s="1"/>
      <c r="K60" s="1"/>
      <c r="L60" s="1"/>
      <c r="M60" s="1"/>
      <c r="N60" s="1"/>
      <c r="O60" s="1"/>
      <c r="AF60" s="1"/>
    </row>
    <row r="61" spans="1:32" x14ac:dyDescent="0.3">
      <c r="B61" s="41" t="s">
        <v>46</v>
      </c>
      <c r="D61" s="58"/>
      <c r="F61" s="59"/>
      <c r="G61" s="59"/>
      <c r="H61" s="54">
        <f>O227</f>
        <v>0</v>
      </c>
      <c r="I61" s="97"/>
      <c r="J61" s="1"/>
      <c r="K61" s="1"/>
      <c r="L61" s="1"/>
      <c r="M61" s="1"/>
      <c r="N61" s="1"/>
      <c r="O61" s="1"/>
      <c r="AF61" s="1"/>
    </row>
    <row r="62" spans="1:32" x14ac:dyDescent="0.3">
      <c r="B62" s="41"/>
      <c r="D62" s="58"/>
      <c r="F62" s="59"/>
      <c r="G62" s="59"/>
      <c r="H62" s="54"/>
      <c r="I62" s="1"/>
      <c r="J62" s="1"/>
      <c r="K62" s="1"/>
      <c r="L62" s="1"/>
      <c r="M62" s="1"/>
      <c r="N62" s="1"/>
      <c r="O62" s="1"/>
      <c r="AF62" s="1"/>
    </row>
    <row r="63" spans="1:32" x14ac:dyDescent="0.3">
      <c r="A63" s="161">
        <v>0.65</v>
      </c>
      <c r="B63" s="177" t="s">
        <v>148</v>
      </c>
      <c r="C63" s="178"/>
      <c r="D63" s="179">
        <f>-D53</f>
        <v>30</v>
      </c>
      <c r="E63" s="180">
        <f>$E$66*(1-A63)</f>
        <v>9.5431000000000002E-2</v>
      </c>
      <c r="F63" s="180">
        <f>$F$66*(1-A63)</f>
        <v>6.5682919354838713E-3</v>
      </c>
      <c r="G63" s="180">
        <f>E63+F63</f>
        <v>0.10199929193548388</v>
      </c>
      <c r="H63" s="181">
        <f>ROUND(D63*(E63+F63),2)</f>
        <v>3.06</v>
      </c>
      <c r="I63" s="1"/>
      <c r="L63" s="1"/>
      <c r="M63" s="1"/>
      <c r="N63" s="1"/>
      <c r="O63" s="1"/>
      <c r="AF63" s="1"/>
    </row>
    <row r="64" spans="1:32" x14ac:dyDescent="0.3">
      <c r="A64" s="161">
        <v>0.4</v>
      </c>
      <c r="B64" s="177" t="s">
        <v>149</v>
      </c>
      <c r="C64" s="178"/>
      <c r="D64" s="179">
        <f t="shared" ref="D64:D66" si="14">-D54</f>
        <v>70</v>
      </c>
      <c r="E64" s="180">
        <f t="shared" ref="E64:E65" si="15">$E$66*(1-A64)</f>
        <v>0.16359599999999999</v>
      </c>
      <c r="F64" s="180">
        <f t="shared" ref="F64:F65" si="16">$F$66*(1-A64)</f>
        <v>1.1259929032258064E-2</v>
      </c>
      <c r="G64" s="180">
        <f t="shared" ref="G64:G66" si="17">E64+F64</f>
        <v>0.17485592903225805</v>
      </c>
      <c r="H64" s="181">
        <f t="shared" ref="H64:H66" si="18">ROUND(D64*(E64+F64),2)</f>
        <v>12.24</v>
      </c>
      <c r="I64" s="1"/>
      <c r="L64" s="1"/>
      <c r="M64" s="1"/>
      <c r="N64" s="1"/>
      <c r="O64" s="1"/>
      <c r="AF64" s="1"/>
    </row>
    <row r="65" spans="1:32" x14ac:dyDescent="0.3">
      <c r="A65" s="161">
        <v>0.1</v>
      </c>
      <c r="B65" s="177" t="s">
        <v>150</v>
      </c>
      <c r="C65" s="178"/>
      <c r="D65" s="179">
        <f t="shared" si="14"/>
        <v>120</v>
      </c>
      <c r="E65" s="180">
        <f t="shared" si="15"/>
        <v>0.24539400000000003</v>
      </c>
      <c r="F65" s="180">
        <f t="shared" si="16"/>
        <v>1.6889893548387099E-2</v>
      </c>
      <c r="G65" s="180">
        <f t="shared" si="17"/>
        <v>0.2622838935483871</v>
      </c>
      <c r="H65" s="181">
        <f t="shared" si="18"/>
        <v>31.47</v>
      </c>
      <c r="I65" s="1"/>
      <c r="L65" s="1"/>
      <c r="M65" s="1"/>
      <c r="N65" s="1"/>
      <c r="O65" s="1"/>
      <c r="AF65" s="1"/>
    </row>
    <row r="66" spans="1:32" x14ac:dyDescent="0.3">
      <c r="A66" s="161">
        <v>0</v>
      </c>
      <c r="B66" s="177" t="s">
        <v>151</v>
      </c>
      <c r="C66" s="178"/>
      <c r="D66" s="179">
        <f t="shared" si="14"/>
        <v>9</v>
      </c>
      <c r="E66" s="180">
        <f>E46</f>
        <v>0.27266000000000001</v>
      </c>
      <c r="F66" s="180">
        <f>IF(AND($B$13&lt;$F$2,$E$13&lt;$F$2),D7,IF($B$13&lt;$F$2,J7,G7))</f>
        <v>1.8766548387096776E-2</v>
      </c>
      <c r="G66" s="180">
        <f t="shared" si="17"/>
        <v>0.29142654838709681</v>
      </c>
      <c r="H66" s="181">
        <f t="shared" si="18"/>
        <v>2.62</v>
      </c>
      <c r="I66" s="1"/>
      <c r="L66" s="1"/>
      <c r="M66" s="1"/>
      <c r="N66" s="1"/>
      <c r="O66" s="1"/>
      <c r="AF66" s="1"/>
    </row>
    <row r="67" spans="1:32" x14ac:dyDescent="0.3">
      <c r="B67" s="177"/>
      <c r="C67" s="178"/>
      <c r="D67" s="182"/>
      <c r="E67" s="178"/>
      <c r="F67" s="183"/>
      <c r="G67" s="183"/>
      <c r="H67" s="181"/>
      <c r="I67" s="1"/>
      <c r="L67" s="1"/>
      <c r="M67" s="1"/>
      <c r="N67" s="1"/>
      <c r="O67" s="1"/>
      <c r="AF67" s="1"/>
    </row>
    <row r="68" spans="1:32" x14ac:dyDescent="0.3">
      <c r="B68" s="177" t="s">
        <v>152</v>
      </c>
      <c r="C68" s="178"/>
      <c r="D68" s="179">
        <f>-D63</f>
        <v>-30</v>
      </c>
      <c r="E68" s="180">
        <f>E63*$F$27</f>
        <v>9.5431000000000002E-2</v>
      </c>
      <c r="F68" s="180">
        <f>F63*$H$27</f>
        <v>6.5682919354838713E-3</v>
      </c>
      <c r="G68" s="180">
        <f>E68+F68</f>
        <v>0.10199929193548388</v>
      </c>
      <c r="H68" s="181">
        <f>ROUND(D68*(E68+F68),2)</f>
        <v>-3.06</v>
      </c>
      <c r="I68" s="66"/>
      <c r="K68" s="67"/>
      <c r="L68" s="1"/>
      <c r="M68" s="1"/>
      <c r="N68" s="1"/>
      <c r="O68" s="1"/>
      <c r="AF68" s="1"/>
    </row>
    <row r="69" spans="1:32" x14ac:dyDescent="0.3">
      <c r="B69" s="177" t="s">
        <v>153</v>
      </c>
      <c r="C69" s="178"/>
      <c r="D69" s="179">
        <f t="shared" ref="D69:D71" si="19">-D64</f>
        <v>-70</v>
      </c>
      <c r="E69" s="180">
        <f>E64*$F$27</f>
        <v>0.16359599999999999</v>
      </c>
      <c r="F69" s="180">
        <f t="shared" ref="F69:F71" si="20">F64*$H$27</f>
        <v>1.1259929032258064E-2</v>
      </c>
      <c r="G69" s="180">
        <f t="shared" ref="G69:G71" si="21">E69+F69</f>
        <v>0.17485592903225805</v>
      </c>
      <c r="H69" s="181">
        <f t="shared" ref="H69:H71" si="22">ROUND(D69*(E69+F69),2)</f>
        <v>-12.24</v>
      </c>
      <c r="I69" s="66"/>
      <c r="K69" s="67"/>
      <c r="L69" s="1"/>
      <c r="M69" s="1"/>
      <c r="N69" s="1"/>
      <c r="O69" s="1"/>
      <c r="AF69" s="1"/>
    </row>
    <row r="70" spans="1:32" x14ac:dyDescent="0.3">
      <c r="B70" s="177" t="s">
        <v>154</v>
      </c>
      <c r="C70" s="178"/>
      <c r="D70" s="179">
        <f t="shared" si="19"/>
        <v>-120</v>
      </c>
      <c r="E70" s="180">
        <f>E65*$F$27</f>
        <v>0.24539400000000003</v>
      </c>
      <c r="F70" s="180">
        <f t="shared" si="20"/>
        <v>1.6889893548387099E-2</v>
      </c>
      <c r="G70" s="180">
        <f t="shared" si="21"/>
        <v>0.2622838935483871</v>
      </c>
      <c r="H70" s="181">
        <f t="shared" si="22"/>
        <v>-31.47</v>
      </c>
      <c r="I70" s="66"/>
      <c r="K70" s="67"/>
      <c r="L70" s="1"/>
      <c r="M70" s="1"/>
      <c r="N70" s="1"/>
      <c r="O70" s="1"/>
      <c r="AF70" s="1"/>
    </row>
    <row r="71" spans="1:32" x14ac:dyDescent="0.3">
      <c r="B71" s="177" t="s">
        <v>155</v>
      </c>
      <c r="C71" s="178"/>
      <c r="D71" s="179">
        <f t="shared" si="19"/>
        <v>-9</v>
      </c>
      <c r="E71" s="180">
        <f>E66*$F$27</f>
        <v>0.27266000000000001</v>
      </c>
      <c r="F71" s="180">
        <f t="shared" si="20"/>
        <v>1.8766548387096776E-2</v>
      </c>
      <c r="G71" s="180">
        <f t="shared" si="21"/>
        <v>0.29142654838709681</v>
      </c>
      <c r="H71" s="181">
        <f t="shared" si="22"/>
        <v>-2.62</v>
      </c>
      <c r="I71" s="66">
        <f>SUM(H63:H71)</f>
        <v>-9.7699626167013776E-15</v>
      </c>
      <c r="K71" s="67"/>
      <c r="L71" s="1"/>
      <c r="M71" s="1"/>
      <c r="N71" s="1"/>
      <c r="O71" s="1"/>
      <c r="AF71" s="1"/>
    </row>
    <row r="72" spans="1:32" x14ac:dyDescent="0.3">
      <c r="B72" s="61"/>
      <c r="C72" s="24"/>
      <c r="D72" s="24"/>
      <c r="E72" s="24"/>
      <c r="F72" s="24"/>
      <c r="G72" s="24"/>
      <c r="H72" s="62"/>
      <c r="I72" s="67"/>
      <c r="L72" s="1"/>
      <c r="M72" s="1"/>
      <c r="N72" s="1"/>
      <c r="O72" s="1"/>
      <c r="AF72" s="1"/>
    </row>
    <row r="73" spans="1:32" x14ac:dyDescent="0.3">
      <c r="B73" s="34"/>
      <c r="C73" s="35"/>
      <c r="D73" s="35"/>
      <c r="E73" s="35"/>
      <c r="F73" s="35"/>
      <c r="G73" s="35"/>
      <c r="H73" s="96">
        <f>SUM(H33:H72)</f>
        <v>12.359999999999989</v>
      </c>
      <c r="I73" s="67"/>
      <c r="J73" s="67">
        <f>231.75-'Fatura B1 (GD II) (Baixa Re (2)'!H73</f>
        <v>219.39000000000001</v>
      </c>
      <c r="L73" s="1"/>
      <c r="M73" s="1"/>
      <c r="N73" s="1"/>
      <c r="O73" s="1"/>
      <c r="AF73" s="1"/>
    </row>
    <row r="74" spans="1:32" ht="25.5" customHeight="1" x14ac:dyDescent="0.3">
      <c r="B74" s="95"/>
      <c r="C74" s="1"/>
      <c r="D74" s="1"/>
      <c r="E74" s="1"/>
      <c r="F74" s="1"/>
      <c r="G74" s="1"/>
      <c r="H74" s="43"/>
      <c r="I74" s="67"/>
      <c r="L74" s="1"/>
      <c r="M74" s="1"/>
      <c r="N74" s="1"/>
      <c r="O74" s="1"/>
      <c r="AF74" s="1"/>
    </row>
    <row r="75" spans="1:32" x14ac:dyDescent="0.3">
      <c r="B75" s="41"/>
      <c r="D75" s="63" t="s">
        <v>48</v>
      </c>
      <c r="E75" s="64"/>
      <c r="F75" s="64"/>
      <c r="G75" s="64"/>
      <c r="H75" s="65"/>
      <c r="I75" s="67"/>
      <c r="L75" s="1"/>
      <c r="M75" s="1"/>
      <c r="N75" s="1"/>
      <c r="O75" s="1"/>
      <c r="AF75" s="1"/>
    </row>
    <row r="76" spans="1:32" x14ac:dyDescent="0.3">
      <c r="B76" s="41" t="s">
        <v>49</v>
      </c>
      <c r="D76" s="68">
        <f>SUM(H33:H51)/(1-E76-E78)</f>
        <v>108.98481875451823</v>
      </c>
      <c r="E76" s="69">
        <v>5.5999999999999999E-3</v>
      </c>
      <c r="H76" s="70">
        <f>D76*E76</f>
        <v>0.61031498502530213</v>
      </c>
      <c r="I76" s="67"/>
      <c r="L76" s="1"/>
      <c r="M76" s="1"/>
      <c r="N76" s="1"/>
      <c r="O76" s="1"/>
      <c r="AF76" s="1"/>
    </row>
    <row r="77" spans="1:32" x14ac:dyDescent="0.3">
      <c r="B77" s="41" t="s">
        <v>50</v>
      </c>
      <c r="D77" s="68">
        <f>SUM(H53:H71)/(1-E76-E78)</f>
        <v>-96.220179696375112</v>
      </c>
      <c r="E77" s="71">
        <f>E76</f>
        <v>5.5999999999999999E-3</v>
      </c>
      <c r="H77" s="70">
        <f t="shared" ref="H77:H79" si="23">D77*E77</f>
        <v>-0.53883300629970066</v>
      </c>
      <c r="L77" s="1"/>
      <c r="M77" s="1"/>
      <c r="N77" s="1"/>
      <c r="O77" s="1"/>
      <c r="AF77" s="1"/>
    </row>
    <row r="78" spans="1:32" x14ac:dyDescent="0.3">
      <c r="B78" s="41" t="s">
        <v>51</v>
      </c>
      <c r="D78" s="68">
        <f>D76</f>
        <v>108.98481875451823</v>
      </c>
      <c r="E78" s="69">
        <v>2.6100000000000002E-2</v>
      </c>
      <c r="H78" s="70">
        <f t="shared" si="23"/>
        <v>2.8445037694929258</v>
      </c>
      <c r="L78" s="1"/>
      <c r="M78" s="1"/>
      <c r="N78" s="1"/>
      <c r="O78" s="1"/>
      <c r="AF78" s="1"/>
    </row>
    <row r="79" spans="1:32" x14ac:dyDescent="0.3">
      <c r="B79" s="41" t="s">
        <v>52</v>
      </c>
      <c r="D79" s="68">
        <f>D77</f>
        <v>-96.220179696375112</v>
      </c>
      <c r="E79" s="71">
        <f>E78</f>
        <v>2.6100000000000002E-2</v>
      </c>
      <c r="H79" s="70">
        <f t="shared" si="23"/>
        <v>-2.5113466900753907</v>
      </c>
      <c r="L79" s="1"/>
      <c r="M79" s="1"/>
      <c r="N79" s="1"/>
      <c r="O79" s="1"/>
      <c r="AF79" s="1"/>
    </row>
    <row r="80" spans="1:32" x14ac:dyDescent="0.3">
      <c r="B80" s="41" t="s">
        <v>11</v>
      </c>
      <c r="D80" s="72">
        <f>D76/(1-E80)</f>
        <v>131.30701054761232</v>
      </c>
      <c r="E80" s="73">
        <v>0.17</v>
      </c>
      <c r="H80" s="70">
        <f>D80*E80</f>
        <v>22.322191793094095</v>
      </c>
      <c r="AF80" s="1"/>
    </row>
    <row r="81" spans="2:32" x14ac:dyDescent="0.3">
      <c r="B81" s="74" t="s">
        <v>53</v>
      </c>
      <c r="C81" s="75"/>
      <c r="D81" s="76">
        <f>((D53*F53)+(D54*F54)+(D55*F55)+(D56*F56)+(D64*F64)+(D65*F65)+(D66*F66)+(D69*F69)+(D70*F70)+(D71*F71)+(H58+H59+H60+H61)+(D63*F63)+(D68*F68))/(1-E77-E79)/(1-E81)</f>
        <v>-58.426312914572677</v>
      </c>
      <c r="E81" s="77">
        <f>E80</f>
        <v>0.17</v>
      </c>
      <c r="F81" s="75"/>
      <c r="G81" s="75"/>
      <c r="H81" s="78">
        <f>D81*E81</f>
        <v>-9.9324731954773551</v>
      </c>
      <c r="AF81" s="1"/>
    </row>
    <row r="82" spans="2:32" x14ac:dyDescent="0.3">
      <c r="B82" s="213" t="s">
        <v>156</v>
      </c>
      <c r="C82" s="214"/>
      <c r="D82" s="215">
        <f>K114</f>
        <v>39.007906043258032</v>
      </c>
      <c r="E82" s="216">
        <f>E81</f>
        <v>0.17</v>
      </c>
      <c r="F82" s="214"/>
      <c r="G82" s="214"/>
      <c r="H82" s="217">
        <f>D82*E82</f>
        <v>6.6313440273538662</v>
      </c>
      <c r="AF82" s="1"/>
    </row>
    <row r="83" spans="2:32" x14ac:dyDescent="0.3">
      <c r="AF83" s="1"/>
    </row>
    <row r="84" spans="2:32" x14ac:dyDescent="0.3">
      <c r="AF84" s="1"/>
    </row>
    <row r="85" spans="2:32" x14ac:dyDescent="0.3">
      <c r="B85" s="166" t="s">
        <v>140</v>
      </c>
      <c r="C85" s="167"/>
      <c r="D85" s="167"/>
      <c r="E85" s="167"/>
      <c r="F85" s="167"/>
      <c r="G85" s="167"/>
      <c r="H85" s="168">
        <f>K113</f>
        <v>15.124499999999998</v>
      </c>
      <c r="I85" s="169" t="s">
        <v>141</v>
      </c>
      <c r="J85" s="170"/>
      <c r="K85" s="171"/>
      <c r="L85" s="172"/>
      <c r="M85" s="172"/>
      <c r="N85" s="172"/>
      <c r="O85" s="172"/>
      <c r="AF85" s="1"/>
    </row>
    <row r="86" spans="2:32" x14ac:dyDescent="0.3">
      <c r="L86" s="1"/>
      <c r="M86" s="1"/>
      <c r="N86" s="173"/>
      <c r="O86" s="1"/>
      <c r="AF86" s="1"/>
    </row>
    <row r="87" spans="2:32" x14ac:dyDescent="0.3">
      <c r="F87" s="127" t="s">
        <v>164</v>
      </c>
      <c r="G87" s="1"/>
      <c r="H87" s="1"/>
      <c r="L87" s="1"/>
      <c r="M87" s="1"/>
      <c r="N87" s="173"/>
      <c r="O87" s="1"/>
      <c r="AF87" s="1"/>
    </row>
    <row r="88" spans="2:32" x14ac:dyDescent="0.3">
      <c r="G88" s="1"/>
      <c r="H88" s="1"/>
      <c r="I88" s="174" t="s">
        <v>142</v>
      </c>
      <c r="J88" s="174" t="s">
        <v>143</v>
      </c>
      <c r="K88" s="115"/>
      <c r="L88" s="1"/>
      <c r="M88" s="1" t="s">
        <v>165</v>
      </c>
      <c r="N88" s="173"/>
      <c r="O88" s="1"/>
      <c r="AF88" s="1"/>
    </row>
    <row r="89" spans="2:32" x14ac:dyDescent="0.3">
      <c r="F89" s="19" t="s">
        <v>129</v>
      </c>
      <c r="G89" s="186" t="s">
        <v>144</v>
      </c>
      <c r="H89" s="187">
        <f>SUM(D33:D36,D43:D46)</f>
        <v>279</v>
      </c>
      <c r="I89" s="188">
        <f>E36</f>
        <v>0.27266000000000001</v>
      </c>
      <c r="J89" s="188">
        <f>F36</f>
        <v>0.27703</v>
      </c>
      <c r="K89" s="189">
        <f>H89*(I89+J89)</f>
        <v>153.36350999999999</v>
      </c>
      <c r="L89" s="175"/>
      <c r="M89" s="211">
        <f>SUM(K89:K93)/(1-E76-E78)/(1-E80)</f>
        <v>190.8244482629475</v>
      </c>
      <c r="N89" s="173"/>
      <c r="O89" s="1"/>
      <c r="AF89" s="1"/>
    </row>
    <row r="90" spans="2:32" x14ac:dyDescent="0.3">
      <c r="G90" s="190" t="s">
        <v>14</v>
      </c>
      <c r="H90" s="187">
        <f>IF($K$11=$B$154,(H89*($K$13)/($K$13+$L$13)),0)+IF($L$11=$B$154,(H89*($L$13)/($K$13+$L$13)),0)</f>
        <v>0</v>
      </c>
      <c r="I90" s="1"/>
      <c r="J90" s="188">
        <f>N4</f>
        <v>2.989E-2</v>
      </c>
      <c r="K90" s="191">
        <f>H90*(I90+J90)</f>
        <v>0</v>
      </c>
      <c r="L90" s="1"/>
      <c r="M90" s="1"/>
      <c r="N90" s="1"/>
      <c r="O90" s="1"/>
    </row>
    <row r="91" spans="2:32" x14ac:dyDescent="0.3">
      <c r="G91" s="190" t="s">
        <v>15</v>
      </c>
      <c r="H91" s="187">
        <f>IF($K$11=$B$163,(H90*($K$13)/($K$13+$L$13)),0)+IF($L$11=$B$163,(H90*($L$13)/($K$13+$L$13)),0)</f>
        <v>0</v>
      </c>
      <c r="I91" s="1"/>
      <c r="J91" s="188">
        <f>N5</f>
        <v>6.5000000000000002E-2</v>
      </c>
      <c r="K91" s="191">
        <f t="shared" ref="K91:K93" si="24">H91*(I91+J91)</f>
        <v>0</v>
      </c>
      <c r="L91" s="1"/>
      <c r="M91" s="1"/>
      <c r="N91" s="1"/>
      <c r="O91" s="1"/>
    </row>
    <row r="92" spans="2:32" x14ac:dyDescent="0.3">
      <c r="G92" s="190" t="s">
        <v>16</v>
      </c>
      <c r="H92" s="187">
        <f>IF($K$11=$B$172,(H91*($K$13)/($K$13+$L$13)),0)+IF($L$11=$B$172,(H91*($L$13)/($K$13+$L$13)),0)</f>
        <v>0</v>
      </c>
      <c r="J92" s="188">
        <f>N6</f>
        <v>9.7949999999999995E-2</v>
      </c>
      <c r="K92" s="191">
        <f t="shared" si="24"/>
        <v>0</v>
      </c>
      <c r="L92" s="1"/>
      <c r="M92" s="1"/>
      <c r="N92" s="1"/>
      <c r="O92" s="1"/>
    </row>
    <row r="93" spans="2:32" x14ac:dyDescent="0.3">
      <c r="G93" s="190" t="s">
        <v>17</v>
      </c>
      <c r="H93" s="187">
        <f>IF($K$11=$B$181,(H92*($K$13)/($K$13+$L$13)),0)+IF($L$11=$B$181,(H92*($L$13)/($K$13+$L$13)),0)</f>
        <v>0</v>
      </c>
      <c r="J93" s="188">
        <f>N7</f>
        <v>0.14199999999999999</v>
      </c>
      <c r="K93" s="191">
        <f t="shared" si="24"/>
        <v>0</v>
      </c>
      <c r="L93" s="1"/>
      <c r="M93" s="1"/>
      <c r="N93" s="1"/>
      <c r="O93" s="1"/>
    </row>
    <row r="94" spans="2:32" s="1" customFormat="1" x14ac:dyDescent="0.3"/>
    <row r="95" spans="2:32" x14ac:dyDescent="0.3">
      <c r="F95" s="19" t="s">
        <v>71</v>
      </c>
      <c r="G95" s="186" t="s">
        <v>144</v>
      </c>
      <c r="H95" s="187">
        <f>SUM(D53:D56)</f>
        <v>-229</v>
      </c>
      <c r="I95" s="192">
        <f>E71</f>
        <v>0.27266000000000001</v>
      </c>
      <c r="J95" s="188">
        <f>J89</f>
        <v>0.27703</v>
      </c>
      <c r="K95" s="189">
        <f>H95*(I95+J95)</f>
        <v>-125.87901000000001</v>
      </c>
      <c r="L95" s="175"/>
      <c r="M95" s="211">
        <f>((H95*J95)+(K96+K97+K98+K99))/(1-E77-E79)/(1-E81)</f>
        <v>-78.935844586649822</v>
      </c>
      <c r="N95" s="173"/>
      <c r="O95" s="1"/>
      <c r="AF95" s="1"/>
    </row>
    <row r="96" spans="2:32" x14ac:dyDescent="0.3">
      <c r="G96" s="190" t="s">
        <v>14</v>
      </c>
      <c r="H96" s="187">
        <f>IF($K$11=$B$154,(H95*($K$13)/($K$13+$L$13)),0)+IF($L$11=$B$154,(H95*($L$13)/($K$13+$L$13)),0)</f>
        <v>0</v>
      </c>
      <c r="I96" s="1"/>
      <c r="J96" s="188">
        <f>J90</f>
        <v>2.989E-2</v>
      </c>
      <c r="K96" s="191">
        <f t="shared" ref="K96:K99" si="25">H96*(I96+J96)</f>
        <v>0</v>
      </c>
      <c r="L96" s="1"/>
      <c r="M96" s="1"/>
      <c r="N96" s="1"/>
      <c r="O96" s="1"/>
    </row>
    <row r="97" spans="6:15" x14ac:dyDescent="0.3">
      <c r="G97" s="190" t="s">
        <v>15</v>
      </c>
      <c r="H97" s="187">
        <f>IF($K$11=$B$163,(H96*($K$13)/($K$13+$L$13)),0)+IF($L$11=$B$163,(H96*($L$13)/($K$13+$L$13)),0)</f>
        <v>0</v>
      </c>
      <c r="I97" s="1"/>
      <c r="J97" s="188">
        <f t="shared" ref="J97:J99" si="26">J91</f>
        <v>6.5000000000000002E-2</v>
      </c>
      <c r="K97" s="191">
        <f t="shared" si="25"/>
        <v>0</v>
      </c>
      <c r="L97" s="1"/>
      <c r="M97" s="1"/>
      <c r="N97" s="1"/>
      <c r="O97" s="1"/>
    </row>
    <row r="98" spans="6:15" x14ac:dyDescent="0.3">
      <c r="G98" s="190" t="s">
        <v>16</v>
      </c>
      <c r="H98" s="187">
        <f>IF($K$11=$B$172,(H97*($K$13)/($K$13+$L$13)),0)+IF($L$11=$B$172,(H97*($L$13)/($K$13+$L$13)),0)</f>
        <v>0</v>
      </c>
      <c r="J98" s="188">
        <f t="shared" si="26"/>
        <v>9.7949999999999995E-2</v>
      </c>
      <c r="K98" s="191">
        <f t="shared" si="25"/>
        <v>0</v>
      </c>
      <c r="L98" s="1"/>
      <c r="M98" s="1"/>
      <c r="N98" s="1"/>
      <c r="O98" s="1"/>
    </row>
    <row r="99" spans="6:15" x14ac:dyDescent="0.3">
      <c r="G99" s="190" t="s">
        <v>17</v>
      </c>
      <c r="H99" s="187">
        <f>IF($K$11=$B$181,(H98*($K$13)/($K$13+$L$13)),0)+IF($L$11=$B$181,(H98*($L$13)/($K$13+$L$13)),0)</f>
        <v>0</v>
      </c>
      <c r="J99" s="188">
        <f t="shared" si="26"/>
        <v>0.14199999999999999</v>
      </c>
      <c r="K99" s="191">
        <f t="shared" si="25"/>
        <v>0</v>
      </c>
      <c r="L99" s="1"/>
      <c r="M99" s="1"/>
      <c r="N99" s="1"/>
      <c r="O99" s="1"/>
    </row>
    <row r="100" spans="6:15" x14ac:dyDescent="0.3">
      <c r="G100" s="190"/>
      <c r="H100" s="193"/>
      <c r="J100" s="194"/>
      <c r="K100" s="1"/>
      <c r="L100" s="1"/>
      <c r="M100" s="1"/>
      <c r="N100" s="1"/>
      <c r="O100" s="1"/>
    </row>
    <row r="101" spans="6:15" x14ac:dyDescent="0.3">
      <c r="F101" s="127" t="s">
        <v>162</v>
      </c>
      <c r="G101" s="195" t="s">
        <v>161</v>
      </c>
      <c r="H101" s="88"/>
      <c r="I101" s="88"/>
      <c r="J101" s="88"/>
      <c r="K101" s="196">
        <f>SUM(H33:H36,H43:H46)</f>
        <v>105.53</v>
      </c>
      <c r="L101" s="1"/>
      <c r="M101" s="211">
        <f>SUM(K101:K105)/(1-E76-E78)/(1-E80)</f>
        <v>131.30701054761232</v>
      </c>
      <c r="N101" s="1"/>
      <c r="O101" s="1"/>
    </row>
    <row r="102" spans="6:15" x14ac:dyDescent="0.3">
      <c r="G102" s="190" t="s">
        <v>14</v>
      </c>
      <c r="H102" s="88"/>
      <c r="I102" s="88"/>
      <c r="J102" s="88"/>
      <c r="K102" s="196">
        <f>H38+H48</f>
        <v>0</v>
      </c>
      <c r="L102" s="1"/>
      <c r="M102" s="1"/>
      <c r="N102" s="1"/>
      <c r="O102" s="1"/>
    </row>
    <row r="103" spans="6:15" x14ac:dyDescent="0.3">
      <c r="G103" s="190" t="s">
        <v>15</v>
      </c>
      <c r="H103" s="88"/>
      <c r="I103" s="88"/>
      <c r="J103" s="88"/>
      <c r="K103" s="196">
        <f>H39+H49</f>
        <v>0</v>
      </c>
      <c r="L103" s="1"/>
      <c r="M103" s="1"/>
      <c r="N103" s="1"/>
      <c r="O103" s="1"/>
    </row>
    <row r="104" spans="6:15" x14ac:dyDescent="0.3">
      <c r="G104" s="190" t="s">
        <v>16</v>
      </c>
      <c r="H104" s="88"/>
      <c r="I104" s="88"/>
      <c r="J104" s="88"/>
      <c r="K104" s="196">
        <f>H40+H50</f>
        <v>0</v>
      </c>
      <c r="L104" s="1"/>
      <c r="M104" s="1"/>
      <c r="N104" s="1"/>
      <c r="O104" s="1"/>
    </row>
    <row r="105" spans="6:15" x14ac:dyDescent="0.3">
      <c r="G105" s="190" t="s">
        <v>17</v>
      </c>
      <c r="H105" s="88"/>
      <c r="I105" s="88"/>
      <c r="J105" s="88"/>
      <c r="K105" s="196">
        <f>H41+H51</f>
        <v>0</v>
      </c>
      <c r="L105" s="1"/>
      <c r="M105" s="1"/>
      <c r="N105" s="1"/>
      <c r="O105" s="1"/>
    </row>
    <row r="106" spans="6:15" x14ac:dyDescent="0.3">
      <c r="G106" s="190"/>
      <c r="L106" s="1"/>
      <c r="M106" s="1"/>
      <c r="N106" s="1"/>
      <c r="O106" s="1"/>
    </row>
    <row r="107" spans="6:15" x14ac:dyDescent="0.3">
      <c r="F107" s="127" t="s">
        <v>163</v>
      </c>
      <c r="G107" s="195" t="s">
        <v>161</v>
      </c>
      <c r="H107" s="88"/>
      <c r="I107" s="88"/>
      <c r="J107" s="88"/>
      <c r="K107" s="196">
        <f>SUM(H53:H56,H63:H66,H68:H71)</f>
        <v>-93.170000000000016</v>
      </c>
      <c r="L107" s="97"/>
      <c r="M107" s="211">
        <f>D81</f>
        <v>-58.426312914572677</v>
      </c>
      <c r="N107" s="1"/>
      <c r="O107" s="1"/>
    </row>
    <row r="108" spans="6:15" x14ac:dyDescent="0.3">
      <c r="G108" s="190" t="s">
        <v>14</v>
      </c>
      <c r="H108" s="88"/>
      <c r="I108" s="88"/>
      <c r="J108" s="88"/>
      <c r="K108" s="196">
        <f>H58</f>
        <v>0</v>
      </c>
      <c r="L108" s="1"/>
      <c r="M108" s="1"/>
      <c r="N108" s="1"/>
      <c r="O108" s="1"/>
    </row>
    <row r="109" spans="6:15" x14ac:dyDescent="0.3">
      <c r="G109" s="190" t="s">
        <v>15</v>
      </c>
      <c r="H109" s="88"/>
      <c r="I109" s="88"/>
      <c r="J109" s="88"/>
      <c r="K109" s="196">
        <f t="shared" ref="K109:K111" si="27">H59</f>
        <v>0</v>
      </c>
      <c r="L109" s="1"/>
      <c r="M109" s="1"/>
      <c r="N109" s="1"/>
      <c r="O109" s="1"/>
    </row>
    <row r="110" spans="6:15" x14ac:dyDescent="0.3">
      <c r="G110" s="190" t="s">
        <v>16</v>
      </c>
      <c r="H110" s="88"/>
      <c r="I110" s="88"/>
      <c r="J110" s="88"/>
      <c r="K110" s="196">
        <f t="shared" si="27"/>
        <v>0</v>
      </c>
      <c r="L110" s="1"/>
      <c r="M110" s="1"/>
      <c r="N110" s="1"/>
      <c r="O110" s="1"/>
    </row>
    <row r="111" spans="6:15" x14ac:dyDescent="0.3">
      <c r="G111" s="190" t="s">
        <v>17</v>
      </c>
      <c r="H111" s="88"/>
      <c r="I111" s="88"/>
      <c r="J111" s="88"/>
      <c r="K111" s="196">
        <f t="shared" si="27"/>
        <v>0</v>
      </c>
      <c r="L111" s="1"/>
      <c r="M111" s="1"/>
      <c r="N111" s="1"/>
      <c r="O111" s="1"/>
    </row>
    <row r="112" spans="6:15" x14ac:dyDescent="0.3">
      <c r="G112" s="190"/>
      <c r="L112" s="1"/>
      <c r="M112" s="1"/>
      <c r="N112" s="1"/>
      <c r="O112" s="1"/>
    </row>
    <row r="113" spans="2:17" x14ac:dyDescent="0.3">
      <c r="J113" s="197" t="s">
        <v>140</v>
      </c>
      <c r="K113" s="189">
        <f>(K89+K95)-(K101+K107)</f>
        <v>15.124499999999998</v>
      </c>
      <c r="L113" s="176" t="s">
        <v>145</v>
      </c>
      <c r="M113" s="1"/>
      <c r="N113" s="1"/>
      <c r="O113" s="1"/>
    </row>
    <row r="114" spans="2:17" x14ac:dyDescent="0.3">
      <c r="J114" s="198" t="s">
        <v>67</v>
      </c>
      <c r="K114" s="212">
        <f>(M89+M95)-(M101+M107)</f>
        <v>39.007906043258032</v>
      </c>
      <c r="L114" s="176" t="s">
        <v>146</v>
      </c>
      <c r="M114" s="1"/>
      <c r="N114" s="1"/>
      <c r="O114" s="1"/>
    </row>
    <row r="116" spans="2:17" x14ac:dyDescent="0.3">
      <c r="B116" s="1" t="s">
        <v>128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2:17" x14ac:dyDescent="0.3">
      <c r="B117" s="102" t="s">
        <v>14</v>
      </c>
      <c r="C117" s="102"/>
      <c r="D117" s="102"/>
      <c r="E117" s="102"/>
      <c r="F117" s="102"/>
      <c r="G117" s="102"/>
      <c r="H117" s="113"/>
      <c r="I117" s="113"/>
      <c r="J117" s="114"/>
      <c r="K117" s="199">
        <f>N4</f>
        <v>2.989E-2</v>
      </c>
      <c r="L117" s="200"/>
      <c r="M117" s="103"/>
      <c r="N117" s="103"/>
      <c r="O117" s="115"/>
      <c r="P117" s="1"/>
      <c r="Q117" s="1"/>
    </row>
    <row r="118" spans="2:17" x14ac:dyDescent="0.3">
      <c r="B118" s="1"/>
      <c r="C118" s="162" t="s">
        <v>129</v>
      </c>
      <c r="D118" s="511"/>
      <c r="E118" s="512"/>
      <c r="F118" s="163"/>
      <c r="G118" s="511"/>
      <c r="H118" s="512"/>
      <c r="I118" s="163"/>
      <c r="J118" s="511" t="s">
        <v>130</v>
      </c>
      <c r="K118" s="512"/>
      <c r="L118" s="163"/>
      <c r="M118" s="511" t="s">
        <v>131</v>
      </c>
      <c r="N118" s="512"/>
      <c r="O118" s="164" t="s">
        <v>132</v>
      </c>
      <c r="P118" s="1"/>
      <c r="Q118" s="46"/>
    </row>
    <row r="119" spans="2:17" x14ac:dyDescent="0.3">
      <c r="B119" s="1"/>
      <c r="C119" s="201" t="s">
        <v>133</v>
      </c>
      <c r="D119" s="201"/>
      <c r="E119" s="201"/>
      <c r="F119" s="201"/>
      <c r="G119" s="201"/>
      <c r="H119" s="201"/>
      <c r="I119" s="201"/>
      <c r="J119" s="201"/>
      <c r="K119" s="201" t="s">
        <v>9</v>
      </c>
      <c r="L119" s="201"/>
      <c r="M119" s="201" t="s">
        <v>33</v>
      </c>
      <c r="N119" s="201" t="s">
        <v>9</v>
      </c>
      <c r="O119" s="201" t="s">
        <v>134</v>
      </c>
      <c r="P119" s="1"/>
    </row>
    <row r="120" spans="2:17" x14ac:dyDescent="0.3">
      <c r="B120" s="1"/>
      <c r="C120" s="202">
        <f>IF($K$11=$B$117,(D33*($K$13)/($K$13+$L$13)),0)+IF($L$11=$B$117,(D33*($L$13)/($K$13+$L$13)),0)</f>
        <v>0</v>
      </c>
      <c r="D120" s="203"/>
      <c r="E120" s="203"/>
      <c r="F120" s="203"/>
      <c r="G120" s="188"/>
      <c r="H120" s="188"/>
      <c r="I120" s="188"/>
      <c r="J120" s="188"/>
      <c r="K120" s="188">
        <f>$K$154*(1-Q120)</f>
        <v>1.0461499999999999E-2</v>
      </c>
      <c r="L120" s="188"/>
      <c r="M120" s="204"/>
      <c r="N120" s="204">
        <f>ROUND((C120*K120),2)</f>
        <v>0</v>
      </c>
      <c r="O120" s="189">
        <f>M120+N120</f>
        <v>0</v>
      </c>
      <c r="P120" s="205"/>
      <c r="Q120" s="165">
        <v>0.65</v>
      </c>
    </row>
    <row r="121" spans="2:17" x14ac:dyDescent="0.3">
      <c r="B121" s="1"/>
      <c r="C121" s="202">
        <f t="shared" ref="C121:C123" si="28">IF($K$11=$B$117,(D34*($K$13)/($K$13+$L$13)),0)+IF($L$11=$B$117,(D34*($L$13)/($K$13+$L$13)),0)</f>
        <v>0</v>
      </c>
      <c r="D121" s="203"/>
      <c r="E121" s="203"/>
      <c r="F121" s="203"/>
      <c r="G121" s="188"/>
      <c r="H121" s="188"/>
      <c r="I121" s="188"/>
      <c r="J121" s="188"/>
      <c r="K121" s="188">
        <f>$K$154*(1-Q121)</f>
        <v>1.7933999999999999E-2</v>
      </c>
      <c r="L121" s="188"/>
      <c r="M121" s="204"/>
      <c r="N121" s="204">
        <f t="shared" ref="N121:N123" si="29">ROUND((C121*K121),2)</f>
        <v>0</v>
      </c>
      <c r="O121" s="189">
        <f>M121+N121</f>
        <v>0</v>
      </c>
      <c r="P121" s="205"/>
      <c r="Q121" s="165">
        <v>0.4</v>
      </c>
    </row>
    <row r="122" spans="2:17" x14ac:dyDescent="0.3">
      <c r="B122" s="1"/>
      <c r="C122" s="202">
        <f t="shared" si="28"/>
        <v>0</v>
      </c>
      <c r="D122" s="203"/>
      <c r="E122" s="203"/>
      <c r="F122" s="203"/>
      <c r="G122" s="188"/>
      <c r="H122" s="188"/>
      <c r="I122" s="188"/>
      <c r="J122" s="188"/>
      <c r="K122" s="188">
        <f>$K$154*(1-Q122)</f>
        <v>2.6901000000000001E-2</v>
      </c>
      <c r="L122" s="188"/>
      <c r="M122" s="204"/>
      <c r="N122" s="204">
        <f t="shared" si="29"/>
        <v>0</v>
      </c>
      <c r="O122" s="189">
        <f>M122+N122</f>
        <v>0</v>
      </c>
      <c r="P122" s="205"/>
      <c r="Q122" s="165">
        <v>0.1</v>
      </c>
    </row>
    <row r="123" spans="2:17" x14ac:dyDescent="0.3">
      <c r="B123" s="1"/>
      <c r="C123" s="202">
        <f t="shared" si="28"/>
        <v>0</v>
      </c>
      <c r="D123" s="203"/>
      <c r="E123" s="203"/>
      <c r="F123" s="203"/>
      <c r="G123" s="188"/>
      <c r="H123" s="188"/>
      <c r="I123" s="188"/>
      <c r="J123" s="188"/>
      <c r="K123" s="188">
        <f>$K$154*(1-Q123)</f>
        <v>2.989E-2</v>
      </c>
      <c r="L123" s="188"/>
      <c r="M123" s="204"/>
      <c r="N123" s="204">
        <f t="shared" si="29"/>
        <v>0</v>
      </c>
      <c r="O123" s="189">
        <f>M123+N123</f>
        <v>0</v>
      </c>
      <c r="P123" s="205"/>
      <c r="Q123" s="165">
        <v>0</v>
      </c>
    </row>
    <row r="124" spans="2:17" x14ac:dyDescent="0.3">
      <c r="B124" s="1"/>
      <c r="C124" s="206" t="s">
        <v>135</v>
      </c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8"/>
      <c r="O124" s="209">
        <f>SUM(O120:O123)</f>
        <v>0</v>
      </c>
      <c r="P124" s="1"/>
      <c r="Q124" s="1"/>
    </row>
    <row r="125" spans="2:17" x14ac:dyDescent="0.3">
      <c r="B125" s="102"/>
      <c r="C125" s="102"/>
      <c r="D125" s="102"/>
      <c r="E125" s="102"/>
      <c r="F125" s="102"/>
      <c r="G125" s="102"/>
      <c r="H125" s="113"/>
      <c r="I125" s="113"/>
      <c r="J125" s="114"/>
      <c r="K125" s="114"/>
      <c r="L125" s="114"/>
      <c r="M125" s="103"/>
      <c r="N125" s="103"/>
      <c r="O125" s="210"/>
      <c r="P125" s="1"/>
      <c r="Q125" s="1"/>
    </row>
    <row r="126" spans="2:17" x14ac:dyDescent="0.3">
      <c r="B126" s="102" t="s">
        <v>15</v>
      </c>
      <c r="C126" s="102"/>
      <c r="D126" s="102"/>
      <c r="E126" s="102"/>
      <c r="F126" s="102"/>
      <c r="G126" s="102"/>
      <c r="H126" s="113"/>
      <c r="I126" s="113"/>
      <c r="J126" s="114"/>
      <c r="K126" s="199">
        <f>N5</f>
        <v>6.5000000000000002E-2</v>
      </c>
      <c r="L126" s="200"/>
      <c r="M126" s="103"/>
      <c r="N126" s="103"/>
      <c r="O126" s="115"/>
      <c r="P126" s="1"/>
      <c r="Q126" s="1"/>
    </row>
    <row r="127" spans="2:17" x14ac:dyDescent="0.3">
      <c r="B127" s="1"/>
      <c r="C127" s="162" t="s">
        <v>129</v>
      </c>
      <c r="D127" s="511"/>
      <c r="E127" s="512"/>
      <c r="F127" s="163"/>
      <c r="G127" s="511"/>
      <c r="H127" s="512"/>
      <c r="I127" s="163"/>
      <c r="J127" s="511" t="s">
        <v>32</v>
      </c>
      <c r="K127" s="512"/>
      <c r="L127" s="163"/>
      <c r="M127" s="511" t="s">
        <v>131</v>
      </c>
      <c r="N127" s="512"/>
      <c r="O127" s="164" t="s">
        <v>132</v>
      </c>
      <c r="P127" s="1"/>
      <c r="Q127" s="46"/>
    </row>
    <row r="128" spans="2:17" x14ac:dyDescent="0.3">
      <c r="B128" s="1"/>
      <c r="C128" s="201" t="s">
        <v>133</v>
      </c>
      <c r="D128" s="201"/>
      <c r="E128" s="201"/>
      <c r="F128" s="201"/>
      <c r="G128" s="201" t="s">
        <v>33</v>
      </c>
      <c r="H128" s="201" t="s">
        <v>9</v>
      </c>
      <c r="I128" s="201"/>
      <c r="J128" s="201" t="s">
        <v>33</v>
      </c>
      <c r="K128" s="201" t="s">
        <v>9</v>
      </c>
      <c r="L128" s="201"/>
      <c r="M128" s="201" t="s">
        <v>33</v>
      </c>
      <c r="N128" s="201" t="s">
        <v>9</v>
      </c>
      <c r="O128" s="201" t="s">
        <v>134</v>
      </c>
      <c r="P128" s="1"/>
    </row>
    <row r="129" spans="2:17" x14ac:dyDescent="0.3">
      <c r="B129" s="1"/>
      <c r="C129" s="202">
        <f>IF($K$11=$B$126,(D33*($K$13)/($K$13+$L$13)),0)+IF($L$11=$B$126,(D33*($L$13)/($K$13+$L$13)),0)</f>
        <v>0</v>
      </c>
      <c r="D129" s="203"/>
      <c r="E129" s="203"/>
      <c r="F129" s="203"/>
      <c r="G129" s="188"/>
      <c r="H129" s="188"/>
      <c r="I129" s="188"/>
      <c r="J129" s="188"/>
      <c r="K129" s="188">
        <f>$K$163*(1-Q129)</f>
        <v>2.2749999999999999E-2</v>
      </c>
      <c r="L129" s="188"/>
      <c r="M129" s="204"/>
      <c r="N129" s="204">
        <f>ROUND((C129*K129),2)</f>
        <v>0</v>
      </c>
      <c r="O129" s="189">
        <f>M129+N129</f>
        <v>0</v>
      </c>
      <c r="P129" s="205"/>
      <c r="Q129" s="165">
        <v>0.65</v>
      </c>
    </row>
    <row r="130" spans="2:17" x14ac:dyDescent="0.3">
      <c r="B130" s="1"/>
      <c r="C130" s="202">
        <f t="shared" ref="C130:C132" si="30">IF($K$11=$B$126,(D34*($K$13)/($K$13+$L$13)),0)+IF($L$11=$B$126,(D34*($L$13)/($K$13+$L$13)),0)</f>
        <v>0</v>
      </c>
      <c r="D130" s="203"/>
      <c r="E130" s="203"/>
      <c r="F130" s="203"/>
      <c r="G130" s="188"/>
      <c r="H130" s="188"/>
      <c r="I130" s="188"/>
      <c r="J130" s="188"/>
      <c r="K130" s="188">
        <f>$K$163*(1-Q130)</f>
        <v>3.9E-2</v>
      </c>
      <c r="L130" s="188"/>
      <c r="M130" s="204"/>
      <c r="N130" s="204">
        <f t="shared" ref="N130:N132" si="31">ROUND((C130*K130),2)</f>
        <v>0</v>
      </c>
      <c r="O130" s="189">
        <f>M130+N130</f>
        <v>0</v>
      </c>
      <c r="P130" s="205"/>
      <c r="Q130" s="165">
        <v>0.4</v>
      </c>
    </row>
    <row r="131" spans="2:17" x14ac:dyDescent="0.3">
      <c r="B131" s="1"/>
      <c r="C131" s="202">
        <f t="shared" si="30"/>
        <v>0</v>
      </c>
      <c r="D131" s="203"/>
      <c r="E131" s="203"/>
      <c r="F131" s="203"/>
      <c r="G131" s="188"/>
      <c r="H131" s="188"/>
      <c r="I131" s="188"/>
      <c r="J131" s="188"/>
      <c r="K131" s="188">
        <f>$K$163*(1-Q131)</f>
        <v>5.8500000000000003E-2</v>
      </c>
      <c r="L131" s="188"/>
      <c r="M131" s="204"/>
      <c r="N131" s="204">
        <f t="shared" si="31"/>
        <v>0</v>
      </c>
      <c r="O131" s="189">
        <f>M131+N131</f>
        <v>0</v>
      </c>
      <c r="P131" s="205"/>
      <c r="Q131" s="165">
        <v>0.1</v>
      </c>
    </row>
    <row r="132" spans="2:17" x14ac:dyDescent="0.3">
      <c r="B132" s="1"/>
      <c r="C132" s="202">
        <f t="shared" si="30"/>
        <v>0</v>
      </c>
      <c r="D132" s="203"/>
      <c r="E132" s="203"/>
      <c r="F132" s="203"/>
      <c r="G132" s="188"/>
      <c r="H132" s="188"/>
      <c r="I132" s="188"/>
      <c r="J132" s="188"/>
      <c r="K132" s="188">
        <f>$K$163*(1-Q132)</f>
        <v>6.5000000000000002E-2</v>
      </c>
      <c r="L132" s="188"/>
      <c r="M132" s="204"/>
      <c r="N132" s="204">
        <f t="shared" si="31"/>
        <v>0</v>
      </c>
      <c r="O132" s="189">
        <f>M132+N132</f>
        <v>0</v>
      </c>
      <c r="P132" s="205"/>
      <c r="Q132" s="165">
        <v>0</v>
      </c>
    </row>
    <row r="133" spans="2:17" x14ac:dyDescent="0.3">
      <c r="B133" s="1"/>
      <c r="C133" s="206" t="s">
        <v>135</v>
      </c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8"/>
      <c r="O133" s="209">
        <f>SUM(O129:O132)</f>
        <v>0</v>
      </c>
      <c r="P133" s="1"/>
      <c r="Q133" s="1"/>
    </row>
    <row r="134" spans="2:17" x14ac:dyDescent="0.3">
      <c r="B134" s="102"/>
      <c r="C134" s="102"/>
      <c r="D134" s="102"/>
      <c r="E134" s="102"/>
      <c r="F134" s="102"/>
      <c r="G134" s="102"/>
      <c r="H134" s="113"/>
      <c r="I134" s="113"/>
      <c r="J134" s="114"/>
      <c r="K134" s="114"/>
      <c r="L134" s="114"/>
      <c r="M134" s="103"/>
      <c r="N134" s="103"/>
      <c r="O134" s="115"/>
      <c r="P134" s="1"/>
      <c r="Q134" s="1"/>
    </row>
    <row r="135" spans="2:17" x14ac:dyDescent="0.3">
      <c r="B135" s="102" t="s">
        <v>16</v>
      </c>
      <c r="C135" s="102"/>
      <c r="D135" s="102"/>
      <c r="E135" s="102"/>
      <c r="F135" s="102"/>
      <c r="G135" s="102"/>
      <c r="H135" s="113"/>
      <c r="I135" s="113"/>
      <c r="J135" s="114"/>
      <c r="K135" s="199">
        <f>N6</f>
        <v>9.7949999999999995E-2</v>
      </c>
      <c r="L135" s="200"/>
      <c r="M135" s="103"/>
      <c r="N135" s="103"/>
      <c r="O135" s="115"/>
      <c r="P135" s="1"/>
      <c r="Q135" s="1"/>
    </row>
    <row r="136" spans="2:17" x14ac:dyDescent="0.3">
      <c r="B136" s="1"/>
      <c r="C136" s="162" t="s">
        <v>129</v>
      </c>
      <c r="D136" s="511"/>
      <c r="E136" s="512"/>
      <c r="F136" s="163"/>
      <c r="G136" s="511"/>
      <c r="H136" s="512"/>
      <c r="I136" s="163"/>
      <c r="J136" s="511" t="s">
        <v>32</v>
      </c>
      <c r="K136" s="512"/>
      <c r="L136" s="163"/>
      <c r="M136" s="511" t="s">
        <v>131</v>
      </c>
      <c r="N136" s="512"/>
      <c r="O136" s="164" t="s">
        <v>132</v>
      </c>
      <c r="P136" s="1"/>
      <c r="Q136" s="46"/>
    </row>
    <row r="137" spans="2:17" x14ac:dyDescent="0.3">
      <c r="B137" s="1"/>
      <c r="C137" s="201" t="s">
        <v>133</v>
      </c>
      <c r="D137" s="201"/>
      <c r="E137" s="201"/>
      <c r="F137" s="201"/>
      <c r="G137" s="201" t="s">
        <v>33</v>
      </c>
      <c r="H137" s="201" t="s">
        <v>9</v>
      </c>
      <c r="I137" s="201"/>
      <c r="J137" s="201" t="s">
        <v>33</v>
      </c>
      <c r="K137" s="201" t="s">
        <v>9</v>
      </c>
      <c r="L137" s="201"/>
      <c r="M137" s="201" t="s">
        <v>33</v>
      </c>
      <c r="N137" s="201" t="s">
        <v>9</v>
      </c>
      <c r="O137" s="201" t="s">
        <v>134</v>
      </c>
      <c r="P137" s="1"/>
    </row>
    <row r="138" spans="2:17" x14ac:dyDescent="0.3">
      <c r="B138" s="1"/>
      <c r="C138" s="202">
        <f>IF($K$11=$B$135,(D33*($K$13)/($K$13+$L$13)),0)+IF($L$11=$B$135,(D33*($L$13)/($K$13+$L$13)),0)</f>
        <v>0</v>
      </c>
      <c r="D138" s="203"/>
      <c r="E138" s="203"/>
      <c r="F138" s="203"/>
      <c r="G138" s="188"/>
      <c r="H138" s="188"/>
      <c r="I138" s="188"/>
      <c r="J138" s="188"/>
      <c r="K138" s="188">
        <f>$K$172*(1-Q138)</f>
        <v>3.4282499999999994E-2</v>
      </c>
      <c r="L138" s="188"/>
      <c r="M138" s="204"/>
      <c r="N138" s="204">
        <f>ROUND((C138*K138),2)</f>
        <v>0</v>
      </c>
      <c r="O138" s="189">
        <f>M138+N138</f>
        <v>0</v>
      </c>
      <c r="P138" s="205"/>
      <c r="Q138" s="165">
        <v>0.65</v>
      </c>
    </row>
    <row r="139" spans="2:17" x14ac:dyDescent="0.3">
      <c r="B139" s="1"/>
      <c r="C139" s="202">
        <f t="shared" ref="C139:C141" si="32">IF($K$11=$B$135,(D34*($K$13)/($K$13+$L$13)),0)+IF($L$11=$B$135,(D34*($L$13)/($K$13+$L$13)),0)</f>
        <v>0</v>
      </c>
      <c r="D139" s="203"/>
      <c r="E139" s="203"/>
      <c r="F139" s="203"/>
      <c r="G139" s="188"/>
      <c r="H139" s="188"/>
      <c r="I139" s="188"/>
      <c r="J139" s="188"/>
      <c r="K139" s="188">
        <f>$K$172*(1-Q139)</f>
        <v>5.8769999999999996E-2</v>
      </c>
      <c r="L139" s="188"/>
      <c r="M139" s="204"/>
      <c r="N139" s="204">
        <f t="shared" ref="N139:N141" si="33">ROUND((C139*K139),2)</f>
        <v>0</v>
      </c>
      <c r="O139" s="189">
        <f>M139+N139</f>
        <v>0</v>
      </c>
      <c r="P139" s="205"/>
      <c r="Q139" s="165">
        <v>0.4</v>
      </c>
    </row>
    <row r="140" spans="2:17" x14ac:dyDescent="0.3">
      <c r="B140" s="1"/>
      <c r="C140" s="202">
        <f t="shared" si="32"/>
        <v>0</v>
      </c>
      <c r="D140" s="203"/>
      <c r="E140" s="203"/>
      <c r="F140" s="203"/>
      <c r="G140" s="188"/>
      <c r="H140" s="188"/>
      <c r="I140" s="188"/>
      <c r="J140" s="188"/>
      <c r="K140" s="188">
        <f>$K$172*(1-Q140)</f>
        <v>8.8154999999999997E-2</v>
      </c>
      <c r="L140" s="188"/>
      <c r="M140" s="204"/>
      <c r="N140" s="204">
        <f t="shared" si="33"/>
        <v>0</v>
      </c>
      <c r="O140" s="189">
        <f>M140+N140</f>
        <v>0</v>
      </c>
      <c r="P140" s="205"/>
      <c r="Q140" s="165">
        <v>0.1</v>
      </c>
    </row>
    <row r="141" spans="2:17" x14ac:dyDescent="0.3">
      <c r="B141" s="1"/>
      <c r="C141" s="202">
        <f t="shared" si="32"/>
        <v>0</v>
      </c>
      <c r="D141" s="203"/>
      <c r="E141" s="203"/>
      <c r="F141" s="203"/>
      <c r="G141" s="188"/>
      <c r="H141" s="188"/>
      <c r="I141" s="188"/>
      <c r="J141" s="188"/>
      <c r="K141" s="188">
        <f>$K$172*(1-Q141)</f>
        <v>9.7949999999999995E-2</v>
      </c>
      <c r="L141" s="188"/>
      <c r="M141" s="204"/>
      <c r="N141" s="204">
        <f t="shared" si="33"/>
        <v>0</v>
      </c>
      <c r="O141" s="189">
        <f>M141+N141</f>
        <v>0</v>
      </c>
      <c r="P141" s="205"/>
      <c r="Q141" s="165">
        <v>0</v>
      </c>
    </row>
    <row r="142" spans="2:17" x14ac:dyDescent="0.3">
      <c r="B142" s="1"/>
      <c r="C142" s="206" t="s">
        <v>135</v>
      </c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8"/>
      <c r="O142" s="209">
        <f>SUM(O138:O141)</f>
        <v>0</v>
      </c>
      <c r="P142" s="1"/>
      <c r="Q142" s="1"/>
    </row>
    <row r="143" spans="2:17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2:17" x14ac:dyDescent="0.3">
      <c r="B144" s="1" t="s">
        <v>17</v>
      </c>
      <c r="C144" s="102"/>
      <c r="D144" s="102"/>
      <c r="E144" s="102"/>
      <c r="F144" s="102"/>
      <c r="G144" s="102"/>
      <c r="H144" s="113"/>
      <c r="I144" s="113"/>
      <c r="J144" s="114"/>
      <c r="K144" s="199">
        <f>N7</f>
        <v>0.14199999999999999</v>
      </c>
      <c r="L144" s="200"/>
      <c r="M144" s="103"/>
      <c r="N144" s="103"/>
      <c r="O144" s="115"/>
      <c r="P144" s="1"/>
      <c r="Q144" s="1"/>
    </row>
    <row r="145" spans="2:17" x14ac:dyDescent="0.3">
      <c r="B145" s="1"/>
      <c r="C145" s="162" t="s">
        <v>129</v>
      </c>
      <c r="D145" s="511"/>
      <c r="E145" s="512"/>
      <c r="F145" s="163"/>
      <c r="G145" s="511"/>
      <c r="H145" s="512"/>
      <c r="I145" s="163"/>
      <c r="J145" s="511" t="s">
        <v>32</v>
      </c>
      <c r="K145" s="512"/>
      <c r="L145" s="163"/>
      <c r="M145" s="511" t="s">
        <v>131</v>
      </c>
      <c r="N145" s="512"/>
      <c r="O145" s="164" t="s">
        <v>132</v>
      </c>
      <c r="P145" s="1"/>
      <c r="Q145" s="46"/>
    </row>
    <row r="146" spans="2:17" x14ac:dyDescent="0.3">
      <c r="B146" s="1"/>
      <c r="C146" s="201" t="s">
        <v>133</v>
      </c>
      <c r="D146" s="201"/>
      <c r="E146" s="201"/>
      <c r="F146" s="201"/>
      <c r="G146" s="201" t="s">
        <v>33</v>
      </c>
      <c r="H146" s="201" t="s">
        <v>9</v>
      </c>
      <c r="I146" s="201"/>
      <c r="J146" s="201" t="s">
        <v>33</v>
      </c>
      <c r="K146" s="201" t="s">
        <v>9</v>
      </c>
      <c r="L146" s="201"/>
      <c r="M146" s="201" t="s">
        <v>33</v>
      </c>
      <c r="N146" s="201" t="s">
        <v>9</v>
      </c>
      <c r="O146" s="201" t="s">
        <v>134</v>
      </c>
      <c r="P146" s="1"/>
    </row>
    <row r="147" spans="2:17" x14ac:dyDescent="0.3">
      <c r="B147" s="1"/>
      <c r="C147" s="202">
        <f>IF($K$11=$B$144,(D33*($K$13)/($K$13+$L$13)),0)+IF($L$11=$B$144,(D33*($L$13)/($K$13+$L$13)),0)</f>
        <v>0</v>
      </c>
      <c r="D147" s="203"/>
      <c r="E147" s="203"/>
      <c r="F147" s="203"/>
      <c r="G147" s="188"/>
      <c r="H147" s="188"/>
      <c r="I147" s="188"/>
      <c r="J147" s="188"/>
      <c r="K147" s="188">
        <f>$K$181*(1-Q147)</f>
        <v>4.9699999999999994E-2</v>
      </c>
      <c r="L147" s="188"/>
      <c r="M147" s="204"/>
      <c r="N147" s="204">
        <f>ROUND((C147*K147),2)</f>
        <v>0</v>
      </c>
      <c r="O147" s="189">
        <f>M147+N147</f>
        <v>0</v>
      </c>
      <c r="P147" s="205"/>
      <c r="Q147" s="165">
        <v>0.65</v>
      </c>
    </row>
    <row r="148" spans="2:17" x14ac:dyDescent="0.3">
      <c r="B148" s="1"/>
      <c r="C148" s="202">
        <f t="shared" ref="C148:C150" si="34">IF($K$11=$B$144,(D34*($K$13)/($K$13+$L$13)),0)+IF($L$11=$B$144,(D34*($L$13)/($K$13+$L$13)),0)</f>
        <v>0</v>
      </c>
      <c r="D148" s="203"/>
      <c r="E148" s="203"/>
      <c r="F148" s="203"/>
      <c r="G148" s="188"/>
      <c r="H148" s="188"/>
      <c r="I148" s="188"/>
      <c r="J148" s="188"/>
      <c r="K148" s="188">
        <f>$K$181*(1-Q148)</f>
        <v>8.5199999999999984E-2</v>
      </c>
      <c r="L148" s="188"/>
      <c r="M148" s="204"/>
      <c r="N148" s="204">
        <f t="shared" ref="N148:N150" si="35">ROUND((C148*K148),2)</f>
        <v>0</v>
      </c>
      <c r="O148" s="189">
        <f>M148+N148</f>
        <v>0</v>
      </c>
      <c r="P148" s="205"/>
      <c r="Q148" s="165">
        <v>0.4</v>
      </c>
    </row>
    <row r="149" spans="2:17" x14ac:dyDescent="0.3">
      <c r="B149" s="1"/>
      <c r="C149" s="202">
        <f t="shared" si="34"/>
        <v>0</v>
      </c>
      <c r="D149" s="203"/>
      <c r="E149" s="203"/>
      <c r="F149" s="203"/>
      <c r="G149" s="188"/>
      <c r="H149" s="188"/>
      <c r="I149" s="188"/>
      <c r="J149" s="188"/>
      <c r="K149" s="188">
        <f>$K$181*(1-Q149)</f>
        <v>0.1278</v>
      </c>
      <c r="L149" s="188"/>
      <c r="M149" s="204"/>
      <c r="N149" s="204">
        <f t="shared" si="35"/>
        <v>0</v>
      </c>
      <c r="O149" s="189">
        <f>M149+N149</f>
        <v>0</v>
      </c>
      <c r="P149" s="205"/>
      <c r="Q149" s="165">
        <v>0.1</v>
      </c>
    </row>
    <row r="150" spans="2:17" x14ac:dyDescent="0.3">
      <c r="B150" s="1"/>
      <c r="C150" s="202">
        <f t="shared" si="34"/>
        <v>0</v>
      </c>
      <c r="D150" s="203"/>
      <c r="E150" s="203"/>
      <c r="F150" s="203"/>
      <c r="G150" s="188"/>
      <c r="H150" s="188"/>
      <c r="I150" s="188"/>
      <c r="J150" s="188"/>
      <c r="K150" s="188">
        <f>$K$181*(1-Q150)</f>
        <v>0.14199999999999999</v>
      </c>
      <c r="L150" s="188"/>
      <c r="M150" s="204"/>
      <c r="N150" s="204">
        <f t="shared" si="35"/>
        <v>0</v>
      </c>
      <c r="O150" s="189">
        <f>M150+N150</f>
        <v>0</v>
      </c>
      <c r="P150" s="205"/>
      <c r="Q150" s="165">
        <v>0</v>
      </c>
    </row>
    <row r="151" spans="2:17" x14ac:dyDescent="0.3">
      <c r="B151" s="1"/>
      <c r="C151" s="206" t="s">
        <v>135</v>
      </c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8"/>
      <c r="O151" s="209">
        <f>SUM(O147:O150)</f>
        <v>0</v>
      </c>
      <c r="P151" s="1"/>
      <c r="Q151" s="1"/>
    </row>
    <row r="153" spans="2:17" x14ac:dyDescent="0.3">
      <c r="B153" s="1" t="s">
        <v>128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2:17" x14ac:dyDescent="0.3">
      <c r="B154" s="102" t="s">
        <v>14</v>
      </c>
      <c r="C154" s="102"/>
      <c r="D154" s="102"/>
      <c r="E154" s="102"/>
      <c r="F154" s="102"/>
      <c r="G154" s="102"/>
      <c r="H154" s="113"/>
      <c r="I154" s="113"/>
      <c r="J154" s="114"/>
      <c r="K154" s="199">
        <f>N4</f>
        <v>2.989E-2</v>
      </c>
      <c r="L154" s="200"/>
      <c r="M154" s="103"/>
      <c r="N154" s="103"/>
      <c r="O154" s="115"/>
      <c r="P154" s="1"/>
      <c r="Q154" s="1"/>
    </row>
    <row r="155" spans="2:17" x14ac:dyDescent="0.3">
      <c r="B155" s="1"/>
      <c r="C155" s="162" t="s">
        <v>129</v>
      </c>
      <c r="D155" s="511"/>
      <c r="E155" s="512"/>
      <c r="F155" s="163"/>
      <c r="G155" s="511"/>
      <c r="H155" s="512"/>
      <c r="I155" s="163"/>
      <c r="J155" s="511" t="s">
        <v>130</v>
      </c>
      <c r="K155" s="512"/>
      <c r="L155" s="163"/>
      <c r="M155" s="511" t="s">
        <v>131</v>
      </c>
      <c r="N155" s="512"/>
      <c r="O155" s="164" t="s">
        <v>132</v>
      </c>
      <c r="P155" s="1"/>
      <c r="Q155" s="46"/>
    </row>
    <row r="156" spans="2:17" x14ac:dyDescent="0.3">
      <c r="B156" s="1"/>
      <c r="C156" s="201" t="s">
        <v>133</v>
      </c>
      <c r="D156" s="201"/>
      <c r="E156" s="201"/>
      <c r="F156" s="201"/>
      <c r="G156" s="201"/>
      <c r="H156" s="201"/>
      <c r="I156" s="201"/>
      <c r="J156" s="201"/>
      <c r="K156" s="201" t="s">
        <v>9</v>
      </c>
      <c r="L156" s="201"/>
      <c r="M156" s="201" t="s">
        <v>33</v>
      </c>
      <c r="N156" s="201" t="s">
        <v>9</v>
      </c>
      <c r="O156" s="201" t="s">
        <v>134</v>
      </c>
      <c r="P156" s="1"/>
    </row>
    <row r="157" spans="2:17" x14ac:dyDescent="0.3">
      <c r="B157" s="1"/>
      <c r="C157" s="202">
        <f>IF($K$11=$B$154,(D43*($K$13)/($K$13+$L$13)),0)+IF($L$11=$B$154,(D43*($L$13)/($K$13+$L$13)),0)</f>
        <v>0</v>
      </c>
      <c r="D157" s="203"/>
      <c r="E157" s="203"/>
      <c r="F157" s="203"/>
      <c r="G157" s="188"/>
      <c r="H157" s="188"/>
      <c r="I157" s="188"/>
      <c r="J157" s="188"/>
      <c r="K157" s="188">
        <f>$K$154*(1-Q157)</f>
        <v>1.0461499999999999E-2</v>
      </c>
      <c r="L157" s="188"/>
      <c r="M157" s="204"/>
      <c r="N157" s="204">
        <f>ROUND((C157*K157),2)</f>
        <v>0</v>
      </c>
      <c r="O157" s="189">
        <f>M157+N157</f>
        <v>0</v>
      </c>
      <c r="P157" s="205"/>
      <c r="Q157" s="165">
        <v>0.65</v>
      </c>
    </row>
    <row r="158" spans="2:17" x14ac:dyDescent="0.3">
      <c r="B158" s="1"/>
      <c r="C158" s="202">
        <f>IF($K$11=$B$154,(D44*($K$13)/($K$13+$L$13)),0)+IF($L$11=$B$154,(D44*($L$13)/($K$13+$L$13)),0)</f>
        <v>0</v>
      </c>
      <c r="D158" s="203"/>
      <c r="E158" s="203"/>
      <c r="F158" s="203"/>
      <c r="G158" s="188"/>
      <c r="H158" s="188"/>
      <c r="I158" s="188"/>
      <c r="J158" s="188"/>
      <c r="K158" s="188">
        <f>$K$154*(1-Q158)</f>
        <v>1.7933999999999999E-2</v>
      </c>
      <c r="L158" s="188"/>
      <c r="M158" s="204"/>
      <c r="N158" s="204">
        <f t="shared" ref="N158:N160" si="36">ROUND((C158*K158),2)</f>
        <v>0</v>
      </c>
      <c r="O158" s="189">
        <f>M158+N158</f>
        <v>0</v>
      </c>
      <c r="P158" s="205"/>
      <c r="Q158" s="165">
        <v>0.4</v>
      </c>
    </row>
    <row r="159" spans="2:17" x14ac:dyDescent="0.3">
      <c r="B159" s="1"/>
      <c r="C159" s="202">
        <f>IF($K$11=$B$154,(D45*($K$13)/($K$13+$L$13)),0)+IF($L$11=$B$154,(D45*($L$13)/($K$13+$L$13)),0)</f>
        <v>0</v>
      </c>
      <c r="D159" s="203"/>
      <c r="E159" s="203"/>
      <c r="F159" s="203"/>
      <c r="G159" s="188"/>
      <c r="H159" s="188"/>
      <c r="I159" s="188"/>
      <c r="J159" s="188"/>
      <c r="K159" s="188">
        <f>$K$154*(1-Q159)</f>
        <v>2.6901000000000001E-2</v>
      </c>
      <c r="L159" s="188"/>
      <c r="M159" s="204"/>
      <c r="N159" s="204">
        <f t="shared" si="36"/>
        <v>0</v>
      </c>
      <c r="O159" s="189">
        <f>M159+N159</f>
        <v>0</v>
      </c>
      <c r="P159" s="205"/>
      <c r="Q159" s="165">
        <v>0.1</v>
      </c>
    </row>
    <row r="160" spans="2:17" x14ac:dyDescent="0.3">
      <c r="B160" s="1"/>
      <c r="C160" s="202">
        <f>IF($K$11=$B$154,(D46*($K$13)/($K$13+$L$13)),0)+IF($L$11=$B$154,(D46*($L$13)/($K$13+$L$13)),0)</f>
        <v>0</v>
      </c>
      <c r="D160" s="203"/>
      <c r="E160" s="203"/>
      <c r="F160" s="203"/>
      <c r="G160" s="188"/>
      <c r="H160" s="188"/>
      <c r="I160" s="188"/>
      <c r="J160" s="188"/>
      <c r="K160" s="188">
        <f>$K$154*(1-Q160)</f>
        <v>2.989E-2</v>
      </c>
      <c r="L160" s="188"/>
      <c r="M160" s="204"/>
      <c r="N160" s="204">
        <f t="shared" si="36"/>
        <v>0</v>
      </c>
      <c r="O160" s="189">
        <f>M160+N160</f>
        <v>0</v>
      </c>
      <c r="P160" s="205"/>
      <c r="Q160" s="165">
        <v>0</v>
      </c>
    </row>
    <row r="161" spans="2:17" x14ac:dyDescent="0.3">
      <c r="B161" s="1"/>
      <c r="C161" s="206" t="s">
        <v>135</v>
      </c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8"/>
      <c r="O161" s="209">
        <f>SUM(O157:O160)</f>
        <v>0</v>
      </c>
      <c r="P161" s="1"/>
      <c r="Q161" s="1"/>
    </row>
    <row r="162" spans="2:17" x14ac:dyDescent="0.3">
      <c r="B162" s="102"/>
      <c r="C162" s="102"/>
      <c r="D162" s="102"/>
      <c r="E162" s="102"/>
      <c r="F162" s="102"/>
      <c r="G162" s="102"/>
      <c r="H162" s="113"/>
      <c r="I162" s="113"/>
      <c r="J162" s="114"/>
      <c r="K162" s="114"/>
      <c r="L162" s="114"/>
      <c r="M162" s="103"/>
      <c r="N162" s="103"/>
      <c r="O162" s="210"/>
      <c r="P162" s="1"/>
      <c r="Q162" s="1"/>
    </row>
    <row r="163" spans="2:17" x14ac:dyDescent="0.3">
      <c r="B163" s="102" t="s">
        <v>15</v>
      </c>
      <c r="C163" s="102"/>
      <c r="D163" s="102"/>
      <c r="E163" s="102"/>
      <c r="F163" s="102"/>
      <c r="G163" s="102"/>
      <c r="H163" s="113"/>
      <c r="I163" s="113"/>
      <c r="J163" s="114"/>
      <c r="K163" s="199">
        <f>N5</f>
        <v>6.5000000000000002E-2</v>
      </c>
      <c r="L163" s="200"/>
      <c r="M163" s="103"/>
      <c r="N163" s="103"/>
      <c r="O163" s="115"/>
      <c r="P163" s="1"/>
      <c r="Q163" s="1"/>
    </row>
    <row r="164" spans="2:17" x14ac:dyDescent="0.3">
      <c r="B164" s="1"/>
      <c r="C164" s="162" t="s">
        <v>129</v>
      </c>
      <c r="D164" s="511"/>
      <c r="E164" s="512"/>
      <c r="F164" s="163"/>
      <c r="G164" s="511"/>
      <c r="H164" s="512"/>
      <c r="I164" s="163"/>
      <c r="J164" s="511" t="s">
        <v>32</v>
      </c>
      <c r="K164" s="512"/>
      <c r="L164" s="163"/>
      <c r="M164" s="511" t="s">
        <v>131</v>
      </c>
      <c r="N164" s="512"/>
      <c r="O164" s="164" t="s">
        <v>132</v>
      </c>
      <c r="P164" s="1"/>
      <c r="Q164" s="46"/>
    </row>
    <row r="165" spans="2:17" x14ac:dyDescent="0.3">
      <c r="B165" s="1"/>
      <c r="C165" s="201" t="s">
        <v>133</v>
      </c>
      <c r="D165" s="201"/>
      <c r="E165" s="201"/>
      <c r="F165" s="201"/>
      <c r="G165" s="201" t="s">
        <v>33</v>
      </c>
      <c r="H165" s="201" t="s">
        <v>9</v>
      </c>
      <c r="I165" s="201"/>
      <c r="J165" s="201" t="s">
        <v>33</v>
      </c>
      <c r="K165" s="201" t="s">
        <v>9</v>
      </c>
      <c r="L165" s="201"/>
      <c r="M165" s="201" t="s">
        <v>33</v>
      </c>
      <c r="N165" s="201" t="s">
        <v>9</v>
      </c>
      <c r="O165" s="201" t="s">
        <v>134</v>
      </c>
      <c r="P165" s="1"/>
    </row>
    <row r="166" spans="2:17" x14ac:dyDescent="0.3">
      <c r="B166" s="1"/>
      <c r="C166" s="202">
        <f>IF($K$11=$B$163,(D43*($K$13)/($K$13+$L$13)),0)+IF($L$11=$B$163,(D43*($L$13)/($K$13+$L$13)),0)</f>
        <v>0</v>
      </c>
      <c r="D166" s="203"/>
      <c r="E166" s="203"/>
      <c r="F166" s="203"/>
      <c r="G166" s="188"/>
      <c r="H166" s="188"/>
      <c r="I166" s="188"/>
      <c r="J166" s="188"/>
      <c r="K166" s="188">
        <f>$K$163*(1-Q166)</f>
        <v>2.2749999999999999E-2</v>
      </c>
      <c r="L166" s="188"/>
      <c r="M166" s="204"/>
      <c r="N166" s="204">
        <f>ROUND((C166*K166),2)</f>
        <v>0</v>
      </c>
      <c r="O166" s="189">
        <f>M166+N166</f>
        <v>0</v>
      </c>
      <c r="P166" s="205"/>
      <c r="Q166" s="165">
        <v>0.65</v>
      </c>
    </row>
    <row r="167" spans="2:17" x14ac:dyDescent="0.3">
      <c r="B167" s="1"/>
      <c r="C167" s="202">
        <f>IF($K$11=$B$163,(D44*($K$13)/($K$13+$L$13)),0)+IF($L$11=$B$163,(D44*($L$13)/($K$13+$L$13)),0)</f>
        <v>0</v>
      </c>
      <c r="D167" s="203"/>
      <c r="E167" s="203"/>
      <c r="F167" s="203"/>
      <c r="G167" s="188"/>
      <c r="H167" s="188"/>
      <c r="I167" s="188"/>
      <c r="J167" s="188"/>
      <c r="K167" s="188">
        <f>$K$163*(1-Q167)</f>
        <v>3.9E-2</v>
      </c>
      <c r="L167" s="188"/>
      <c r="M167" s="204"/>
      <c r="N167" s="204">
        <f t="shared" ref="N167:N169" si="37">ROUND((C167*K167),2)</f>
        <v>0</v>
      </c>
      <c r="O167" s="189">
        <f>M167+N167</f>
        <v>0</v>
      </c>
      <c r="P167" s="205"/>
      <c r="Q167" s="165">
        <v>0.4</v>
      </c>
    </row>
    <row r="168" spans="2:17" x14ac:dyDescent="0.3">
      <c r="B168" s="1"/>
      <c r="C168" s="202">
        <f>IF($K$11=$B$163,(D45*($K$13)/($K$13+$L$13)),0)+IF($L$11=$B$163,(D45*($L$13)/($K$13+$L$13)),0)</f>
        <v>0</v>
      </c>
      <c r="D168" s="203"/>
      <c r="E168" s="203"/>
      <c r="F168" s="203"/>
      <c r="G168" s="188"/>
      <c r="H168" s="188"/>
      <c r="I168" s="188"/>
      <c r="J168" s="188"/>
      <c r="K168" s="188">
        <f>$K$163*(1-Q168)</f>
        <v>5.8500000000000003E-2</v>
      </c>
      <c r="L168" s="188"/>
      <c r="M168" s="204"/>
      <c r="N168" s="204">
        <f t="shared" si="37"/>
        <v>0</v>
      </c>
      <c r="O168" s="189">
        <f>M168+N168</f>
        <v>0</v>
      </c>
      <c r="P168" s="205"/>
      <c r="Q168" s="165">
        <v>0.1</v>
      </c>
    </row>
    <row r="169" spans="2:17" x14ac:dyDescent="0.3">
      <c r="B169" s="1"/>
      <c r="C169" s="202">
        <f>IF($K$11=$B$163,(D46*($K$13)/($K$13+$L$13)),0)+IF($L$11=$B$163,(D46*($L$13)/($K$13+$L$13)),0)</f>
        <v>0</v>
      </c>
      <c r="D169" s="203"/>
      <c r="E169" s="203"/>
      <c r="F169" s="203"/>
      <c r="G169" s="188"/>
      <c r="H169" s="188"/>
      <c r="I169" s="188"/>
      <c r="J169" s="188"/>
      <c r="K169" s="188">
        <f>$K$163*(1-Q169)</f>
        <v>6.5000000000000002E-2</v>
      </c>
      <c r="L169" s="188"/>
      <c r="M169" s="204"/>
      <c r="N169" s="204">
        <f t="shared" si="37"/>
        <v>0</v>
      </c>
      <c r="O169" s="189">
        <f>M169+N169</f>
        <v>0</v>
      </c>
      <c r="P169" s="205"/>
      <c r="Q169" s="165">
        <v>0</v>
      </c>
    </row>
    <row r="170" spans="2:17" x14ac:dyDescent="0.3">
      <c r="B170" s="1"/>
      <c r="C170" s="206" t="s">
        <v>135</v>
      </c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8"/>
      <c r="O170" s="209">
        <f>SUM(O166:O169)</f>
        <v>0</v>
      </c>
      <c r="P170" s="1"/>
      <c r="Q170" s="1"/>
    </row>
    <row r="171" spans="2:17" x14ac:dyDescent="0.3">
      <c r="B171" s="102"/>
      <c r="C171" s="102"/>
      <c r="D171" s="102"/>
      <c r="E171" s="102"/>
      <c r="F171" s="102"/>
      <c r="G171" s="102"/>
      <c r="H171" s="113"/>
      <c r="I171" s="113"/>
      <c r="J171" s="114"/>
      <c r="K171" s="114"/>
      <c r="L171" s="114"/>
      <c r="M171" s="103"/>
      <c r="N171" s="103"/>
      <c r="O171" s="115"/>
      <c r="P171" s="1"/>
      <c r="Q171" s="1"/>
    </row>
    <row r="172" spans="2:17" x14ac:dyDescent="0.3">
      <c r="B172" s="102" t="s">
        <v>16</v>
      </c>
      <c r="C172" s="102"/>
      <c r="D172" s="102"/>
      <c r="E172" s="102"/>
      <c r="F172" s="102"/>
      <c r="G172" s="102"/>
      <c r="H172" s="113"/>
      <c r="I172" s="113"/>
      <c r="J172" s="114"/>
      <c r="K172" s="199">
        <f>N6</f>
        <v>9.7949999999999995E-2</v>
      </c>
      <c r="L172" s="200"/>
      <c r="M172" s="103"/>
      <c r="N172" s="103"/>
      <c r="O172" s="115"/>
      <c r="P172" s="1"/>
      <c r="Q172" s="1"/>
    </row>
    <row r="173" spans="2:17" x14ac:dyDescent="0.3">
      <c r="B173" s="1"/>
      <c r="C173" s="162" t="s">
        <v>129</v>
      </c>
      <c r="D173" s="511"/>
      <c r="E173" s="512"/>
      <c r="F173" s="163"/>
      <c r="G173" s="511"/>
      <c r="H173" s="512"/>
      <c r="I173" s="163"/>
      <c r="J173" s="511" t="s">
        <v>32</v>
      </c>
      <c r="K173" s="512"/>
      <c r="L173" s="163"/>
      <c r="M173" s="511" t="s">
        <v>131</v>
      </c>
      <c r="N173" s="512"/>
      <c r="O173" s="164" t="s">
        <v>132</v>
      </c>
      <c r="P173" s="1"/>
      <c r="Q173" s="46"/>
    </row>
    <row r="174" spans="2:17" x14ac:dyDescent="0.3">
      <c r="B174" s="1"/>
      <c r="C174" s="201" t="s">
        <v>133</v>
      </c>
      <c r="D174" s="201"/>
      <c r="E174" s="201"/>
      <c r="F174" s="201"/>
      <c r="G174" s="201" t="s">
        <v>33</v>
      </c>
      <c r="H174" s="201" t="s">
        <v>9</v>
      </c>
      <c r="I174" s="201"/>
      <c r="J174" s="201" t="s">
        <v>33</v>
      </c>
      <c r="K174" s="201" t="s">
        <v>9</v>
      </c>
      <c r="L174" s="201"/>
      <c r="M174" s="201" t="s">
        <v>33</v>
      </c>
      <c r="N174" s="201" t="s">
        <v>9</v>
      </c>
      <c r="O174" s="201" t="s">
        <v>134</v>
      </c>
      <c r="P174" s="1"/>
    </row>
    <row r="175" spans="2:17" x14ac:dyDescent="0.3">
      <c r="B175" s="1"/>
      <c r="C175" s="202">
        <f>IF($K$11=$B$172,(D43*($K$13)/($K$13+$L$13)),0)+IF($L$11=$B$172,(D43*($L$13)/($K$13+$L$13)),0)</f>
        <v>0</v>
      </c>
      <c r="D175" s="203"/>
      <c r="E175" s="203"/>
      <c r="F175" s="203"/>
      <c r="G175" s="188"/>
      <c r="H175" s="188"/>
      <c r="I175" s="188"/>
      <c r="J175" s="188"/>
      <c r="K175" s="188">
        <f>$K$172*(1-Q175)</f>
        <v>3.4282499999999994E-2</v>
      </c>
      <c r="L175" s="188"/>
      <c r="M175" s="204"/>
      <c r="N175" s="204">
        <f>ROUND((C175*K175),2)</f>
        <v>0</v>
      </c>
      <c r="O175" s="189">
        <f>M175+N175</f>
        <v>0</v>
      </c>
      <c r="P175" s="205"/>
      <c r="Q175" s="165">
        <v>0.65</v>
      </c>
    </row>
    <row r="176" spans="2:17" x14ac:dyDescent="0.3">
      <c r="B176" s="1"/>
      <c r="C176" s="202">
        <f>IF($K$11=$B$172,(D44*($K$13)/($K$13+$L$13)),0)+IF($L$11=$B$172,(D44*($L$13)/($K$13+$L$13)),0)</f>
        <v>0</v>
      </c>
      <c r="D176" s="203"/>
      <c r="E176" s="203"/>
      <c r="F176" s="203"/>
      <c r="G176" s="188"/>
      <c r="H176" s="188"/>
      <c r="I176" s="188"/>
      <c r="J176" s="188"/>
      <c r="K176" s="188">
        <f>$K$172*(1-Q176)</f>
        <v>5.8769999999999996E-2</v>
      </c>
      <c r="L176" s="188"/>
      <c r="M176" s="204"/>
      <c r="N176" s="204">
        <f t="shared" ref="N176:N178" si="38">ROUND((C176*K176),2)</f>
        <v>0</v>
      </c>
      <c r="O176" s="189">
        <f>M176+N176</f>
        <v>0</v>
      </c>
      <c r="P176" s="205"/>
      <c r="Q176" s="165">
        <v>0.4</v>
      </c>
    </row>
    <row r="177" spans="2:17" x14ac:dyDescent="0.3">
      <c r="B177" s="1"/>
      <c r="C177" s="202">
        <f>IF($K$11=$B$172,(D45*($K$13)/($K$13+$L$13)),0)+IF($L$11=$B$172,(D45*($L$13)/($K$13+$L$13)),0)</f>
        <v>0</v>
      </c>
      <c r="D177" s="203"/>
      <c r="E177" s="203"/>
      <c r="F177" s="203"/>
      <c r="G177" s="188"/>
      <c r="H177" s="188"/>
      <c r="I177" s="188"/>
      <c r="J177" s="188"/>
      <c r="K177" s="188">
        <f>$K$172*(1-Q177)</f>
        <v>8.8154999999999997E-2</v>
      </c>
      <c r="L177" s="188"/>
      <c r="M177" s="204"/>
      <c r="N177" s="204">
        <f t="shared" si="38"/>
        <v>0</v>
      </c>
      <c r="O177" s="189">
        <f>M177+N177</f>
        <v>0</v>
      </c>
      <c r="P177" s="205"/>
      <c r="Q177" s="165">
        <v>0.1</v>
      </c>
    </row>
    <row r="178" spans="2:17" x14ac:dyDescent="0.3">
      <c r="B178" s="1"/>
      <c r="C178" s="202">
        <f>IF($K$11=$B$172,(D46*($K$13)/($K$13+$L$13)),0)+IF($L$11=$B$172,(D46*($L$13)/($K$13+$L$13)),0)</f>
        <v>0</v>
      </c>
      <c r="D178" s="203"/>
      <c r="E178" s="203"/>
      <c r="F178" s="203"/>
      <c r="G178" s="188"/>
      <c r="H178" s="188"/>
      <c r="I178" s="188"/>
      <c r="J178" s="188"/>
      <c r="K178" s="188">
        <f>$K$172*(1-Q178)</f>
        <v>9.7949999999999995E-2</v>
      </c>
      <c r="L178" s="188"/>
      <c r="M178" s="204"/>
      <c r="N178" s="204">
        <f t="shared" si="38"/>
        <v>0</v>
      </c>
      <c r="O178" s="189">
        <f>M178+N178</f>
        <v>0</v>
      </c>
      <c r="P178" s="205"/>
      <c r="Q178" s="165">
        <v>0</v>
      </c>
    </row>
    <row r="179" spans="2:17" x14ac:dyDescent="0.3">
      <c r="B179" s="1"/>
      <c r="C179" s="206" t="s">
        <v>135</v>
      </c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8"/>
      <c r="O179" s="209">
        <f>SUM(O175:O178)</f>
        <v>0</v>
      </c>
      <c r="P179" s="1"/>
      <c r="Q179" s="1"/>
    </row>
    <row r="180" spans="2:17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2:17" x14ac:dyDescent="0.3">
      <c r="B181" s="1" t="s">
        <v>17</v>
      </c>
      <c r="C181" s="102"/>
      <c r="D181" s="102"/>
      <c r="E181" s="102"/>
      <c r="F181" s="102"/>
      <c r="G181" s="102"/>
      <c r="H181" s="113"/>
      <c r="I181" s="113"/>
      <c r="J181" s="114"/>
      <c r="K181" s="199">
        <f>N7</f>
        <v>0.14199999999999999</v>
      </c>
      <c r="L181" s="200"/>
      <c r="M181" s="103"/>
      <c r="N181" s="103"/>
      <c r="O181" s="115"/>
      <c r="P181" s="1"/>
      <c r="Q181" s="1"/>
    </row>
    <row r="182" spans="2:17" x14ac:dyDescent="0.3">
      <c r="B182" s="1"/>
      <c r="C182" s="162" t="s">
        <v>129</v>
      </c>
      <c r="D182" s="511"/>
      <c r="E182" s="512"/>
      <c r="F182" s="163"/>
      <c r="G182" s="511"/>
      <c r="H182" s="512"/>
      <c r="I182" s="163"/>
      <c r="J182" s="511" t="s">
        <v>32</v>
      </c>
      <c r="K182" s="512"/>
      <c r="L182" s="163"/>
      <c r="M182" s="511" t="s">
        <v>131</v>
      </c>
      <c r="N182" s="512"/>
      <c r="O182" s="164" t="s">
        <v>132</v>
      </c>
      <c r="P182" s="1"/>
      <c r="Q182" s="46"/>
    </row>
    <row r="183" spans="2:17" x14ac:dyDescent="0.3">
      <c r="B183" s="1"/>
      <c r="C183" s="201" t="s">
        <v>133</v>
      </c>
      <c r="D183" s="201"/>
      <c r="E183" s="201"/>
      <c r="F183" s="201"/>
      <c r="G183" s="201" t="s">
        <v>33</v>
      </c>
      <c r="H183" s="201" t="s">
        <v>9</v>
      </c>
      <c r="I183" s="201"/>
      <c r="J183" s="201" t="s">
        <v>33</v>
      </c>
      <c r="K183" s="201" t="s">
        <v>9</v>
      </c>
      <c r="L183" s="201"/>
      <c r="M183" s="201" t="s">
        <v>33</v>
      </c>
      <c r="N183" s="201" t="s">
        <v>9</v>
      </c>
      <c r="O183" s="201" t="s">
        <v>134</v>
      </c>
      <c r="P183" s="1"/>
    </row>
    <row r="184" spans="2:17" x14ac:dyDescent="0.3">
      <c r="B184" s="1"/>
      <c r="C184" s="202">
        <f>IF($K$11=$B$181,(D43*($K$13)/($K$13+$L$13)),0)+IF($L$11=$B$181,(D43*($L$13)/($K$13+$L$13)),0)</f>
        <v>0</v>
      </c>
      <c r="D184" s="203"/>
      <c r="E184" s="203"/>
      <c r="F184" s="203"/>
      <c r="G184" s="188"/>
      <c r="H184" s="188"/>
      <c r="I184" s="188"/>
      <c r="J184" s="188"/>
      <c r="K184" s="188">
        <f>$K$181*(1-Q184)</f>
        <v>4.9699999999999994E-2</v>
      </c>
      <c r="L184" s="188"/>
      <c r="M184" s="204"/>
      <c r="N184" s="204">
        <f>ROUND((C184*K184),2)</f>
        <v>0</v>
      </c>
      <c r="O184" s="189">
        <f>M184+N184</f>
        <v>0</v>
      </c>
      <c r="P184" s="205"/>
      <c r="Q184" s="165">
        <v>0.65</v>
      </c>
    </row>
    <row r="185" spans="2:17" x14ac:dyDescent="0.3">
      <c r="B185" s="1"/>
      <c r="C185" s="202">
        <f>IF($K$11=$B$181,(D44*($K$13)/($K$13+$L$13)),0)+IF($L$11=$B$181,(D44*($L$13)/($K$13+$L$13)),0)</f>
        <v>0</v>
      </c>
      <c r="D185" s="203"/>
      <c r="E185" s="203"/>
      <c r="F185" s="203"/>
      <c r="G185" s="188"/>
      <c r="H185" s="188"/>
      <c r="I185" s="188"/>
      <c r="J185" s="188"/>
      <c r="K185" s="188">
        <f>$K$181*(1-Q185)</f>
        <v>8.5199999999999984E-2</v>
      </c>
      <c r="L185" s="188"/>
      <c r="M185" s="204"/>
      <c r="N185" s="204">
        <f t="shared" ref="N185:N187" si="39">ROUND((C185*K185),2)</f>
        <v>0</v>
      </c>
      <c r="O185" s="189">
        <f>M185+N185</f>
        <v>0</v>
      </c>
      <c r="P185" s="205"/>
      <c r="Q185" s="165">
        <v>0.4</v>
      </c>
    </row>
    <row r="186" spans="2:17" x14ac:dyDescent="0.3">
      <c r="B186" s="1"/>
      <c r="C186" s="202">
        <f>IF($K$11=$B$181,(D45*($K$13)/($K$13+$L$13)),0)+IF($L$11=$B$181,(D45*($L$13)/($K$13+$L$13)),0)</f>
        <v>0</v>
      </c>
      <c r="D186" s="203"/>
      <c r="E186" s="203"/>
      <c r="F186" s="203"/>
      <c r="G186" s="188"/>
      <c r="H186" s="188"/>
      <c r="I186" s="188"/>
      <c r="J186" s="188"/>
      <c r="K186" s="188">
        <f>$K$181*(1-Q186)</f>
        <v>0.1278</v>
      </c>
      <c r="L186" s="188"/>
      <c r="M186" s="204"/>
      <c r="N186" s="204">
        <f t="shared" si="39"/>
        <v>0</v>
      </c>
      <c r="O186" s="189">
        <f>M186+N186</f>
        <v>0</v>
      </c>
      <c r="P186" s="205"/>
      <c r="Q186" s="165">
        <v>0.1</v>
      </c>
    </row>
    <row r="187" spans="2:17" x14ac:dyDescent="0.3">
      <c r="B187" s="1"/>
      <c r="C187" s="202">
        <f>IF($K$11=$B$181,(D46*($K$13)/($K$13+$L$13)),0)+IF($L$11=$B$181,(D46*($L$13)/($K$13+$L$13)),0)</f>
        <v>0</v>
      </c>
      <c r="D187" s="203"/>
      <c r="E187" s="203"/>
      <c r="F187" s="203"/>
      <c r="G187" s="188"/>
      <c r="H187" s="188"/>
      <c r="I187" s="188"/>
      <c r="J187" s="188"/>
      <c r="K187" s="188">
        <f>$K$181*(1-Q187)</f>
        <v>0.14199999999999999</v>
      </c>
      <c r="L187" s="188"/>
      <c r="M187" s="204"/>
      <c r="N187" s="204">
        <f t="shared" si="39"/>
        <v>0</v>
      </c>
      <c r="O187" s="189">
        <f>M187+N187</f>
        <v>0</v>
      </c>
      <c r="P187" s="205"/>
      <c r="Q187" s="165">
        <v>0</v>
      </c>
    </row>
    <row r="188" spans="2:17" x14ac:dyDescent="0.3">
      <c r="B188" s="1"/>
      <c r="C188" s="206" t="s">
        <v>135</v>
      </c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8"/>
      <c r="O188" s="209">
        <f>SUM(O184:O187)</f>
        <v>0</v>
      </c>
      <c r="P188" s="1"/>
      <c r="Q188" s="1"/>
    </row>
    <row r="192" spans="2:17" x14ac:dyDescent="0.3">
      <c r="B192" s="1" t="s">
        <v>147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2:17" x14ac:dyDescent="0.3">
      <c r="B193" s="102" t="s">
        <v>14</v>
      </c>
      <c r="C193" s="102"/>
      <c r="D193" s="102"/>
      <c r="E193" s="102"/>
      <c r="F193" s="102"/>
      <c r="G193" s="102"/>
      <c r="H193" s="113"/>
      <c r="I193" s="113"/>
      <c r="J193" s="114"/>
      <c r="K193" s="199">
        <f>K154</f>
        <v>2.989E-2</v>
      </c>
      <c r="L193" s="200"/>
      <c r="M193" s="103"/>
      <c r="N193" s="103"/>
      <c r="O193" s="115"/>
      <c r="P193" s="1"/>
      <c r="Q193" s="1"/>
    </row>
    <row r="194" spans="2:17" x14ac:dyDescent="0.3">
      <c r="B194" s="1"/>
      <c r="C194" s="162" t="s">
        <v>129</v>
      </c>
      <c r="D194" s="511"/>
      <c r="E194" s="512"/>
      <c r="F194" s="163"/>
      <c r="G194" s="511"/>
      <c r="H194" s="512"/>
      <c r="I194" s="163"/>
      <c r="J194" s="511" t="s">
        <v>130</v>
      </c>
      <c r="K194" s="512"/>
      <c r="L194" s="163"/>
      <c r="M194" s="511" t="s">
        <v>131</v>
      </c>
      <c r="N194" s="512"/>
      <c r="O194" s="164" t="s">
        <v>132</v>
      </c>
      <c r="P194" s="1"/>
      <c r="Q194" s="46"/>
    </row>
    <row r="195" spans="2:17" x14ac:dyDescent="0.3">
      <c r="B195" s="1"/>
      <c r="C195" s="201" t="s">
        <v>133</v>
      </c>
      <c r="D195" s="201"/>
      <c r="E195" s="201"/>
      <c r="F195" s="201"/>
      <c r="G195" s="201"/>
      <c r="H195" s="201"/>
      <c r="I195" s="201"/>
      <c r="J195" s="201"/>
      <c r="K195" s="201" t="s">
        <v>9</v>
      </c>
      <c r="L195" s="201"/>
      <c r="M195" s="201" t="s">
        <v>33</v>
      </c>
      <c r="N195" s="201" t="s">
        <v>9</v>
      </c>
      <c r="O195" s="201" t="s">
        <v>134</v>
      </c>
      <c r="P195" s="1"/>
    </row>
    <row r="196" spans="2:17" x14ac:dyDescent="0.3">
      <c r="B196" s="1"/>
      <c r="C196" s="202">
        <f>IF($K$11=$B$193,(D53*($K$13)/($K$13+$L$13)),0)+IF($L$11=$B$193,(D53*($L$13)/($K$13+$L$13)),0)</f>
        <v>0</v>
      </c>
      <c r="D196" s="203"/>
      <c r="E196" s="203"/>
      <c r="F196" s="203"/>
      <c r="G196" s="188"/>
      <c r="H196" s="188"/>
      <c r="I196" s="188"/>
      <c r="J196" s="188"/>
      <c r="K196" s="188">
        <f>$K$193*(1-Q196)</f>
        <v>1.0461499999999999E-2</v>
      </c>
      <c r="L196" s="188"/>
      <c r="M196" s="204"/>
      <c r="N196" s="204">
        <f>ROUND((C196*K196),2)</f>
        <v>0</v>
      </c>
      <c r="O196" s="189">
        <f>M196+N196</f>
        <v>0</v>
      </c>
      <c r="P196" s="205"/>
      <c r="Q196" s="165">
        <v>0.65</v>
      </c>
    </row>
    <row r="197" spans="2:17" x14ac:dyDescent="0.3">
      <c r="B197" s="1"/>
      <c r="C197" s="202">
        <f>IF($K$11=$B$193,(D54*($K$13)/($K$13+$L$13)),0)+IF($L$11=$B$193,(D54*($L$13)/($K$13+$L$13)),0)</f>
        <v>0</v>
      </c>
      <c r="D197" s="203"/>
      <c r="E197" s="203"/>
      <c r="F197" s="203"/>
      <c r="G197" s="188"/>
      <c r="H197" s="188"/>
      <c r="I197" s="188"/>
      <c r="J197" s="188"/>
      <c r="K197" s="188">
        <f t="shared" ref="K197:K199" si="40">$K$193*(1-Q197)</f>
        <v>1.7933999999999999E-2</v>
      </c>
      <c r="L197" s="188"/>
      <c r="M197" s="204"/>
      <c r="N197" s="204">
        <f t="shared" ref="N197:N199" si="41">ROUND((C197*K197),2)</f>
        <v>0</v>
      </c>
      <c r="O197" s="189">
        <f>M197+N197</f>
        <v>0</v>
      </c>
      <c r="P197" s="205"/>
      <c r="Q197" s="165">
        <v>0.4</v>
      </c>
    </row>
    <row r="198" spans="2:17" x14ac:dyDescent="0.3">
      <c r="B198" s="1"/>
      <c r="C198" s="202">
        <f>IF($K$11=$B$193,(D55*($K$13)/($K$13+$L$13)),0)+IF($L$11=$B$193,(D55*($L$13)/($K$13+$L$13)),0)</f>
        <v>0</v>
      </c>
      <c r="D198" s="203"/>
      <c r="E198" s="203"/>
      <c r="F198" s="203"/>
      <c r="G198" s="188"/>
      <c r="H198" s="188"/>
      <c r="I198" s="188"/>
      <c r="J198" s="188"/>
      <c r="K198" s="188">
        <f t="shared" si="40"/>
        <v>2.6901000000000001E-2</v>
      </c>
      <c r="L198" s="188"/>
      <c r="M198" s="204"/>
      <c r="N198" s="204">
        <f t="shared" si="41"/>
        <v>0</v>
      </c>
      <c r="O198" s="189">
        <f>M198+N198</f>
        <v>0</v>
      </c>
      <c r="P198" s="205"/>
      <c r="Q198" s="165">
        <v>0.1</v>
      </c>
    </row>
    <row r="199" spans="2:17" x14ac:dyDescent="0.3">
      <c r="B199" s="1"/>
      <c r="C199" s="202">
        <f>IF($K$11=$B$193,(D56*($K$13)/($K$13+$L$13)),0)+IF($L$11=$B$193,(D56*($L$13)/($K$13+$L$13)),0)</f>
        <v>0</v>
      </c>
      <c r="D199" s="203"/>
      <c r="E199" s="203"/>
      <c r="F199" s="203"/>
      <c r="G199" s="188"/>
      <c r="H199" s="188"/>
      <c r="I199" s="188"/>
      <c r="J199" s="188"/>
      <c r="K199" s="188">
        <f t="shared" si="40"/>
        <v>2.989E-2</v>
      </c>
      <c r="L199" s="188"/>
      <c r="M199" s="204"/>
      <c r="N199" s="204">
        <f t="shared" si="41"/>
        <v>0</v>
      </c>
      <c r="O199" s="189">
        <f>M199+N199</f>
        <v>0</v>
      </c>
      <c r="P199" s="205"/>
      <c r="Q199" s="165">
        <v>0</v>
      </c>
    </row>
    <row r="200" spans="2:17" x14ac:dyDescent="0.3">
      <c r="B200" s="1"/>
      <c r="C200" s="206" t="s">
        <v>135</v>
      </c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8"/>
      <c r="O200" s="209">
        <f>SUM(O196:O199)</f>
        <v>0</v>
      </c>
      <c r="P200" s="1"/>
      <c r="Q200" s="1"/>
    </row>
    <row r="201" spans="2:17" x14ac:dyDescent="0.3">
      <c r="B201" s="102"/>
      <c r="C201" s="102"/>
      <c r="D201" s="102"/>
      <c r="E201" s="102"/>
      <c r="F201" s="102"/>
      <c r="G201" s="102"/>
      <c r="H201" s="113"/>
      <c r="I201" s="113"/>
      <c r="J201" s="114"/>
      <c r="K201" s="114"/>
      <c r="L201" s="114"/>
      <c r="M201" s="103"/>
      <c r="N201" s="103"/>
      <c r="O201" s="210"/>
      <c r="P201" s="1"/>
      <c r="Q201" s="1"/>
    </row>
    <row r="202" spans="2:17" x14ac:dyDescent="0.3">
      <c r="B202" s="102" t="s">
        <v>15</v>
      </c>
      <c r="C202" s="102"/>
      <c r="D202" s="102"/>
      <c r="E202" s="102"/>
      <c r="F202" s="102"/>
      <c r="G202" s="102"/>
      <c r="H202" s="113"/>
      <c r="I202" s="113"/>
      <c r="J202" s="114"/>
      <c r="K202" s="199">
        <f>K163</f>
        <v>6.5000000000000002E-2</v>
      </c>
      <c r="L202" s="200"/>
      <c r="M202" s="103"/>
      <c r="N202" s="103"/>
      <c r="O202" s="115"/>
      <c r="P202" s="1"/>
      <c r="Q202" s="1"/>
    </row>
    <row r="203" spans="2:17" x14ac:dyDescent="0.3">
      <c r="B203" s="1"/>
      <c r="C203" s="162" t="s">
        <v>129</v>
      </c>
      <c r="D203" s="511"/>
      <c r="E203" s="512"/>
      <c r="F203" s="163"/>
      <c r="G203" s="511"/>
      <c r="H203" s="512"/>
      <c r="I203" s="163"/>
      <c r="J203" s="511" t="s">
        <v>32</v>
      </c>
      <c r="K203" s="512"/>
      <c r="L203" s="163"/>
      <c r="M203" s="511" t="s">
        <v>131</v>
      </c>
      <c r="N203" s="512"/>
      <c r="O203" s="164" t="s">
        <v>132</v>
      </c>
      <c r="P203" s="1"/>
      <c r="Q203" s="46"/>
    </row>
    <row r="204" spans="2:17" x14ac:dyDescent="0.3">
      <c r="B204" s="1"/>
      <c r="C204" s="201" t="s">
        <v>133</v>
      </c>
      <c r="D204" s="201"/>
      <c r="E204" s="201"/>
      <c r="F204" s="201"/>
      <c r="G204" s="201" t="s">
        <v>33</v>
      </c>
      <c r="H204" s="201" t="s">
        <v>9</v>
      </c>
      <c r="I204" s="201"/>
      <c r="J204" s="201" t="s">
        <v>33</v>
      </c>
      <c r="K204" s="201" t="s">
        <v>9</v>
      </c>
      <c r="L204" s="201"/>
      <c r="M204" s="201" t="s">
        <v>33</v>
      </c>
      <c r="N204" s="201" t="s">
        <v>9</v>
      </c>
      <c r="O204" s="201" t="s">
        <v>134</v>
      </c>
      <c r="P204" s="1"/>
    </row>
    <row r="205" spans="2:17" x14ac:dyDescent="0.3">
      <c r="B205" s="1"/>
      <c r="C205" s="202">
        <f>IF($K$11=$B$202,(D53*($K$13)/($K$13+$L$13)),0)+IF($L$11=$B$202,(D53*($L$13)/($K$13+$L$13)),0)</f>
        <v>0</v>
      </c>
      <c r="D205" s="203"/>
      <c r="E205" s="203"/>
      <c r="F205" s="203"/>
      <c r="G205" s="188"/>
      <c r="H205" s="188"/>
      <c r="I205" s="188"/>
      <c r="J205" s="188"/>
      <c r="K205" s="188">
        <f>$K$202*(1-Q205)</f>
        <v>2.2749999999999999E-2</v>
      </c>
      <c r="L205" s="188"/>
      <c r="M205" s="204"/>
      <c r="N205" s="204">
        <f>ROUND((C205*K205),2)</f>
        <v>0</v>
      </c>
      <c r="O205" s="189">
        <f>M205+N205</f>
        <v>0</v>
      </c>
      <c r="P205" s="205"/>
      <c r="Q205" s="165">
        <v>0.65</v>
      </c>
    </row>
    <row r="206" spans="2:17" x14ac:dyDescent="0.3">
      <c r="B206" s="1"/>
      <c r="C206" s="202">
        <f>IF($K$11=$B$202,(D54*($K$13)/($K$13+$L$13)),0)+IF($L$11=$B$202,(D54*($L$13)/($K$13+$L$13)),0)</f>
        <v>0</v>
      </c>
      <c r="D206" s="203"/>
      <c r="E206" s="203"/>
      <c r="F206" s="203"/>
      <c r="G206" s="188"/>
      <c r="H206" s="188"/>
      <c r="I206" s="188"/>
      <c r="J206" s="188"/>
      <c r="K206" s="188">
        <f t="shared" ref="K206:K208" si="42">$K$202*(1-Q206)</f>
        <v>3.9E-2</v>
      </c>
      <c r="L206" s="188"/>
      <c r="M206" s="204"/>
      <c r="N206" s="204">
        <f t="shared" ref="N206:N208" si="43">ROUND((C206*K206),2)</f>
        <v>0</v>
      </c>
      <c r="O206" s="189">
        <f>M206+N206</f>
        <v>0</v>
      </c>
      <c r="P206" s="205"/>
      <c r="Q206" s="165">
        <v>0.4</v>
      </c>
    </row>
    <row r="207" spans="2:17" x14ac:dyDescent="0.3">
      <c r="B207" s="1"/>
      <c r="C207" s="202">
        <f>IF($K$11=$B$202,(D55*($K$13)/($K$13+$L$13)),0)+IF($L$11=$B$202,(D55*($L$13)/($K$13+$L$13)),0)</f>
        <v>0</v>
      </c>
      <c r="D207" s="203"/>
      <c r="E207" s="203"/>
      <c r="F207" s="203"/>
      <c r="G207" s="188"/>
      <c r="H207" s="188"/>
      <c r="I207" s="188"/>
      <c r="J207" s="188"/>
      <c r="K207" s="188">
        <f t="shared" si="42"/>
        <v>5.8500000000000003E-2</v>
      </c>
      <c r="L207" s="188"/>
      <c r="M207" s="204"/>
      <c r="N207" s="204">
        <f t="shared" si="43"/>
        <v>0</v>
      </c>
      <c r="O207" s="189">
        <f>M207+N207</f>
        <v>0</v>
      </c>
      <c r="P207" s="205"/>
      <c r="Q207" s="165">
        <v>0.1</v>
      </c>
    </row>
    <row r="208" spans="2:17" x14ac:dyDescent="0.3">
      <c r="B208" s="1"/>
      <c r="C208" s="202">
        <f>IF($K$11=$B$202,(D56*($K$13)/($K$13+$L$13)),0)+IF($L$11=$B$202,(D56*($L$13)/($K$13+$L$13)),0)</f>
        <v>0</v>
      </c>
      <c r="D208" s="203"/>
      <c r="E208" s="203"/>
      <c r="F208" s="203"/>
      <c r="G208" s="188"/>
      <c r="H208" s="188"/>
      <c r="I208" s="188"/>
      <c r="J208" s="188"/>
      <c r="K208" s="188">
        <f t="shared" si="42"/>
        <v>6.5000000000000002E-2</v>
      </c>
      <c r="L208" s="188"/>
      <c r="M208" s="204"/>
      <c r="N208" s="204">
        <f t="shared" si="43"/>
        <v>0</v>
      </c>
      <c r="O208" s="189">
        <f>M208+N208</f>
        <v>0</v>
      </c>
      <c r="P208" s="205"/>
      <c r="Q208" s="165">
        <v>0</v>
      </c>
    </row>
    <row r="209" spans="2:17" x14ac:dyDescent="0.3">
      <c r="B209" s="1"/>
      <c r="C209" s="206" t="s">
        <v>135</v>
      </c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8"/>
      <c r="O209" s="209">
        <f>SUM(O205:O208)</f>
        <v>0</v>
      </c>
      <c r="P209" s="1"/>
      <c r="Q209" s="1"/>
    </row>
    <row r="210" spans="2:17" x14ac:dyDescent="0.3">
      <c r="B210" s="102"/>
      <c r="C210" s="102"/>
      <c r="D210" s="102"/>
      <c r="E210" s="102"/>
      <c r="F210" s="102"/>
      <c r="G210" s="102"/>
      <c r="H210" s="113"/>
      <c r="I210" s="113"/>
      <c r="J210" s="114"/>
      <c r="K210" s="114"/>
      <c r="L210" s="114"/>
      <c r="M210" s="103"/>
      <c r="N210" s="103"/>
      <c r="O210" s="115"/>
      <c r="P210" s="1"/>
      <c r="Q210" s="1"/>
    </row>
    <row r="211" spans="2:17" x14ac:dyDescent="0.3">
      <c r="B211" s="102" t="s">
        <v>16</v>
      </c>
      <c r="C211" s="102"/>
      <c r="D211" s="102"/>
      <c r="E211" s="102"/>
      <c r="F211" s="102"/>
      <c r="G211" s="102"/>
      <c r="H211" s="113"/>
      <c r="I211" s="113"/>
      <c r="J211" s="114"/>
      <c r="K211" s="199">
        <f>K172</f>
        <v>9.7949999999999995E-2</v>
      </c>
      <c r="L211" s="200"/>
      <c r="M211" s="103"/>
      <c r="N211" s="103"/>
      <c r="O211" s="115"/>
      <c r="P211" s="1"/>
      <c r="Q211" s="1"/>
    </row>
    <row r="212" spans="2:17" x14ac:dyDescent="0.3">
      <c r="B212" s="1"/>
      <c r="C212" s="162" t="s">
        <v>129</v>
      </c>
      <c r="D212" s="511"/>
      <c r="E212" s="512"/>
      <c r="F212" s="163"/>
      <c r="G212" s="511"/>
      <c r="H212" s="512"/>
      <c r="I212" s="163"/>
      <c r="J212" s="511" t="s">
        <v>32</v>
      </c>
      <c r="K212" s="512"/>
      <c r="L212" s="163"/>
      <c r="M212" s="511" t="s">
        <v>131</v>
      </c>
      <c r="N212" s="512"/>
      <c r="O212" s="164" t="s">
        <v>132</v>
      </c>
      <c r="P212" s="1"/>
      <c r="Q212" s="46"/>
    </row>
    <row r="213" spans="2:17" x14ac:dyDescent="0.3">
      <c r="B213" s="1"/>
      <c r="C213" s="201" t="s">
        <v>133</v>
      </c>
      <c r="D213" s="201"/>
      <c r="E213" s="201"/>
      <c r="F213" s="201"/>
      <c r="G213" s="201" t="s">
        <v>33</v>
      </c>
      <c r="H213" s="201" t="s">
        <v>9</v>
      </c>
      <c r="I213" s="201"/>
      <c r="J213" s="201" t="s">
        <v>33</v>
      </c>
      <c r="K213" s="201" t="s">
        <v>9</v>
      </c>
      <c r="L213" s="201"/>
      <c r="M213" s="201" t="s">
        <v>33</v>
      </c>
      <c r="N213" s="201" t="s">
        <v>9</v>
      </c>
      <c r="O213" s="201" t="s">
        <v>134</v>
      </c>
      <c r="P213" s="1"/>
    </row>
    <row r="214" spans="2:17" x14ac:dyDescent="0.3">
      <c r="B214" s="1"/>
      <c r="C214" s="202">
        <f>IF($K$11=$B$211,(D53*($K$13)/($K$13+$L$13)),0)+IF($L$11=$B$211,(D53*($L$13)/($K$13+$L$13)),0)</f>
        <v>0</v>
      </c>
      <c r="D214" s="203"/>
      <c r="E214" s="203"/>
      <c r="F214" s="203"/>
      <c r="G214" s="188"/>
      <c r="H214" s="188"/>
      <c r="I214" s="188"/>
      <c r="J214" s="188"/>
      <c r="K214" s="188">
        <f>$K$211*(1-Q214)</f>
        <v>3.4282499999999994E-2</v>
      </c>
      <c r="L214" s="188"/>
      <c r="M214" s="204"/>
      <c r="N214" s="204">
        <f>ROUND((C214*K214),2)</f>
        <v>0</v>
      </c>
      <c r="O214" s="189">
        <f>M214+N214</f>
        <v>0</v>
      </c>
      <c r="P214" s="205"/>
      <c r="Q214" s="165">
        <v>0.65</v>
      </c>
    </row>
    <row r="215" spans="2:17" x14ac:dyDescent="0.3">
      <c r="B215" s="1"/>
      <c r="C215" s="202">
        <f>IF($K$11=$B$211,(D54*($K$13)/($K$13+$L$13)),0)+IF($L$11=$B$211,(D54*($L$13)/($K$13+$L$13)),0)</f>
        <v>0</v>
      </c>
      <c r="D215" s="203"/>
      <c r="E215" s="203"/>
      <c r="F215" s="203"/>
      <c r="G215" s="188"/>
      <c r="H215" s="188"/>
      <c r="I215" s="188"/>
      <c r="J215" s="188"/>
      <c r="K215" s="188">
        <f t="shared" ref="K215:K217" si="44">$K$211*(1-Q215)</f>
        <v>5.8769999999999996E-2</v>
      </c>
      <c r="L215" s="188"/>
      <c r="M215" s="204"/>
      <c r="N215" s="204">
        <f t="shared" ref="N215:N217" si="45">ROUND((C215*K215),2)</f>
        <v>0</v>
      </c>
      <c r="O215" s="189">
        <f>M215+N215</f>
        <v>0</v>
      </c>
      <c r="P215" s="205"/>
      <c r="Q215" s="165">
        <v>0.4</v>
      </c>
    </row>
    <row r="216" spans="2:17" x14ac:dyDescent="0.3">
      <c r="B216" s="1"/>
      <c r="C216" s="202">
        <f>IF($K$11=$B$211,(D55*($K$13)/($K$13+$L$13)),0)+IF($L$11=$B$211,(D55*($L$13)/($K$13+$L$13)),0)</f>
        <v>0</v>
      </c>
      <c r="D216" s="203"/>
      <c r="E216" s="203"/>
      <c r="F216" s="203"/>
      <c r="G216" s="188"/>
      <c r="H216" s="188"/>
      <c r="I216" s="188"/>
      <c r="J216" s="188"/>
      <c r="K216" s="188">
        <f t="shared" si="44"/>
        <v>8.8154999999999997E-2</v>
      </c>
      <c r="L216" s="188"/>
      <c r="M216" s="204"/>
      <c r="N216" s="204">
        <f t="shared" si="45"/>
        <v>0</v>
      </c>
      <c r="O216" s="189">
        <f>M216+N216</f>
        <v>0</v>
      </c>
      <c r="P216" s="205"/>
      <c r="Q216" s="165">
        <v>0.1</v>
      </c>
    </row>
    <row r="217" spans="2:17" x14ac:dyDescent="0.3">
      <c r="B217" s="1"/>
      <c r="C217" s="202">
        <f>IF($K$11=$B$211,(D56*($K$13)/($K$13+$L$13)),0)+IF($L$11=$B$211,(D56*($L$13)/($K$13+$L$13)),0)</f>
        <v>0</v>
      </c>
      <c r="D217" s="203"/>
      <c r="E217" s="203"/>
      <c r="F217" s="203"/>
      <c r="G217" s="188"/>
      <c r="H217" s="188"/>
      <c r="I217" s="188"/>
      <c r="J217" s="188"/>
      <c r="K217" s="188">
        <f t="shared" si="44"/>
        <v>9.7949999999999995E-2</v>
      </c>
      <c r="L217" s="188"/>
      <c r="M217" s="204"/>
      <c r="N217" s="204">
        <f t="shared" si="45"/>
        <v>0</v>
      </c>
      <c r="O217" s="189">
        <f>M217+N217</f>
        <v>0</v>
      </c>
      <c r="P217" s="205"/>
      <c r="Q217" s="165">
        <v>0</v>
      </c>
    </row>
    <row r="218" spans="2:17" x14ac:dyDescent="0.3">
      <c r="B218" s="1"/>
      <c r="C218" s="206" t="s">
        <v>135</v>
      </c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8"/>
      <c r="O218" s="209">
        <f>SUM(O214:O217)</f>
        <v>0</v>
      </c>
      <c r="P218" s="1"/>
      <c r="Q218" s="1"/>
    </row>
    <row r="219" spans="2:17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2:17" x14ac:dyDescent="0.3">
      <c r="B220" s="1" t="s">
        <v>17</v>
      </c>
      <c r="C220" s="102"/>
      <c r="D220" s="102"/>
      <c r="E220" s="102"/>
      <c r="F220" s="102"/>
      <c r="G220" s="102"/>
      <c r="H220" s="113"/>
      <c r="I220" s="113"/>
      <c r="J220" s="114"/>
      <c r="K220" s="199">
        <f>K181</f>
        <v>0.14199999999999999</v>
      </c>
      <c r="L220" s="200"/>
      <c r="M220" s="103"/>
      <c r="N220" s="103"/>
      <c r="O220" s="115"/>
      <c r="P220" s="1"/>
      <c r="Q220" s="1"/>
    </row>
    <row r="221" spans="2:17" x14ac:dyDescent="0.3">
      <c r="B221" s="1"/>
      <c r="C221" s="162" t="s">
        <v>129</v>
      </c>
      <c r="D221" s="511"/>
      <c r="E221" s="512"/>
      <c r="F221" s="163"/>
      <c r="G221" s="511"/>
      <c r="H221" s="512"/>
      <c r="I221" s="163"/>
      <c r="J221" s="511" t="s">
        <v>32</v>
      </c>
      <c r="K221" s="512"/>
      <c r="L221" s="163"/>
      <c r="M221" s="511" t="s">
        <v>131</v>
      </c>
      <c r="N221" s="512"/>
      <c r="O221" s="164" t="s">
        <v>132</v>
      </c>
      <c r="P221" s="1"/>
      <c r="Q221" s="46"/>
    </row>
    <row r="222" spans="2:17" x14ac:dyDescent="0.3">
      <c r="B222" s="1"/>
      <c r="C222" s="201" t="s">
        <v>133</v>
      </c>
      <c r="D222" s="201"/>
      <c r="E222" s="201"/>
      <c r="F222" s="201"/>
      <c r="G222" s="201" t="s">
        <v>33</v>
      </c>
      <c r="H222" s="201" t="s">
        <v>9</v>
      </c>
      <c r="I222" s="201"/>
      <c r="J222" s="201" t="s">
        <v>33</v>
      </c>
      <c r="K222" s="201" t="s">
        <v>9</v>
      </c>
      <c r="L222" s="201"/>
      <c r="M222" s="201" t="s">
        <v>33</v>
      </c>
      <c r="N222" s="201" t="s">
        <v>9</v>
      </c>
      <c r="O222" s="201" t="s">
        <v>134</v>
      </c>
      <c r="P222" s="1"/>
    </row>
    <row r="223" spans="2:17" x14ac:dyDescent="0.3">
      <c r="B223" s="1"/>
      <c r="C223" s="202">
        <f>IF($K$11=$B$220,(D53*($K$13)/($K$13+$L$13)),0)+IF($L$11=$B$220,(D53*($L$13)/($K$13+$L$13)),0)</f>
        <v>0</v>
      </c>
      <c r="D223" s="203"/>
      <c r="E223" s="203"/>
      <c r="F223" s="203"/>
      <c r="G223" s="188"/>
      <c r="H223" s="188"/>
      <c r="I223" s="188"/>
      <c r="J223" s="188"/>
      <c r="K223" s="188">
        <f>$K$220*(1-Q223)</f>
        <v>4.9699999999999994E-2</v>
      </c>
      <c r="L223" s="188"/>
      <c r="M223" s="204"/>
      <c r="N223" s="204">
        <f>ROUND((C223*K223),2)</f>
        <v>0</v>
      </c>
      <c r="O223" s="189">
        <f>M223+N223</f>
        <v>0</v>
      </c>
      <c r="P223" s="205"/>
      <c r="Q223" s="165">
        <v>0.65</v>
      </c>
    </row>
    <row r="224" spans="2:17" x14ac:dyDescent="0.3">
      <c r="B224" s="1"/>
      <c r="C224" s="202">
        <f>IF($K$11=$B$220,(D54*($K$13)/($K$13+$L$13)),0)+IF($L$11=$B$220,(D54*($L$13)/($K$13+$L$13)),0)</f>
        <v>0</v>
      </c>
      <c r="D224" s="203"/>
      <c r="E224" s="203"/>
      <c r="F224" s="203"/>
      <c r="G224" s="188"/>
      <c r="H224" s="188"/>
      <c r="I224" s="188"/>
      <c r="J224" s="188"/>
      <c r="K224" s="188">
        <f t="shared" ref="K224:K226" si="46">$K$220*(1-Q224)</f>
        <v>8.5199999999999984E-2</v>
      </c>
      <c r="L224" s="188"/>
      <c r="M224" s="204"/>
      <c r="N224" s="204">
        <f t="shared" ref="N224:N226" si="47">ROUND((C224*K224),2)</f>
        <v>0</v>
      </c>
      <c r="O224" s="189">
        <f>M224+N224</f>
        <v>0</v>
      </c>
      <c r="P224" s="205"/>
      <c r="Q224" s="165">
        <v>0.4</v>
      </c>
    </row>
    <row r="225" spans="2:17" x14ac:dyDescent="0.3">
      <c r="B225" s="1"/>
      <c r="C225" s="202">
        <f>IF($K$11=$B$220,(D55*($K$13)/($K$13+$L$13)),0)+IF($L$11=$B$220,(D55*($L$13)/($K$13+$L$13)),0)</f>
        <v>0</v>
      </c>
      <c r="D225" s="203"/>
      <c r="E225" s="203"/>
      <c r="F225" s="203"/>
      <c r="G225" s="188"/>
      <c r="H225" s="188"/>
      <c r="I225" s="188"/>
      <c r="J225" s="188"/>
      <c r="K225" s="188">
        <f t="shared" si="46"/>
        <v>0.1278</v>
      </c>
      <c r="L225" s="188"/>
      <c r="M225" s="204"/>
      <c r="N225" s="204">
        <f t="shared" si="47"/>
        <v>0</v>
      </c>
      <c r="O225" s="189">
        <f>M225+N225</f>
        <v>0</v>
      </c>
      <c r="P225" s="205"/>
      <c r="Q225" s="165">
        <v>0.1</v>
      </c>
    </row>
    <row r="226" spans="2:17" x14ac:dyDescent="0.3">
      <c r="B226" s="1"/>
      <c r="C226" s="202">
        <f>IF($K$11=$B$220,(D56*($K$13)/($K$13+$L$13)),0)+IF($L$11=$B$220,(D56*($L$13)/($K$13+$L$13)),0)</f>
        <v>0</v>
      </c>
      <c r="D226" s="203"/>
      <c r="E226" s="203"/>
      <c r="F226" s="203"/>
      <c r="G226" s="188"/>
      <c r="H226" s="188"/>
      <c r="I226" s="188"/>
      <c r="J226" s="188"/>
      <c r="K226" s="188">
        <f t="shared" si="46"/>
        <v>0.14199999999999999</v>
      </c>
      <c r="L226" s="188"/>
      <c r="M226" s="204"/>
      <c r="N226" s="204">
        <f t="shared" si="47"/>
        <v>0</v>
      </c>
      <c r="O226" s="189">
        <f>M226+N226</f>
        <v>0</v>
      </c>
      <c r="P226" s="205"/>
      <c r="Q226" s="165">
        <v>0</v>
      </c>
    </row>
    <row r="227" spans="2:17" x14ac:dyDescent="0.3">
      <c r="B227" s="1"/>
      <c r="C227" s="206" t="s">
        <v>135</v>
      </c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8"/>
      <c r="O227" s="209">
        <f>SUM(O223:O226)</f>
        <v>0</v>
      </c>
      <c r="P227" s="1"/>
      <c r="Q227" s="1"/>
    </row>
  </sheetData>
  <mergeCells count="58">
    <mergeCell ref="U4:W4"/>
    <mergeCell ref="X4:Z4"/>
    <mergeCell ref="K10:L10"/>
    <mergeCell ref="B29:H29"/>
    <mergeCell ref="D118:E118"/>
    <mergeCell ref="G118:H118"/>
    <mergeCell ref="J118:K118"/>
    <mergeCell ref="M118:N118"/>
    <mergeCell ref="B4:B5"/>
    <mergeCell ref="C4:E4"/>
    <mergeCell ref="F4:H4"/>
    <mergeCell ref="I4:K4"/>
    <mergeCell ref="Q4:Q5"/>
    <mergeCell ref="R4:T4"/>
    <mergeCell ref="D127:E127"/>
    <mergeCell ref="G127:H127"/>
    <mergeCell ref="J127:K127"/>
    <mergeCell ref="M127:N127"/>
    <mergeCell ref="D136:E136"/>
    <mergeCell ref="G136:H136"/>
    <mergeCell ref="J136:K136"/>
    <mergeCell ref="M136:N136"/>
    <mergeCell ref="D145:E145"/>
    <mergeCell ref="G145:H145"/>
    <mergeCell ref="J145:K145"/>
    <mergeCell ref="M145:N145"/>
    <mergeCell ref="D155:E155"/>
    <mergeCell ref="G155:H155"/>
    <mergeCell ref="J155:K155"/>
    <mergeCell ref="M155:N155"/>
    <mergeCell ref="D164:E164"/>
    <mergeCell ref="G164:H164"/>
    <mergeCell ref="J164:K164"/>
    <mergeCell ref="M164:N164"/>
    <mergeCell ref="D173:E173"/>
    <mergeCell ref="G173:H173"/>
    <mergeCell ref="J173:K173"/>
    <mergeCell ref="M173:N173"/>
    <mergeCell ref="D182:E182"/>
    <mergeCell ref="G182:H182"/>
    <mergeCell ref="J182:K182"/>
    <mergeCell ref="M182:N182"/>
    <mergeCell ref="D194:E194"/>
    <mergeCell ref="G194:H194"/>
    <mergeCell ref="J194:K194"/>
    <mergeCell ref="M194:N194"/>
    <mergeCell ref="D221:E221"/>
    <mergeCell ref="G221:H221"/>
    <mergeCell ref="J221:K221"/>
    <mergeCell ref="M221:N221"/>
    <mergeCell ref="D203:E203"/>
    <mergeCell ref="G203:H203"/>
    <mergeCell ref="J203:K203"/>
    <mergeCell ref="M203:N203"/>
    <mergeCell ref="D212:E212"/>
    <mergeCell ref="G212:H212"/>
    <mergeCell ref="J212:K212"/>
    <mergeCell ref="M212:N212"/>
  </mergeCells>
  <conditionalFormatting sqref="K11:L11">
    <cfRule type="cellIs" dxfId="13" priority="1" operator="equal">
      <formula>"Escassez Hídrica"</formula>
    </cfRule>
    <cfRule type="cellIs" dxfId="12" priority="2" operator="equal">
      <formula>"VERDE"</formula>
    </cfRule>
    <cfRule type="cellIs" dxfId="11" priority="3" operator="equal">
      <formula>"BVM2"</formula>
    </cfRule>
    <cfRule type="cellIs" dxfId="10" priority="4" operator="equal">
      <formula>"BVM1"</formula>
    </cfRule>
    <cfRule type="cellIs" dxfId="9" priority="5" operator="equal">
      <formula>"BAM"</formula>
    </cfRule>
  </conditionalFormatting>
  <conditionalFormatting sqref="M3">
    <cfRule type="cellIs" dxfId="8" priority="16" operator="equal">
      <formula>"VERDE"</formula>
    </cfRule>
    <cfRule type="cellIs" dxfId="7" priority="17" operator="equal">
      <formula>"BVM2"</formula>
    </cfRule>
    <cfRule type="cellIs" dxfId="6" priority="18" operator="equal">
      <formula>"BVM1"</formula>
    </cfRule>
    <cfRule type="cellIs" dxfId="5" priority="19" operator="equal">
      <formula>"BAM"</formula>
    </cfRule>
  </conditionalFormatting>
  <conditionalFormatting sqref="M7">
    <cfRule type="containsText" dxfId="4" priority="7" operator="containsText" text="Escassez Hídrica">
      <formula>NOT(ISERROR(SEARCH("Escassez Hídrica",M7)))</formula>
    </cfRule>
    <cfRule type="cellIs" dxfId="3" priority="8" operator="equal">
      <formula>"VERDE"</formula>
    </cfRule>
    <cfRule type="cellIs" dxfId="2" priority="9" operator="equal">
      <formula>"BVM2"</formula>
    </cfRule>
    <cfRule type="cellIs" dxfId="1" priority="10" operator="equal">
      <formula>"BVM1"</formula>
    </cfRule>
    <cfRule type="cellIs" dxfId="0" priority="11" operator="equal">
      <formula>"BAM"</formula>
    </cfRule>
  </conditionalFormatting>
  <dataValidations disablePrompts="1" count="2">
    <dataValidation type="list" allowBlank="1" showInputMessage="1" showErrorMessage="1" sqref="K11:L11" xr:uid="{EBDFBB8C-5AF2-4946-872C-7C9F0A986BE8}">
      <formula1>$M$3:$M$7</formula1>
    </dataValidation>
    <dataValidation type="list" allowBlank="1" showInputMessage="1" showErrorMessage="1" sqref="D16" xr:uid="{1BCAE4CD-41C1-4727-B81C-76C08CEE79F0}">
      <formula1>$A$16:$A$18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891448F6717847BCC1627ECE39252D" ma:contentTypeVersion="16" ma:contentTypeDescription="Crie um novo documento." ma:contentTypeScope="" ma:versionID="73bcb56c385bf2a5bec6d72fb0244d1e">
  <xsd:schema xmlns:xsd="http://www.w3.org/2001/XMLSchema" xmlns:xs="http://www.w3.org/2001/XMLSchema" xmlns:p="http://schemas.microsoft.com/office/2006/metadata/properties" xmlns:ns1="http://schemas.microsoft.com/sharepoint/v3" xmlns:ns2="dee4fbf6-117c-49a8-8347-1ad6b80523b2" xmlns:ns3="8a069c89-97f4-473c-8adf-a00e29b2cc6b" targetNamespace="http://schemas.microsoft.com/office/2006/metadata/properties" ma:root="true" ma:fieldsID="cab4a2184729188c6730d5972d74cc4a" ns1:_="" ns2:_="" ns3:_="">
    <xsd:import namespace="http://schemas.microsoft.com/sharepoint/v3"/>
    <xsd:import namespace="dee4fbf6-117c-49a8-8347-1ad6b80523b2"/>
    <xsd:import namespace="8a069c89-97f4-473c-8adf-a00e29b2cc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4fbf6-117c-49a8-8347-1ad6b8052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69c89-97f4-473c-8adf-a00e29b2cc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6f367be-cbae-4434-adac-9267ed6ec758}" ma:internalName="TaxCatchAll" ma:showField="CatchAllData" ma:web="8a069c89-97f4-473c-8adf-a00e29b2cc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8a069c89-97f4-473c-8adf-a00e29b2cc6b" xsi:nil="true"/>
    <_ip_UnifiedCompliancePolicyProperties xmlns="http://schemas.microsoft.com/sharepoint/v3" xsi:nil="true"/>
    <lcf76f155ced4ddcb4097134ff3c332f xmlns="dee4fbf6-117c-49a8-8347-1ad6b80523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99B317-A66C-41B0-B6B0-37C6A3C0B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e4fbf6-117c-49a8-8347-1ad6b80523b2"/>
    <ds:schemaRef ds:uri="8a069c89-97f4-473c-8adf-a00e29b2c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899A35-36F2-4772-978B-5A4F4BC0B40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a069c89-97f4-473c-8adf-a00e29b2cc6b"/>
    <ds:schemaRef ds:uri="dee4fbf6-117c-49a8-8347-1ad6b80523b2"/>
  </ds:schemaRefs>
</ds:datastoreItem>
</file>

<file path=customXml/itemProps3.xml><?xml version="1.0" encoding="utf-8"?>
<ds:datastoreItem xmlns:ds="http://schemas.openxmlformats.org/officeDocument/2006/customXml" ds:itemID="{28DD342D-4604-4B98-B90F-DE6932D071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FIO B</vt:lpstr>
      <vt:lpstr>TABELA DE TARIFAS ANTIGAS</vt:lpstr>
      <vt:lpstr>TABELA DE TARIFAS NOVAS</vt:lpstr>
      <vt:lpstr>Fatura B1 (GD) OK</vt:lpstr>
      <vt:lpstr>Fatura B1 BRe (GD)</vt:lpstr>
      <vt:lpstr>B1 Res (GD) Branca OK</vt:lpstr>
      <vt:lpstr>B3 GD Branca OK</vt:lpstr>
      <vt:lpstr>B2 GD Branca OK</vt:lpstr>
      <vt:lpstr>B2 IRR GD Branca SEM MASSA</vt:lpstr>
      <vt:lpstr>V4 MMGD GDII</vt:lpstr>
      <vt:lpstr>A4 MMGD GDII</vt:lpstr>
      <vt:lpstr>Fatura B1 (GD II) (Baixa Re (2)</vt:lpstr>
      <vt:lpstr>'TABELA DE TARIFAS NOVAS'!_Ref352134769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Lombardi</dc:creator>
  <cp:lastModifiedBy>Alex Da Costa Pereira</cp:lastModifiedBy>
  <dcterms:created xsi:type="dcterms:W3CDTF">2022-12-26T17:32:15Z</dcterms:created>
  <dcterms:modified xsi:type="dcterms:W3CDTF">2026-08-06T19:38:38Z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2024-08-04T13:12:39Z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94f1c948-2e1c-4917-a2c0-3295f7539728</vt:lpwstr>
  </property>
  <property fmtid="{D5CDD505-2E9C-101B-9397-08002B2CF9AE}" pid="8" name="MSIP_Label_9811530c-902c-4b75-8616-d6c82cd1332a_ContentBits">
    <vt:lpwstr>0</vt:lpwstr>
  </property>
  <property fmtid="{D5CDD505-2E9C-101B-9397-08002B2CF9AE}" pid="9" name="ContentTypeId">
    <vt:lpwstr>0x010100CA891448F6717847BCC1627ECE39252D</vt:lpwstr>
  </property>
</Properties>
</file>