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coc10.escelsa.br\CGC\CGFA\Faturamento\Gestão Faturamento\15 - Relatório Gerencial - CGC\Arquivos PRT\Processos Tarifarios\2026_RTA_EDP_ES\Planilhas de Validação\EP2\Grupo B\"/>
    </mc:Choice>
  </mc:AlternateContent>
  <xr:revisionPtr revIDLastSave="0" documentId="13_ncr:1_{948F3970-EDC5-4600-9AD0-9D4C942CC368}" xr6:coauthVersionLast="47" xr6:coauthVersionMax="47" xr10:uidLastSave="{00000000-0000-0000-0000-000000000000}"/>
  <bookViews>
    <workbookView xWindow="28692" yWindow="-108" windowWidth="29016" windowHeight="15696" tabRatio="669" firstSheet="4" activeTab="6" xr2:uid="{00000000-000D-0000-FFFF-FFFF00000000}"/>
  </bookViews>
  <sheets>
    <sheet name="Fatura B1 (GD I)" sheetId="9" state="hidden" r:id="rId1"/>
    <sheet name="FIO B" sheetId="22" state="hidden" r:id="rId2"/>
    <sheet name="TABELA DE TARIFAS ANTIGAS" sheetId="23" state="hidden" r:id="rId3"/>
    <sheet name="TABELA DE TARIFAS NOVAS" sheetId="24" state="hidden" r:id="rId4"/>
    <sheet name="Fatura B1 (GD II) OK" sheetId="10" r:id="rId5"/>
    <sheet name="Fatura B2 (GD II) OK" sheetId="11" r:id="rId6"/>
    <sheet name="Fatura B3 (GD II) OK" sheetId="18" r:id="rId7"/>
    <sheet name="Fatura B2 IRRIG (GD II) OK" sheetId="14" r:id="rId8"/>
    <sheet name="Fatura B2 IRRIG (GD II) OK (2)" sheetId="25" r:id="rId9"/>
    <sheet name="Fatura B1 (GD) (Baixa Renda) X" sheetId="13" state="hidden" r:id="rId10"/>
    <sheet name="B1 (Res) GD Branca GDII" sheetId="19" state="hidden" r:id="rId11"/>
    <sheet name="B2 GD Branca GDII" sheetId="20" state="hidden" r:id="rId12"/>
    <sheet name="B3 GD Branca GDII X" sheetId="21" state="hidden" r:id="rId13"/>
    <sheet name="V4 MMGD GDII" sheetId="15" state="hidden" r:id="rId14"/>
    <sheet name="A4 MMGD GDII" sheetId="16" state="hidden" r:id="rId15"/>
    <sheet name="Fatura B1 (GD II) (Baixa Re (2)" sheetId="17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25" l="1"/>
  <c r="E81" i="14"/>
  <c r="E116" i="25" l="1"/>
  <c r="E117" i="25" s="1"/>
  <c r="I105" i="25"/>
  <c r="F89" i="25"/>
  <c r="F94" i="25" s="1"/>
  <c r="D87" i="25"/>
  <c r="D83" i="25"/>
  <c r="D81" i="25"/>
  <c r="F69" i="25"/>
  <c r="F74" i="25" s="1"/>
  <c r="D63" i="25"/>
  <c r="D62" i="25"/>
  <c r="H57" i="25"/>
  <c r="I56" i="25"/>
  <c r="I55" i="25"/>
  <c r="C48" i="25"/>
  <c r="C47" i="25"/>
  <c r="C45" i="25"/>
  <c r="C44" i="25"/>
  <c r="I30" i="25"/>
  <c r="D30" i="25"/>
  <c r="I29" i="25"/>
  <c r="D29" i="25"/>
  <c r="J28" i="25"/>
  <c r="J27" i="25"/>
  <c r="D21" i="25"/>
  <c r="N20" i="25"/>
  <c r="N21" i="25" s="1"/>
  <c r="D20" i="25"/>
  <c r="I19" i="25"/>
  <c r="N18" i="25"/>
  <c r="E112" i="25" s="1"/>
  <c r="M14" i="25"/>
  <c r="J14" i="25"/>
  <c r="L12" i="25"/>
  <c r="K12" i="25"/>
  <c r="D24" i="25" s="1"/>
  <c r="U11" i="25"/>
  <c r="G7" i="25" s="1"/>
  <c r="T11" i="25"/>
  <c r="F7" i="25" s="1"/>
  <c r="H7" i="25" s="1"/>
  <c r="H11" i="25"/>
  <c r="M10" i="25"/>
  <c r="U6" i="25"/>
  <c r="R6" i="25"/>
  <c r="Q6" i="25"/>
  <c r="N6" i="25"/>
  <c r="F68" i="25" s="1"/>
  <c r="G6" i="25"/>
  <c r="G8" i="25" s="1"/>
  <c r="F6" i="25"/>
  <c r="H6" i="25" s="1"/>
  <c r="D6" i="25"/>
  <c r="C6" i="25"/>
  <c r="E6" i="25" s="1"/>
  <c r="N5" i="25"/>
  <c r="F67" i="25" s="1"/>
  <c r="F72" i="25" s="1"/>
  <c r="N4" i="25"/>
  <c r="F66" i="25" s="1"/>
  <c r="F4" i="25"/>
  <c r="U4" i="25" s="1"/>
  <c r="C4" i="25"/>
  <c r="R4" i="25" s="1"/>
  <c r="F2" i="25"/>
  <c r="I57" i="10"/>
  <c r="I58" i="10"/>
  <c r="D41" i="18"/>
  <c r="D40" i="18"/>
  <c r="U6" i="18"/>
  <c r="R6" i="18"/>
  <c r="G6" i="18"/>
  <c r="F6" i="18"/>
  <c r="D6" i="18"/>
  <c r="C6" i="18"/>
  <c r="U6" i="14"/>
  <c r="R6" i="14"/>
  <c r="C48" i="14"/>
  <c r="C47" i="14"/>
  <c r="C45" i="14"/>
  <c r="C44" i="14"/>
  <c r="G6" i="14"/>
  <c r="F6" i="14"/>
  <c r="D6" i="14"/>
  <c r="C6" i="14"/>
  <c r="D41" i="10"/>
  <c r="D40" i="10"/>
  <c r="C41" i="11"/>
  <c r="C40" i="11"/>
  <c r="G6" i="11"/>
  <c r="F6" i="11"/>
  <c r="D6" i="11"/>
  <c r="C6" i="11"/>
  <c r="U6" i="11"/>
  <c r="R6" i="11"/>
  <c r="D88" i="25" l="1"/>
  <c r="D92" i="25"/>
  <c r="D68" i="25"/>
  <c r="H68" i="25" s="1"/>
  <c r="D93" i="25"/>
  <c r="D32" i="25"/>
  <c r="D69" i="25"/>
  <c r="D34" i="25"/>
  <c r="E114" i="25"/>
  <c r="D73" i="25"/>
  <c r="D74" i="25"/>
  <c r="H74" i="25" s="1"/>
  <c r="H79" i="25" s="1"/>
  <c r="K14" i="25"/>
  <c r="D22" i="25" s="1"/>
  <c r="F71" i="25"/>
  <c r="F86" i="25"/>
  <c r="F91" i="25" s="1"/>
  <c r="C122" i="25"/>
  <c r="E113" i="25"/>
  <c r="F73" i="25"/>
  <c r="F88" i="25"/>
  <c r="D14" i="25"/>
  <c r="F87" i="25"/>
  <c r="F92" i="25" s="1"/>
  <c r="H92" i="25" s="1"/>
  <c r="H97" i="25" s="1"/>
  <c r="L14" i="25"/>
  <c r="N19" i="25"/>
  <c r="H69" i="25"/>
  <c r="C14" i="25"/>
  <c r="D23" i="25"/>
  <c r="D33" i="25"/>
  <c r="D67" i="25"/>
  <c r="D72" i="25"/>
  <c r="H72" i="25" s="1"/>
  <c r="H77" i="25" s="1"/>
  <c r="D25" i="25"/>
  <c r="D89" i="25"/>
  <c r="D94" i="25"/>
  <c r="H94" i="25" s="1"/>
  <c r="H99" i="25" s="1"/>
  <c r="U6" i="10"/>
  <c r="R6" i="10"/>
  <c r="E115" i="25" l="1"/>
  <c r="C123" i="25"/>
  <c r="J66" i="25"/>
  <c r="K25" i="25" s="1"/>
  <c r="D31" i="25"/>
  <c r="D86" i="25"/>
  <c r="H86" i="25" s="1"/>
  <c r="E125" i="25"/>
  <c r="F122" i="25"/>
  <c r="C128" i="25"/>
  <c r="H89" i="25"/>
  <c r="J87" i="25"/>
  <c r="K34" i="25" s="1"/>
  <c r="I6" i="25"/>
  <c r="J8" i="25"/>
  <c r="J7" i="25"/>
  <c r="I7" i="25"/>
  <c r="D91" i="25"/>
  <c r="H91" i="25" s="1"/>
  <c r="H96" i="25" s="1"/>
  <c r="G25" i="25"/>
  <c r="H25" i="25"/>
  <c r="J25" i="25" s="1"/>
  <c r="D66" i="25"/>
  <c r="X6" i="25"/>
  <c r="J64" i="25"/>
  <c r="K23" i="25" s="1"/>
  <c r="G23" i="25" s="1"/>
  <c r="H67" i="25"/>
  <c r="E83" i="25"/>
  <c r="J6" i="25"/>
  <c r="D71" i="25"/>
  <c r="H71" i="25" s="1"/>
  <c r="H76" i="25" s="1"/>
  <c r="H87" i="25"/>
  <c r="J85" i="25"/>
  <c r="K32" i="25" s="1"/>
  <c r="F93" i="25"/>
  <c r="H93" i="25" s="1"/>
  <c r="H98" i="25" s="1"/>
  <c r="J86" i="25"/>
  <c r="K33" i="25" s="1"/>
  <c r="H33" i="25" s="1"/>
  <c r="J33" i="25" s="1"/>
  <c r="H73" i="25"/>
  <c r="H78" i="25" s="1"/>
  <c r="J65" i="25"/>
  <c r="K24" i="25" s="1"/>
  <c r="H88" i="25"/>
  <c r="U11" i="10"/>
  <c r="U11" i="18" s="1"/>
  <c r="T11" i="10"/>
  <c r="T11" i="18" s="1"/>
  <c r="I50" i="18"/>
  <c r="I49" i="18"/>
  <c r="I56" i="14"/>
  <c r="I55" i="14"/>
  <c r="I56" i="11"/>
  <c r="I55" i="11"/>
  <c r="F2" i="18"/>
  <c r="Q6" i="18"/>
  <c r="Q6" i="14"/>
  <c r="Q6" i="11"/>
  <c r="F123" i="25" l="1"/>
  <c r="C129" i="25"/>
  <c r="F129" i="25" s="1"/>
  <c r="E25" i="25"/>
  <c r="F25" i="25" s="1"/>
  <c r="J84" i="25"/>
  <c r="K31" i="25" s="1"/>
  <c r="H31" i="25" s="1"/>
  <c r="J31" i="25" s="1"/>
  <c r="H23" i="25"/>
  <c r="J23" i="25" s="1"/>
  <c r="E23" i="25" s="1"/>
  <c r="F23" i="25" s="1"/>
  <c r="G33" i="25"/>
  <c r="E33" i="25" s="1"/>
  <c r="F33" i="25" s="1"/>
  <c r="G31" i="25"/>
  <c r="E31" i="25" s="1"/>
  <c r="F31" i="25" s="1"/>
  <c r="F62" i="25"/>
  <c r="K20" i="25"/>
  <c r="R19" i="25"/>
  <c r="S19" i="25" s="1"/>
  <c r="S20" i="25" s="1"/>
  <c r="R18" i="25"/>
  <c r="S18" i="25" s="1"/>
  <c r="J63" i="25"/>
  <c r="K22" i="25" s="1"/>
  <c r="H66" i="25"/>
  <c r="F128" i="25"/>
  <c r="G32" i="25"/>
  <c r="H32" i="25"/>
  <c r="J32" i="25" s="1"/>
  <c r="H24" i="25"/>
  <c r="J24" i="25" s="1"/>
  <c r="G24" i="25"/>
  <c r="K7" i="25"/>
  <c r="D48" i="25"/>
  <c r="D44" i="25"/>
  <c r="D45" i="25"/>
  <c r="D47" i="25"/>
  <c r="E47" i="25"/>
  <c r="E48" i="25"/>
  <c r="E44" i="25"/>
  <c r="E45" i="25"/>
  <c r="K6" i="25"/>
  <c r="K18" i="25"/>
  <c r="E62" i="25"/>
  <c r="K28" i="25"/>
  <c r="H34" i="25"/>
  <c r="J34" i="25" s="1"/>
  <c r="G34" i="25"/>
  <c r="U11" i="11"/>
  <c r="T11" i="14"/>
  <c r="F7" i="14" s="1"/>
  <c r="T11" i="11"/>
  <c r="U11" i="14"/>
  <c r="G7" i="14" s="1"/>
  <c r="N20" i="11"/>
  <c r="F4" i="18"/>
  <c r="C4" i="18"/>
  <c r="F4" i="14"/>
  <c r="C4" i="14"/>
  <c r="F4" i="11"/>
  <c r="C4" i="11"/>
  <c r="E24" i="25" l="1"/>
  <c r="F24" i="25" s="1"/>
  <c r="E32" i="25"/>
  <c r="F32" i="25" s="1"/>
  <c r="E34" i="25"/>
  <c r="F34" i="25" s="1"/>
  <c r="F63" i="25"/>
  <c r="F81" i="25"/>
  <c r="H81" i="25" s="1"/>
  <c r="F45" i="25"/>
  <c r="F46" i="25" s="1"/>
  <c r="F44" i="25"/>
  <c r="F48" i="25"/>
  <c r="F49" i="25" s="1"/>
  <c r="S21" i="25"/>
  <c r="K21" i="25"/>
  <c r="K30" i="25"/>
  <c r="H20" i="25"/>
  <c r="J20" i="25" s="1"/>
  <c r="G20" i="25"/>
  <c r="F47" i="25"/>
  <c r="G22" i="25"/>
  <c r="H22" i="25"/>
  <c r="J22" i="25" s="1"/>
  <c r="E63" i="25"/>
  <c r="G62" i="25"/>
  <c r="G63" i="25" s="1"/>
  <c r="H62" i="25"/>
  <c r="K19" i="25"/>
  <c r="H18" i="25"/>
  <c r="G18" i="25"/>
  <c r="K50" i="18"/>
  <c r="K49" i="18"/>
  <c r="G7" i="18"/>
  <c r="F7" i="18"/>
  <c r="G7" i="11"/>
  <c r="F7" i="11"/>
  <c r="D7" i="11"/>
  <c r="C7" i="11"/>
  <c r="H6" i="11"/>
  <c r="G6" i="10"/>
  <c r="F6" i="10"/>
  <c r="D6" i="10"/>
  <c r="C6" i="10"/>
  <c r="E22" i="25" l="1"/>
  <c r="F22" i="25" s="1"/>
  <c r="E20" i="25"/>
  <c r="F20" i="25" s="1"/>
  <c r="G21" i="25"/>
  <c r="H21" i="25"/>
  <c r="J21" i="25" s="1"/>
  <c r="K27" i="25"/>
  <c r="G28" i="25"/>
  <c r="E28" i="25" s="1"/>
  <c r="F28" i="25" s="1"/>
  <c r="F83" i="25"/>
  <c r="H83" i="25" s="1"/>
  <c r="H84" i="25" s="1"/>
  <c r="D117" i="25"/>
  <c r="H117" i="25" s="1"/>
  <c r="G81" i="25"/>
  <c r="G83" i="25" s="1"/>
  <c r="J18" i="25"/>
  <c r="H19" i="25"/>
  <c r="J19" i="25" s="1"/>
  <c r="G19" i="25"/>
  <c r="E19" i="25" s="1"/>
  <c r="F19" i="25" s="1"/>
  <c r="K29" i="25"/>
  <c r="H30" i="25"/>
  <c r="J30" i="25" s="1"/>
  <c r="G30" i="25"/>
  <c r="H63" i="25"/>
  <c r="H64" i="25" s="1"/>
  <c r="F50" i="25"/>
  <c r="E7" i="11"/>
  <c r="H6" i="14"/>
  <c r="E6" i="18"/>
  <c r="H6" i="18"/>
  <c r="H7" i="18"/>
  <c r="E6" i="14"/>
  <c r="E6" i="11"/>
  <c r="H7" i="11"/>
  <c r="E30" i="25" l="1"/>
  <c r="F30" i="25" s="1"/>
  <c r="H124" i="25"/>
  <c r="D124" i="25" s="1"/>
  <c r="G124" i="25" s="1"/>
  <c r="D122" i="25"/>
  <c r="D123" i="25" s="1"/>
  <c r="G123" i="25" s="1"/>
  <c r="D112" i="25"/>
  <c r="D114" i="25" s="1"/>
  <c r="H114" i="25" s="1"/>
  <c r="D128" i="25"/>
  <c r="G128" i="25" s="1"/>
  <c r="D113" i="25"/>
  <c r="M19" i="25" s="1"/>
  <c r="H29" i="25"/>
  <c r="G29" i="25"/>
  <c r="E21" i="25"/>
  <c r="F21" i="25" s="1"/>
  <c r="E18" i="25"/>
  <c r="F18" i="25" s="1"/>
  <c r="H130" i="25"/>
  <c r="H109" i="25"/>
  <c r="G27" i="25"/>
  <c r="F52" i="25"/>
  <c r="H6" i="10"/>
  <c r="E6" i="10"/>
  <c r="H113" i="25" l="1"/>
  <c r="D115" i="25"/>
  <c r="H115" i="25" s="1"/>
  <c r="D129" i="25"/>
  <c r="G129" i="25" s="1"/>
  <c r="G122" i="25"/>
  <c r="G42" i="25"/>
  <c r="I124" i="25"/>
  <c r="D116" i="25"/>
  <c r="H116" i="25" s="1"/>
  <c r="H112" i="25"/>
  <c r="M18" i="25"/>
  <c r="M20" i="25" s="1"/>
  <c r="O20" i="25" s="1"/>
  <c r="J29" i="25"/>
  <c r="H42" i="25"/>
  <c r="I130" i="25"/>
  <c r="D130" i="25"/>
  <c r="G130" i="25" s="1"/>
  <c r="M21" i="25"/>
  <c r="O21" i="25" s="1"/>
  <c r="O19" i="25"/>
  <c r="E27" i="25"/>
  <c r="F27" i="25" s="1"/>
  <c r="D62" i="18"/>
  <c r="D68" i="11"/>
  <c r="D62" i="10"/>
  <c r="D19" i="11"/>
  <c r="D55" i="18"/>
  <c r="F60" i="18"/>
  <c r="F67" i="18" s="1"/>
  <c r="E87" i="11"/>
  <c r="H60" i="25" l="1"/>
  <c r="O18" i="25"/>
  <c r="J42" i="25"/>
  <c r="E29" i="25"/>
  <c r="F29" i="25" s="1"/>
  <c r="F42" i="25" s="1"/>
  <c r="D83" i="18"/>
  <c r="E73" i="10" l="1"/>
  <c r="E71" i="10"/>
  <c r="E84" i="11"/>
  <c r="E85" i="11" s="1"/>
  <c r="N18" i="11"/>
  <c r="E82" i="11" s="1"/>
  <c r="E83" i="11" l="1"/>
  <c r="K12" i="11"/>
  <c r="H57" i="14"/>
  <c r="D26" i="10" l="1"/>
  <c r="D57" i="10" s="1"/>
  <c r="L12" i="18"/>
  <c r="K12" i="18"/>
  <c r="L12" i="14"/>
  <c r="K12" i="14"/>
  <c r="L12" i="11"/>
  <c r="E116" i="14"/>
  <c r="N20" i="14"/>
  <c r="N21" i="14" s="1"/>
  <c r="N18" i="14"/>
  <c r="E112" i="14" s="1"/>
  <c r="D83" i="14"/>
  <c r="D81" i="14"/>
  <c r="D63" i="14"/>
  <c r="D62" i="14"/>
  <c r="D30" i="14"/>
  <c r="I29" i="14"/>
  <c r="D29" i="14"/>
  <c r="J28" i="14"/>
  <c r="J27" i="14"/>
  <c r="D21" i="14"/>
  <c r="D20" i="14"/>
  <c r="I19" i="14"/>
  <c r="I30" i="14" s="1"/>
  <c r="N20" i="18"/>
  <c r="E78" i="18" s="1"/>
  <c r="E79" i="18" s="1"/>
  <c r="N18" i="18"/>
  <c r="E76" i="18" s="1"/>
  <c r="K23" i="18"/>
  <c r="K30" i="18" s="1"/>
  <c r="I26" i="18"/>
  <c r="D26" i="18"/>
  <c r="J25" i="18"/>
  <c r="D19" i="18"/>
  <c r="K23" i="11"/>
  <c r="K30" i="11" s="1"/>
  <c r="D61" i="11"/>
  <c r="D89" i="11" s="1"/>
  <c r="I26" i="11"/>
  <c r="D26" i="11"/>
  <c r="J25" i="11"/>
  <c r="D30" i="10"/>
  <c r="J25" i="10"/>
  <c r="D23" i="10"/>
  <c r="K30" i="10"/>
  <c r="K23" i="10"/>
  <c r="D50" i="10"/>
  <c r="I26" i="10"/>
  <c r="N21" i="10"/>
  <c r="N19" i="10"/>
  <c r="D19" i="10"/>
  <c r="D67" i="18" l="1"/>
  <c r="H67" i="18" s="1"/>
  <c r="E77" i="18"/>
  <c r="D60" i="18"/>
  <c r="H60" i="18" s="1"/>
  <c r="D73" i="11"/>
  <c r="D71" i="11"/>
  <c r="D72" i="11"/>
  <c r="D78" i="10"/>
  <c r="G23" i="10"/>
  <c r="N19" i="18"/>
  <c r="N21" i="18"/>
  <c r="N19" i="11"/>
  <c r="C46" i="11"/>
  <c r="N21" i="11"/>
  <c r="C47" i="11"/>
  <c r="F47" i="11" s="1"/>
  <c r="E114" i="14"/>
  <c r="H30" i="10"/>
  <c r="J30" i="10" s="1"/>
  <c r="H23" i="10"/>
  <c r="J23" i="10" s="1"/>
  <c r="D23" i="18"/>
  <c r="H23" i="18" s="1"/>
  <c r="J23" i="18" s="1"/>
  <c r="D30" i="18"/>
  <c r="D69" i="14"/>
  <c r="D25" i="14"/>
  <c r="D34" i="14"/>
  <c r="D23" i="11"/>
  <c r="D30" i="11"/>
  <c r="N19" i="14"/>
  <c r="H30" i="18" l="1"/>
  <c r="J30" i="18" s="1"/>
  <c r="H30" i="11"/>
  <c r="J30" i="11" s="1"/>
  <c r="H23" i="11"/>
  <c r="J23" i="11" s="1"/>
  <c r="E49" i="11"/>
  <c r="F46" i="11"/>
  <c r="G23" i="18"/>
  <c r="G30" i="18"/>
  <c r="G23" i="11"/>
  <c r="G30" i="11"/>
  <c r="K64" i="11" l="1"/>
  <c r="J64" i="11"/>
  <c r="U13" i="21" l="1"/>
  <c r="T13" i="21"/>
  <c r="U8" i="21"/>
  <c r="R8" i="21"/>
  <c r="U7" i="21"/>
  <c r="R7" i="21"/>
  <c r="U6" i="21"/>
  <c r="R6" i="21"/>
  <c r="N6" i="21"/>
  <c r="N5" i="21"/>
  <c r="N4" i="21"/>
  <c r="F42" i="21" s="1"/>
  <c r="N3" i="21"/>
  <c r="G9" i="21"/>
  <c r="F9" i="21"/>
  <c r="H9" i="21" s="1"/>
  <c r="D9" i="21"/>
  <c r="C9" i="21"/>
  <c r="G8" i="21"/>
  <c r="F8" i="21"/>
  <c r="D8" i="21"/>
  <c r="C8" i="21"/>
  <c r="G7" i="21"/>
  <c r="F7" i="21"/>
  <c r="D7" i="21"/>
  <c r="C7" i="21"/>
  <c r="G6" i="21"/>
  <c r="F6" i="21"/>
  <c r="H6" i="21" s="1"/>
  <c r="D6" i="21"/>
  <c r="C6" i="21"/>
  <c r="U13" i="20"/>
  <c r="G9" i="20" s="1"/>
  <c r="T13" i="20"/>
  <c r="F9" i="20" s="1"/>
  <c r="H9" i="20" s="1"/>
  <c r="U8" i="20"/>
  <c r="R8" i="20"/>
  <c r="U7" i="20"/>
  <c r="R7" i="20"/>
  <c r="U6" i="20"/>
  <c r="R6" i="20"/>
  <c r="N6" i="20"/>
  <c r="N5" i="20"/>
  <c r="N4" i="20"/>
  <c r="N3" i="20"/>
  <c r="D9" i="20"/>
  <c r="C9" i="20"/>
  <c r="G8" i="20"/>
  <c r="F8" i="20"/>
  <c r="D8" i="20"/>
  <c r="C8" i="20"/>
  <c r="G7" i="20"/>
  <c r="F7" i="20"/>
  <c r="D7" i="20"/>
  <c r="C7" i="20"/>
  <c r="G6" i="20"/>
  <c r="F6" i="20"/>
  <c r="D6" i="20"/>
  <c r="C6" i="20"/>
  <c r="U13" i="19"/>
  <c r="T13" i="19"/>
  <c r="U8" i="19"/>
  <c r="R8" i="19"/>
  <c r="U7" i="19"/>
  <c r="R7" i="19"/>
  <c r="U6" i="19"/>
  <c r="R6" i="19"/>
  <c r="N6" i="19"/>
  <c r="N5" i="19"/>
  <c r="N4" i="19"/>
  <c r="G9" i="19"/>
  <c r="F9" i="19"/>
  <c r="G8" i="19"/>
  <c r="F8" i="19"/>
  <c r="D8" i="19"/>
  <c r="C8" i="19"/>
  <c r="G7" i="19"/>
  <c r="F7" i="19"/>
  <c r="D7" i="19"/>
  <c r="C7" i="19"/>
  <c r="G6" i="19"/>
  <c r="F6" i="19"/>
  <c r="D6" i="19"/>
  <c r="C6" i="19"/>
  <c r="U11" i="13"/>
  <c r="T11" i="13"/>
  <c r="F7" i="13" s="1"/>
  <c r="H7" i="13" s="1"/>
  <c r="U6" i="13"/>
  <c r="R6" i="13"/>
  <c r="N6" i="13"/>
  <c r="N5" i="13"/>
  <c r="N4" i="13"/>
  <c r="G7" i="13"/>
  <c r="D7" i="13"/>
  <c r="C7" i="13"/>
  <c r="E7" i="13" s="1"/>
  <c r="G6" i="13"/>
  <c r="F6" i="13"/>
  <c r="D6" i="13"/>
  <c r="C6" i="13"/>
  <c r="N6" i="18"/>
  <c r="N5" i="18"/>
  <c r="N4" i="18"/>
  <c r="N6" i="14"/>
  <c r="N5" i="14"/>
  <c r="N4" i="14"/>
  <c r="G8" i="11"/>
  <c r="F8" i="11"/>
  <c r="N6" i="11"/>
  <c r="K22" i="11" s="1"/>
  <c r="K29" i="11" s="1"/>
  <c r="N5" i="11"/>
  <c r="K21" i="11" s="1"/>
  <c r="N4" i="11"/>
  <c r="K20" i="11" s="1"/>
  <c r="K27" i="11" s="1"/>
  <c r="H8" i="11" l="1"/>
  <c r="K20" i="18"/>
  <c r="K27" i="18" s="1"/>
  <c r="F57" i="18"/>
  <c r="K21" i="18"/>
  <c r="K28" i="18" s="1"/>
  <c r="F58" i="18"/>
  <c r="K22" i="18"/>
  <c r="K29" i="18" s="1"/>
  <c r="F59" i="18"/>
  <c r="H8" i="20"/>
  <c r="E8" i="21"/>
  <c r="E6" i="13"/>
  <c r="K28" i="11"/>
  <c r="E6" i="21"/>
  <c r="E7" i="20"/>
  <c r="H6" i="13"/>
  <c r="E6" i="19"/>
  <c r="H6" i="19"/>
  <c r="E8" i="20"/>
  <c r="H7" i="21"/>
  <c r="E7" i="21"/>
  <c r="H8" i="19"/>
  <c r="E6" i="20"/>
  <c r="E7" i="19"/>
  <c r="H7" i="19"/>
  <c r="E9" i="20"/>
  <c r="H8" i="21"/>
  <c r="H6" i="20"/>
  <c r="E9" i="21"/>
  <c r="E8" i="19"/>
  <c r="H7" i="20"/>
  <c r="H9" i="19"/>
  <c r="F66" i="18" l="1"/>
  <c r="F65" i="18"/>
  <c r="F64" i="18"/>
  <c r="N6" i="10"/>
  <c r="N5" i="10"/>
  <c r="N4" i="10"/>
  <c r="F7" i="10" l="1"/>
  <c r="G7" i="10"/>
  <c r="K20" i="10"/>
  <c r="K27" i="10"/>
  <c r="K21" i="10"/>
  <c r="K28" i="10"/>
  <c r="K29" i="10"/>
  <c r="K22" i="10"/>
  <c r="F55" i="10"/>
  <c r="E40" i="20"/>
  <c r="E39" i="20"/>
  <c r="E38" i="20"/>
  <c r="E40" i="19"/>
  <c r="E39" i="19"/>
  <c r="E38" i="19"/>
  <c r="H7" i="10" l="1"/>
  <c r="F4" i="21"/>
  <c r="F4" i="20"/>
  <c r="F4" i="19"/>
  <c r="F4" i="13"/>
  <c r="H7" i="14"/>
  <c r="U10" i="13"/>
  <c r="U12" i="19"/>
  <c r="U12" i="20"/>
  <c r="U12" i="21" l="1"/>
  <c r="D53" i="21" l="1"/>
  <c r="F45" i="21"/>
  <c r="D45" i="21"/>
  <c r="F44" i="21"/>
  <c r="D44" i="21"/>
  <c r="H44" i="21" s="1"/>
  <c r="F43" i="21"/>
  <c r="D43" i="21"/>
  <c r="H43" i="21" s="1"/>
  <c r="F36" i="21"/>
  <c r="D36" i="21"/>
  <c r="H36" i="21" s="1"/>
  <c r="F35" i="21"/>
  <c r="D35" i="21"/>
  <c r="F34" i="21"/>
  <c r="D34" i="21"/>
  <c r="F33" i="21"/>
  <c r="M15" i="21"/>
  <c r="J15" i="21"/>
  <c r="D15" i="21"/>
  <c r="C15" i="21"/>
  <c r="H12" i="21"/>
  <c r="M11" i="21"/>
  <c r="K15" i="21" s="1"/>
  <c r="Q8" i="21"/>
  <c r="Q7" i="21"/>
  <c r="Q6" i="21"/>
  <c r="U4" i="21"/>
  <c r="R4" i="21"/>
  <c r="D102" i="20"/>
  <c r="D53" i="20"/>
  <c r="F45" i="20"/>
  <c r="D45" i="20"/>
  <c r="H45" i="20" s="1"/>
  <c r="F44" i="20"/>
  <c r="H44" i="20" s="1"/>
  <c r="D44" i="20"/>
  <c r="F43" i="20"/>
  <c r="D43" i="20"/>
  <c r="H43" i="20" s="1"/>
  <c r="F42" i="20"/>
  <c r="D42" i="20"/>
  <c r="H42" i="20" s="1"/>
  <c r="F36" i="20"/>
  <c r="D36" i="20"/>
  <c r="H36" i="20" s="1"/>
  <c r="F35" i="20"/>
  <c r="H35" i="20" s="1"/>
  <c r="D35" i="20"/>
  <c r="F34" i="20"/>
  <c r="D34" i="20"/>
  <c r="F33" i="20"/>
  <c r="D33" i="20"/>
  <c r="M15" i="20"/>
  <c r="J15" i="20"/>
  <c r="D15" i="20"/>
  <c r="C15" i="20"/>
  <c r="H12" i="20"/>
  <c r="M11" i="20"/>
  <c r="K15" i="20" s="1"/>
  <c r="Q8" i="20"/>
  <c r="Q7" i="20"/>
  <c r="Q6" i="20"/>
  <c r="J6" i="20"/>
  <c r="F29" i="20" s="1"/>
  <c r="F38" i="20" s="1"/>
  <c r="U4" i="20"/>
  <c r="R4" i="20"/>
  <c r="E40" i="21" l="1"/>
  <c r="E39" i="21"/>
  <c r="E38" i="21"/>
  <c r="G103" i="21"/>
  <c r="X6" i="21"/>
  <c r="R29" i="21" s="1"/>
  <c r="S29" i="21" s="1"/>
  <c r="X7" i="21"/>
  <c r="R30" i="21" s="1"/>
  <c r="S30" i="21" s="1"/>
  <c r="X8" i="21"/>
  <c r="R31" i="21" s="1"/>
  <c r="S31" i="21" s="1"/>
  <c r="H34" i="21"/>
  <c r="G103" i="20"/>
  <c r="X6" i="20"/>
  <c r="X7" i="20"/>
  <c r="X8" i="20"/>
  <c r="H35" i="21"/>
  <c r="H33" i="20"/>
  <c r="H34" i="20"/>
  <c r="D98" i="21"/>
  <c r="E98" i="21"/>
  <c r="E95" i="21"/>
  <c r="D100" i="21"/>
  <c r="G95" i="21"/>
  <c r="E100" i="21"/>
  <c r="I7" i="21"/>
  <c r="E30" i="21" s="1"/>
  <c r="U30" i="21" s="1"/>
  <c r="L15" i="21"/>
  <c r="D33" i="21" s="1"/>
  <c r="H33" i="21" s="1"/>
  <c r="D96" i="21"/>
  <c r="D102" i="21"/>
  <c r="E96" i="21"/>
  <c r="E102" i="21"/>
  <c r="I6" i="21"/>
  <c r="E29" i="21" s="1"/>
  <c r="U29" i="21" s="1"/>
  <c r="J6" i="21"/>
  <c r="F29" i="21" s="1"/>
  <c r="F38" i="21" s="1"/>
  <c r="E97" i="21"/>
  <c r="H45" i="21"/>
  <c r="G97" i="21"/>
  <c r="J8" i="20"/>
  <c r="F31" i="20" s="1"/>
  <c r="F40" i="20" s="1"/>
  <c r="J7" i="20"/>
  <c r="F30" i="20" s="1"/>
  <c r="F39" i="20" s="1"/>
  <c r="D96" i="20"/>
  <c r="I7" i="20"/>
  <c r="D98" i="20"/>
  <c r="L15" i="20"/>
  <c r="D100" i="20"/>
  <c r="R29" i="20"/>
  <c r="S29" i="20" s="1"/>
  <c r="R31" i="20"/>
  <c r="S31" i="20" s="1"/>
  <c r="R30" i="20"/>
  <c r="S30" i="20" s="1"/>
  <c r="I9" i="21"/>
  <c r="F96" i="21"/>
  <c r="F98" i="21"/>
  <c r="F100" i="21"/>
  <c r="F102" i="21"/>
  <c r="J7" i="21"/>
  <c r="F30" i="21" s="1"/>
  <c r="F39" i="21" s="1"/>
  <c r="I8" i="21"/>
  <c r="G96" i="21"/>
  <c r="G98" i="21"/>
  <c r="G100" i="21"/>
  <c r="G102" i="21"/>
  <c r="J8" i="21"/>
  <c r="F31" i="21" s="1"/>
  <c r="F40" i="21" s="1"/>
  <c r="D95" i="21"/>
  <c r="D97" i="21"/>
  <c r="D99" i="21"/>
  <c r="D101" i="21"/>
  <c r="D103" i="21"/>
  <c r="E99" i="21"/>
  <c r="E101" i="21"/>
  <c r="E103" i="21"/>
  <c r="J9" i="21"/>
  <c r="F53" i="21" s="1"/>
  <c r="F95" i="21"/>
  <c r="F97" i="21"/>
  <c r="F99" i="21"/>
  <c r="F101" i="21"/>
  <c r="F103" i="21"/>
  <c r="G99" i="21"/>
  <c r="G101" i="21"/>
  <c r="E30" i="20"/>
  <c r="I6" i="20"/>
  <c r="E96" i="20"/>
  <c r="E98" i="20"/>
  <c r="E100" i="20"/>
  <c r="E102" i="20"/>
  <c r="I8" i="20"/>
  <c r="G96" i="20"/>
  <c r="G98" i="20"/>
  <c r="G100" i="20"/>
  <c r="G102" i="20"/>
  <c r="D95" i="20"/>
  <c r="D97" i="20"/>
  <c r="D99" i="20"/>
  <c r="D101" i="20"/>
  <c r="D103" i="20"/>
  <c r="I9" i="20"/>
  <c r="E95" i="20"/>
  <c r="E97" i="20"/>
  <c r="E99" i="20"/>
  <c r="E101" i="20"/>
  <c r="E103" i="20"/>
  <c r="J9" i="20"/>
  <c r="F53" i="20" s="1"/>
  <c r="F95" i="20"/>
  <c r="F97" i="20"/>
  <c r="F99" i="20"/>
  <c r="F101" i="20"/>
  <c r="F103" i="20"/>
  <c r="F96" i="20"/>
  <c r="F98" i="20"/>
  <c r="F100" i="20"/>
  <c r="F102" i="20"/>
  <c r="G95" i="20"/>
  <c r="G97" i="20"/>
  <c r="G99" i="20"/>
  <c r="G101" i="20"/>
  <c r="D53" i="19"/>
  <c r="D45" i="19"/>
  <c r="H45" i="19" s="1"/>
  <c r="D44" i="19"/>
  <c r="D43" i="19"/>
  <c r="D42" i="19"/>
  <c r="D34" i="19"/>
  <c r="D33" i="19"/>
  <c r="F45" i="19"/>
  <c r="F44" i="19"/>
  <c r="F43" i="19"/>
  <c r="F42" i="19"/>
  <c r="F36" i="19"/>
  <c r="D36" i="19"/>
  <c r="F35" i="19"/>
  <c r="D35" i="19"/>
  <c r="F34" i="19"/>
  <c r="F33" i="19"/>
  <c r="M15" i="19"/>
  <c r="J15" i="19"/>
  <c r="D15" i="19"/>
  <c r="C15" i="19"/>
  <c r="H12" i="19"/>
  <c r="M11" i="19"/>
  <c r="K15" i="19" s="1"/>
  <c r="Q8" i="19"/>
  <c r="Q7" i="19"/>
  <c r="Q6" i="19"/>
  <c r="U4" i="19"/>
  <c r="R4" i="19"/>
  <c r="D42" i="21" l="1"/>
  <c r="H42" i="21" s="1"/>
  <c r="H35" i="19"/>
  <c r="H34" i="19"/>
  <c r="G103" i="19"/>
  <c r="X6" i="19"/>
  <c r="X7" i="19"/>
  <c r="X8" i="19"/>
  <c r="S32" i="21"/>
  <c r="K7" i="20"/>
  <c r="H33" i="19"/>
  <c r="K6" i="21"/>
  <c r="G29" i="21"/>
  <c r="H29" i="21"/>
  <c r="H42" i="19"/>
  <c r="S32" i="20"/>
  <c r="G30" i="21"/>
  <c r="H30" i="21"/>
  <c r="E31" i="21"/>
  <c r="K8" i="21"/>
  <c r="K7" i="21"/>
  <c r="H39" i="21"/>
  <c r="G39" i="21"/>
  <c r="K9" i="21"/>
  <c r="E53" i="21"/>
  <c r="H53" i="21" s="1"/>
  <c r="H38" i="21"/>
  <c r="G38" i="21"/>
  <c r="K6" i="20"/>
  <c r="E29" i="20"/>
  <c r="K9" i="20"/>
  <c r="E53" i="20"/>
  <c r="H53" i="20" s="1"/>
  <c r="G30" i="20"/>
  <c r="U30" i="20"/>
  <c r="H30" i="20"/>
  <c r="E31" i="20"/>
  <c r="K8" i="20"/>
  <c r="H44" i="19"/>
  <c r="E100" i="19"/>
  <c r="J6" i="19"/>
  <c r="F29" i="19" s="1"/>
  <c r="F38" i="19" s="1"/>
  <c r="D102" i="19"/>
  <c r="I6" i="19"/>
  <c r="H43" i="19"/>
  <c r="E102" i="19"/>
  <c r="H36" i="19"/>
  <c r="R29" i="19"/>
  <c r="S29" i="19" s="1"/>
  <c r="L15" i="19"/>
  <c r="J7" i="19"/>
  <c r="F30" i="19" s="1"/>
  <c r="F39" i="19" s="1"/>
  <c r="D96" i="19"/>
  <c r="R30" i="19"/>
  <c r="S30" i="19" s="1"/>
  <c r="R31" i="19"/>
  <c r="S31" i="19" s="1"/>
  <c r="E96" i="19"/>
  <c r="D98" i="19"/>
  <c r="E98" i="19"/>
  <c r="I7" i="19"/>
  <c r="D100" i="19"/>
  <c r="E29" i="19"/>
  <c r="J8" i="19"/>
  <c r="F31" i="19" s="1"/>
  <c r="F40" i="19" s="1"/>
  <c r="D95" i="19"/>
  <c r="D97" i="19"/>
  <c r="D99" i="19"/>
  <c r="D101" i="19"/>
  <c r="D103" i="19"/>
  <c r="F96" i="19"/>
  <c r="F100" i="19"/>
  <c r="G98" i="19"/>
  <c r="G100" i="19"/>
  <c r="G102" i="19"/>
  <c r="I9" i="19"/>
  <c r="E53" i="19" s="1"/>
  <c r="E95" i="19"/>
  <c r="E97" i="19"/>
  <c r="E99" i="19"/>
  <c r="E101" i="19"/>
  <c r="E103" i="19"/>
  <c r="J9" i="19"/>
  <c r="F53" i="19" s="1"/>
  <c r="F95" i="19"/>
  <c r="F97" i="19"/>
  <c r="F99" i="19"/>
  <c r="F101" i="19"/>
  <c r="F103" i="19"/>
  <c r="F98" i="19"/>
  <c r="F102" i="19"/>
  <c r="I8" i="19"/>
  <c r="G96" i="19"/>
  <c r="G95" i="19"/>
  <c r="G97" i="19"/>
  <c r="G99" i="19"/>
  <c r="G101" i="19"/>
  <c r="H53" i="19" l="1"/>
  <c r="K6" i="19"/>
  <c r="H38" i="19"/>
  <c r="U31" i="21"/>
  <c r="U32" i="21" s="1"/>
  <c r="H31" i="21"/>
  <c r="G31" i="21"/>
  <c r="H31" i="20"/>
  <c r="U31" i="20"/>
  <c r="G31" i="20"/>
  <c r="G39" i="20"/>
  <c r="H39" i="20"/>
  <c r="U29" i="20"/>
  <c r="H29" i="20"/>
  <c r="G29" i="20"/>
  <c r="K7" i="19"/>
  <c r="E30" i="19"/>
  <c r="S32" i="19"/>
  <c r="K9" i="19"/>
  <c r="E31" i="19"/>
  <c r="K8" i="19"/>
  <c r="U29" i="19"/>
  <c r="G29" i="19"/>
  <c r="H29" i="19"/>
  <c r="U32" i="20" l="1"/>
  <c r="H40" i="19"/>
  <c r="G40" i="19"/>
  <c r="G38" i="19"/>
  <c r="H30" i="19"/>
  <c r="C57" i="21"/>
  <c r="C60" i="21"/>
  <c r="C59" i="21"/>
  <c r="D49" i="21"/>
  <c r="C58" i="21"/>
  <c r="H40" i="21"/>
  <c r="G40" i="21"/>
  <c r="C58" i="20"/>
  <c r="C57" i="20"/>
  <c r="D49" i="20"/>
  <c r="C59" i="20"/>
  <c r="C60" i="20"/>
  <c r="H38" i="20"/>
  <c r="G38" i="20"/>
  <c r="H40" i="20"/>
  <c r="G40" i="20"/>
  <c r="U30" i="19"/>
  <c r="G30" i="19"/>
  <c r="U31" i="19"/>
  <c r="H31" i="19"/>
  <c r="G31" i="19"/>
  <c r="G39" i="19" l="1"/>
  <c r="H39" i="19"/>
  <c r="C58" i="19"/>
  <c r="D50" i="21"/>
  <c r="H50" i="21" s="1"/>
  <c r="H49" i="21"/>
  <c r="D51" i="21"/>
  <c r="H51" i="21" s="1"/>
  <c r="D50" i="20"/>
  <c r="H50" i="20" s="1"/>
  <c r="H49" i="20"/>
  <c r="D51" i="20"/>
  <c r="H51" i="20" s="1"/>
  <c r="U32" i="19"/>
  <c r="C60" i="19"/>
  <c r="C59" i="19"/>
  <c r="D49" i="19"/>
  <c r="D50" i="19" s="1"/>
  <c r="H50" i="19" s="1"/>
  <c r="C57" i="19"/>
  <c r="C61" i="21" l="1"/>
  <c r="C62" i="21" s="1"/>
  <c r="H27" i="21"/>
  <c r="C61" i="20"/>
  <c r="C62" i="20" s="1"/>
  <c r="H27" i="20"/>
  <c r="H49" i="19"/>
  <c r="D51" i="19"/>
  <c r="H51" i="19" s="1"/>
  <c r="C61" i="19" l="1"/>
  <c r="C62" i="19" s="1"/>
  <c r="H27" i="19"/>
  <c r="U15" i="13" l="1"/>
  <c r="U13" i="13"/>
  <c r="G18" i="13"/>
  <c r="E81" i="18"/>
  <c r="M14" i="18"/>
  <c r="J14" i="18"/>
  <c r="D14" i="18"/>
  <c r="C14" i="18"/>
  <c r="H11" i="18"/>
  <c r="M10" i="18"/>
  <c r="K14" i="18" s="1"/>
  <c r="G8" i="18"/>
  <c r="U4" i="18"/>
  <c r="R4" i="18"/>
  <c r="F2" i="13"/>
  <c r="F2" i="14"/>
  <c r="F2" i="11"/>
  <c r="E30" i="9"/>
  <c r="F7" i="9"/>
  <c r="G7" i="9"/>
  <c r="L49" i="18" l="1"/>
  <c r="L50" i="18"/>
  <c r="X6" i="18"/>
  <c r="J7" i="18"/>
  <c r="I7" i="18"/>
  <c r="I6" i="18"/>
  <c r="J6" i="18"/>
  <c r="R18" i="18"/>
  <c r="S18" i="18" s="1"/>
  <c r="D38" i="13"/>
  <c r="H18" i="13"/>
  <c r="D48" i="13"/>
  <c r="J8" i="18"/>
  <c r="U12" i="13"/>
  <c r="U14" i="13"/>
  <c r="L14" i="18"/>
  <c r="F51" i="9"/>
  <c r="J7" i="9"/>
  <c r="I7" i="9"/>
  <c r="K7" i="9" s="1"/>
  <c r="E51" i="9"/>
  <c r="H7" i="9"/>
  <c r="E41" i="18" l="1"/>
  <c r="E40" i="18"/>
  <c r="F83" i="18"/>
  <c r="F40" i="18"/>
  <c r="G40" i="18" s="1"/>
  <c r="F41" i="18"/>
  <c r="E62" i="18"/>
  <c r="K25" i="18" s="1"/>
  <c r="E55" i="18"/>
  <c r="K18" i="18"/>
  <c r="K19" i="18"/>
  <c r="F55" i="18"/>
  <c r="F62" i="18" s="1"/>
  <c r="K26" i="18" s="1"/>
  <c r="G26" i="18" s="1"/>
  <c r="D66" i="18"/>
  <c r="H66" i="18" s="1"/>
  <c r="D59" i="18"/>
  <c r="H59" i="18" s="1"/>
  <c r="K6" i="18"/>
  <c r="K7" i="18"/>
  <c r="D65" i="18"/>
  <c r="H65" i="18" s="1"/>
  <c r="D21" i="18"/>
  <c r="D28" i="18"/>
  <c r="D58" i="18"/>
  <c r="H58" i="18" s="1"/>
  <c r="D64" i="18"/>
  <c r="D57" i="18"/>
  <c r="H57" i="18" s="1"/>
  <c r="D22" i="18"/>
  <c r="G22" i="18" s="1"/>
  <c r="D27" i="18"/>
  <c r="D20" i="18"/>
  <c r="D29" i="18"/>
  <c r="E83" i="18"/>
  <c r="H83" i="18" l="1"/>
  <c r="G41" i="18"/>
  <c r="G42" i="18" s="1"/>
  <c r="H26" i="18"/>
  <c r="J26" i="18" s="1"/>
  <c r="E26" i="18" s="1"/>
  <c r="F26" i="18" s="1"/>
  <c r="G19" i="18"/>
  <c r="H19" i="18"/>
  <c r="J19" i="18" s="1"/>
  <c r="G55" i="18"/>
  <c r="H55" i="18"/>
  <c r="D76" i="18" s="1"/>
  <c r="H76" i="18" s="1"/>
  <c r="G62" i="18"/>
  <c r="G18" i="18"/>
  <c r="H18" i="18"/>
  <c r="J18" i="18" s="1"/>
  <c r="H28" i="18"/>
  <c r="J28" i="18" s="1"/>
  <c r="G28" i="18"/>
  <c r="G21" i="18"/>
  <c r="H21" i="18"/>
  <c r="J21" i="18" s="1"/>
  <c r="H62" i="18"/>
  <c r="G25" i="18"/>
  <c r="E25" i="18" s="1"/>
  <c r="F25" i="18" s="1"/>
  <c r="D77" i="18"/>
  <c r="H64" i="18"/>
  <c r="D81" i="18" s="1"/>
  <c r="H81" i="18" s="1"/>
  <c r="H22" i="18"/>
  <c r="J22" i="18" s="1"/>
  <c r="H29" i="18"/>
  <c r="J29" i="18" s="1"/>
  <c r="G29" i="18"/>
  <c r="H27" i="18"/>
  <c r="J27" i="18" s="1"/>
  <c r="G27" i="18"/>
  <c r="H20" i="18"/>
  <c r="J20" i="18" s="1"/>
  <c r="G20" i="18"/>
  <c r="E23" i="18"/>
  <c r="F23" i="18" s="1"/>
  <c r="E18" i="18" l="1"/>
  <c r="F18" i="18" s="1"/>
  <c r="E19" i="18"/>
  <c r="F19" i="18" s="1"/>
  <c r="E21" i="18"/>
  <c r="F21" i="18" s="1"/>
  <c r="E28" i="18"/>
  <c r="F28" i="18" s="1"/>
  <c r="D80" i="18"/>
  <c r="H80" i="18" s="1"/>
  <c r="D78" i="18"/>
  <c r="H78" i="18" s="1"/>
  <c r="H73" i="18"/>
  <c r="D79" i="18"/>
  <c r="H79" i="18" s="1"/>
  <c r="H77" i="18"/>
  <c r="E29" i="18"/>
  <c r="F29" i="18" s="1"/>
  <c r="E27" i="18"/>
  <c r="F27" i="18" s="1"/>
  <c r="E20" i="18"/>
  <c r="F20" i="18" s="1"/>
  <c r="E30" i="18"/>
  <c r="F30" i="18" s="1"/>
  <c r="G38" i="18"/>
  <c r="J38" i="18"/>
  <c r="H38" i="18"/>
  <c r="M19" i="18"/>
  <c r="M18" i="18"/>
  <c r="H53" i="18" l="1"/>
  <c r="M20" i="18"/>
  <c r="O20" i="18" s="1"/>
  <c r="O18" i="18"/>
  <c r="E22" i="18"/>
  <c r="F22" i="18" s="1"/>
  <c r="F38" i="18" s="1"/>
  <c r="O19" i="18"/>
  <c r="M21" i="18"/>
  <c r="O21" i="18" s="1"/>
  <c r="D51" i="9" l="1"/>
  <c r="D81" i="17"/>
  <c r="M107" i="17"/>
  <c r="H95" i="17"/>
  <c r="C226" i="17"/>
  <c r="C225" i="17"/>
  <c r="C224" i="17"/>
  <c r="C223" i="17"/>
  <c r="C217" i="17"/>
  <c r="C216" i="17"/>
  <c r="C215" i="17"/>
  <c r="C214" i="17"/>
  <c r="C208" i="17"/>
  <c r="C207" i="17"/>
  <c r="C206" i="17"/>
  <c r="C205" i="17"/>
  <c r="C199" i="17"/>
  <c r="C198" i="17"/>
  <c r="C197" i="17"/>
  <c r="C196" i="17"/>
  <c r="C187" i="17"/>
  <c r="K186" i="17"/>
  <c r="C186" i="17"/>
  <c r="N186" i="17" s="1"/>
  <c r="O186" i="17" s="1"/>
  <c r="C185" i="17"/>
  <c r="K184" i="17"/>
  <c r="C184" i="17"/>
  <c r="N184" i="17" s="1"/>
  <c r="O184" i="17" s="1"/>
  <c r="K181" i="17"/>
  <c r="K220" i="17" s="1"/>
  <c r="C178" i="17"/>
  <c r="K177" i="17"/>
  <c r="C177" i="17"/>
  <c r="N177" i="17" s="1"/>
  <c r="O177" i="17" s="1"/>
  <c r="C176" i="17"/>
  <c r="K175" i="17"/>
  <c r="C175" i="17"/>
  <c r="N175" i="17" s="1"/>
  <c r="O175" i="17" s="1"/>
  <c r="K172" i="17"/>
  <c r="K211" i="17" s="1"/>
  <c r="K169" i="17"/>
  <c r="C169" i="17"/>
  <c r="N169" i="17" s="1"/>
  <c r="O169" i="17" s="1"/>
  <c r="K168" i="17"/>
  <c r="C168" i="17"/>
  <c r="N168" i="17" s="1"/>
  <c r="O168" i="17" s="1"/>
  <c r="K167" i="17"/>
  <c r="C167" i="17"/>
  <c r="N167" i="17" s="1"/>
  <c r="O167" i="17" s="1"/>
  <c r="K166" i="17"/>
  <c r="C166" i="17"/>
  <c r="N166" i="17" s="1"/>
  <c r="O166" i="17" s="1"/>
  <c r="K163" i="17"/>
  <c r="K202" i="17" s="1"/>
  <c r="C160" i="17"/>
  <c r="C159" i="17"/>
  <c r="C158" i="17"/>
  <c r="C157" i="17"/>
  <c r="K154" i="17"/>
  <c r="K160" i="17" s="1"/>
  <c r="C150" i="17"/>
  <c r="K149" i="17"/>
  <c r="C149" i="17"/>
  <c r="N149" i="17" s="1"/>
  <c r="O149" i="17" s="1"/>
  <c r="C148" i="17"/>
  <c r="K147" i="17"/>
  <c r="C147" i="17"/>
  <c r="N147" i="17" s="1"/>
  <c r="O147" i="17" s="1"/>
  <c r="K144" i="17"/>
  <c r="C141" i="17"/>
  <c r="K140" i="17"/>
  <c r="C140" i="17"/>
  <c r="N140" i="17" s="1"/>
  <c r="O140" i="17" s="1"/>
  <c r="C139" i="17"/>
  <c r="K138" i="17"/>
  <c r="C138" i="17"/>
  <c r="N138" i="17" s="1"/>
  <c r="O138" i="17" s="1"/>
  <c r="K135" i="17"/>
  <c r="K132" i="17"/>
  <c r="C132" i="17"/>
  <c r="N132" i="17" s="1"/>
  <c r="O132" i="17" s="1"/>
  <c r="K131" i="17"/>
  <c r="C131" i="17"/>
  <c r="N131" i="17" s="1"/>
  <c r="O131" i="17" s="1"/>
  <c r="K130" i="17"/>
  <c r="C130" i="17"/>
  <c r="N130" i="17" s="1"/>
  <c r="O130" i="17" s="1"/>
  <c r="K129" i="17"/>
  <c r="C129" i="17"/>
  <c r="N129" i="17" s="1"/>
  <c r="O129" i="17" s="1"/>
  <c r="K126" i="17"/>
  <c r="C123" i="17"/>
  <c r="C122" i="17"/>
  <c r="C121" i="17"/>
  <c r="C120" i="17"/>
  <c r="K117" i="17"/>
  <c r="J99" i="17"/>
  <c r="H99" i="17"/>
  <c r="K99" i="17" s="1"/>
  <c r="J98" i="17"/>
  <c r="H98" i="17"/>
  <c r="H97" i="17"/>
  <c r="H96" i="17"/>
  <c r="J93" i="17"/>
  <c r="H93" i="17"/>
  <c r="K93" i="17" s="1"/>
  <c r="J92" i="17"/>
  <c r="H92" i="17"/>
  <c r="K92" i="17" s="1"/>
  <c r="J91" i="17"/>
  <c r="J97" i="17" s="1"/>
  <c r="H91" i="17"/>
  <c r="K91" i="17" s="1"/>
  <c r="J90" i="17"/>
  <c r="J96" i="17" s="1"/>
  <c r="K96" i="17" s="1"/>
  <c r="H90" i="17"/>
  <c r="K90" i="17" s="1"/>
  <c r="E82" i="17"/>
  <c r="E81" i="17"/>
  <c r="E79" i="17"/>
  <c r="E77" i="17"/>
  <c r="J21" i="17"/>
  <c r="I21" i="17"/>
  <c r="G21" i="17"/>
  <c r="J20" i="17"/>
  <c r="I20" i="17"/>
  <c r="G20" i="17"/>
  <c r="J19" i="17"/>
  <c r="I19" i="17"/>
  <c r="G19" i="17"/>
  <c r="G16" i="17"/>
  <c r="M13" i="17"/>
  <c r="L13" i="17" s="1"/>
  <c r="J13" i="17"/>
  <c r="K13" i="17" s="1"/>
  <c r="D13" i="17"/>
  <c r="J6" i="17" s="1"/>
  <c r="C13" i="17"/>
  <c r="H10" i="17"/>
  <c r="M9" i="17"/>
  <c r="J7" i="17"/>
  <c r="F66" i="17" s="1"/>
  <c r="G7" i="17"/>
  <c r="U6" i="17"/>
  <c r="R6" i="17"/>
  <c r="Q6" i="17"/>
  <c r="I6" i="17"/>
  <c r="E46" i="17" s="1"/>
  <c r="H6" i="17"/>
  <c r="E6" i="17"/>
  <c r="U4" i="17"/>
  <c r="R4" i="17"/>
  <c r="C140" i="13"/>
  <c r="C141" i="13"/>
  <c r="C142" i="13"/>
  <c r="C139" i="13"/>
  <c r="C131" i="13"/>
  <c r="C132" i="13"/>
  <c r="C133" i="13"/>
  <c r="C130" i="13"/>
  <c r="C122" i="13"/>
  <c r="C123" i="13"/>
  <c r="C124" i="13"/>
  <c r="C121" i="13"/>
  <c r="K136" i="13"/>
  <c r="K127" i="13"/>
  <c r="K118" i="13"/>
  <c r="K109" i="13"/>
  <c r="X6" i="17" l="1"/>
  <c r="H51" i="9"/>
  <c r="K97" i="17"/>
  <c r="K98" i="17"/>
  <c r="N214" i="17"/>
  <c r="O214" i="17" s="1"/>
  <c r="K226" i="17"/>
  <c r="N226" i="17" s="1"/>
  <c r="O226" i="17" s="1"/>
  <c r="K224" i="17"/>
  <c r="N224" i="17" s="1"/>
  <c r="O224" i="17" s="1"/>
  <c r="K225" i="17"/>
  <c r="N225" i="17" s="1"/>
  <c r="O225" i="17" s="1"/>
  <c r="K223" i="17"/>
  <c r="E45" i="17"/>
  <c r="G46" i="17"/>
  <c r="E43" i="17"/>
  <c r="E33" i="17"/>
  <c r="E44" i="17"/>
  <c r="E34" i="17"/>
  <c r="E35" i="17"/>
  <c r="E66" i="17"/>
  <c r="E56" i="17"/>
  <c r="E36" i="17"/>
  <c r="O170" i="17"/>
  <c r="H49" i="17" s="1"/>
  <c r="K216" i="17"/>
  <c r="N216" i="17" s="1"/>
  <c r="O216" i="17" s="1"/>
  <c r="K214" i="17"/>
  <c r="K217" i="17"/>
  <c r="N217" i="17" s="1"/>
  <c r="O217" i="17" s="1"/>
  <c r="K215" i="17"/>
  <c r="N215" i="17" s="1"/>
  <c r="O215" i="17" s="1"/>
  <c r="O133" i="17"/>
  <c r="H39" i="17" s="1"/>
  <c r="F71" i="17"/>
  <c r="F65" i="17"/>
  <c r="F70" i="17" s="1"/>
  <c r="F63" i="17"/>
  <c r="F68" i="17" s="1"/>
  <c r="F64" i="17"/>
  <c r="F69" i="17" s="1"/>
  <c r="N121" i="17"/>
  <c r="O121" i="17" s="1"/>
  <c r="N160" i="17"/>
  <c r="O160" i="17" s="1"/>
  <c r="F46" i="17"/>
  <c r="G18" i="17"/>
  <c r="N223" i="17"/>
  <c r="O223" i="17" s="1"/>
  <c r="K207" i="17"/>
  <c r="N207" i="17" s="1"/>
  <c r="O207" i="17" s="1"/>
  <c r="K205" i="17"/>
  <c r="N205" i="17" s="1"/>
  <c r="O205" i="17" s="1"/>
  <c r="K208" i="17"/>
  <c r="K206" i="17"/>
  <c r="N206" i="17" s="1"/>
  <c r="O206" i="17" s="1"/>
  <c r="N208" i="17"/>
  <c r="O208" i="17" s="1"/>
  <c r="K193" i="17"/>
  <c r="K6" i="17"/>
  <c r="G17" i="17"/>
  <c r="G22" i="17" s="1"/>
  <c r="K120" i="17"/>
  <c r="N120" i="17" s="1"/>
  <c r="O120" i="17" s="1"/>
  <c r="K122" i="17"/>
  <c r="N122" i="17" s="1"/>
  <c r="O122" i="17" s="1"/>
  <c r="K139" i="17"/>
  <c r="N139" i="17" s="1"/>
  <c r="O139" i="17" s="1"/>
  <c r="K141" i="17"/>
  <c r="N141" i="17" s="1"/>
  <c r="O141" i="17" s="1"/>
  <c r="K157" i="17"/>
  <c r="N157" i="17" s="1"/>
  <c r="O157" i="17" s="1"/>
  <c r="K159" i="17"/>
  <c r="N159" i="17" s="1"/>
  <c r="O159" i="17" s="1"/>
  <c r="K176" i="17"/>
  <c r="N176" i="17" s="1"/>
  <c r="O176" i="17" s="1"/>
  <c r="K178" i="17"/>
  <c r="N178" i="17" s="1"/>
  <c r="O178" i="17" s="1"/>
  <c r="K148" i="17"/>
  <c r="N148" i="17" s="1"/>
  <c r="O148" i="17" s="1"/>
  <c r="K150" i="17"/>
  <c r="N150" i="17" s="1"/>
  <c r="O150" i="17" s="1"/>
  <c r="K185" i="17"/>
  <c r="N185" i="17" s="1"/>
  <c r="O185" i="17" s="1"/>
  <c r="K187" i="17"/>
  <c r="N187" i="17" s="1"/>
  <c r="O187" i="17" s="1"/>
  <c r="K121" i="17"/>
  <c r="K123" i="17"/>
  <c r="N123" i="17" s="1"/>
  <c r="O123" i="17" s="1"/>
  <c r="K158" i="17"/>
  <c r="N158" i="17" s="1"/>
  <c r="O158" i="17" s="1"/>
  <c r="J83" i="13"/>
  <c r="J89" i="13" s="1"/>
  <c r="J84" i="13"/>
  <c r="J90" i="13" s="1"/>
  <c r="J85" i="13"/>
  <c r="J91" i="13" s="1"/>
  <c r="J82" i="13"/>
  <c r="H91" i="13"/>
  <c r="H90" i="13"/>
  <c r="H89" i="13"/>
  <c r="O142" i="17" l="1"/>
  <c r="H40" i="17" s="1"/>
  <c r="O179" i="17"/>
  <c r="H50" i="17" s="1"/>
  <c r="O151" i="17"/>
  <c r="H41" i="17" s="1"/>
  <c r="O188" i="17"/>
  <c r="H51" i="17" s="1"/>
  <c r="O227" i="17"/>
  <c r="H61" i="17" s="1"/>
  <c r="K111" i="17" s="1"/>
  <c r="O218" i="17"/>
  <c r="H60" i="17" s="1"/>
  <c r="K110" i="17" s="1"/>
  <c r="G45" i="17"/>
  <c r="E55" i="17"/>
  <c r="G55" i="17" s="1"/>
  <c r="E71" i="17"/>
  <c r="G66" i="17"/>
  <c r="E63" i="17"/>
  <c r="E65" i="17"/>
  <c r="E64" i="17"/>
  <c r="E53" i="17"/>
  <c r="G53" i="17" s="1"/>
  <c r="O161" i="17"/>
  <c r="H48" i="17" s="1"/>
  <c r="I89" i="17"/>
  <c r="O209" i="17"/>
  <c r="H59" i="17" s="1"/>
  <c r="K109" i="17" s="1"/>
  <c r="F45" i="17"/>
  <c r="F55" i="17" s="1"/>
  <c r="F35" i="17"/>
  <c r="G35" i="17" s="1"/>
  <c r="F43" i="17"/>
  <c r="F53" i="17" s="1"/>
  <c r="F33" i="17"/>
  <c r="G33" i="17" s="1"/>
  <c r="F56" i="17"/>
  <c r="G56" i="17" s="1"/>
  <c r="F36" i="17"/>
  <c r="J89" i="17" s="1"/>
  <c r="J95" i="17" s="1"/>
  <c r="F44" i="17"/>
  <c r="F54" i="17" s="1"/>
  <c r="F34" i="17"/>
  <c r="G34" i="17" s="1"/>
  <c r="K199" i="17"/>
  <c r="N199" i="17" s="1"/>
  <c r="O199" i="17" s="1"/>
  <c r="K197" i="17"/>
  <c r="N197" i="17" s="1"/>
  <c r="O197" i="17" s="1"/>
  <c r="K198" i="17"/>
  <c r="N198" i="17" s="1"/>
  <c r="O198" i="17" s="1"/>
  <c r="K196" i="17"/>
  <c r="N196" i="17" s="1"/>
  <c r="O196" i="17" s="1"/>
  <c r="O124" i="17"/>
  <c r="H38" i="17" s="1"/>
  <c r="K103" i="17"/>
  <c r="G44" i="17"/>
  <c r="E54" i="17"/>
  <c r="G54" i="17" s="1"/>
  <c r="J88" i="13"/>
  <c r="K89" i="13"/>
  <c r="K91" i="13"/>
  <c r="K90" i="13"/>
  <c r="K104" i="17" l="1"/>
  <c r="G26" i="17"/>
  <c r="K105" i="17"/>
  <c r="O200" i="17"/>
  <c r="H58" i="17" s="1"/>
  <c r="K108" i="17" s="1"/>
  <c r="H44" i="17"/>
  <c r="H45" i="17"/>
  <c r="H43" i="17"/>
  <c r="H46" i="17"/>
  <c r="G71" i="17"/>
  <c r="I95" i="17"/>
  <c r="E69" i="17"/>
  <c r="G69" i="17" s="1"/>
  <c r="G64" i="17"/>
  <c r="G43" i="17"/>
  <c r="G65" i="17"/>
  <c r="E70" i="17"/>
  <c r="G70" i="17" s="1"/>
  <c r="E68" i="17"/>
  <c r="G68" i="17" s="1"/>
  <c r="G63" i="17"/>
  <c r="K102" i="17"/>
  <c r="G36" i="17"/>
  <c r="H53" i="17" l="1"/>
  <c r="D65" i="17"/>
  <c r="M95" i="17"/>
  <c r="H26" i="17"/>
  <c r="H34" i="17"/>
  <c r="H35" i="17"/>
  <c r="D33" i="17"/>
  <c r="H36" i="17"/>
  <c r="H56" i="17"/>
  <c r="D66" i="17"/>
  <c r="D64" i="17"/>
  <c r="H54" i="17"/>
  <c r="H33" i="17" l="1"/>
  <c r="K101" i="17" s="1"/>
  <c r="M101" i="17" s="1"/>
  <c r="H89" i="17"/>
  <c r="K89" i="17" s="1"/>
  <c r="M89" i="17" s="1"/>
  <c r="I25" i="17"/>
  <c r="K95" i="17"/>
  <c r="D63" i="17"/>
  <c r="H63" i="17" s="1"/>
  <c r="H55" i="17"/>
  <c r="D69" i="17"/>
  <c r="H69" i="17" s="1"/>
  <c r="H64" i="17"/>
  <c r="H66" i="17"/>
  <c r="D71" i="17"/>
  <c r="H71" i="17" s="1"/>
  <c r="H65" i="17"/>
  <c r="D70" i="17"/>
  <c r="H70" i="17" s="1"/>
  <c r="D68" i="17"/>
  <c r="H68" i="17" s="1"/>
  <c r="K107" i="17" l="1"/>
  <c r="D76" i="17"/>
  <c r="D78" i="17" s="1"/>
  <c r="H78" i="17" s="1"/>
  <c r="K27" i="17"/>
  <c r="D77" i="17"/>
  <c r="H77" i="17" s="1"/>
  <c r="H73" i="17"/>
  <c r="J73" i="17" s="1"/>
  <c r="I71" i="17"/>
  <c r="K114" i="17" l="1"/>
  <c r="D82" i="17" s="1"/>
  <c r="H82" i="17" s="1"/>
  <c r="H76" i="17"/>
  <c r="D80" i="17"/>
  <c r="H80" i="17" s="1"/>
  <c r="K113" i="17"/>
  <c r="H85" i="17" s="1"/>
  <c r="D79" i="17"/>
  <c r="H79" i="17" s="1"/>
  <c r="H81" i="17"/>
  <c r="H31" i="17" l="1"/>
  <c r="H85" i="13" l="1"/>
  <c r="H84" i="13"/>
  <c r="H83" i="13"/>
  <c r="C215" i="13" l="1"/>
  <c r="C197" i="13"/>
  <c r="C198" i="13"/>
  <c r="C199" i="13"/>
  <c r="C200" i="13"/>
  <c r="C216" i="13"/>
  <c r="C217" i="13"/>
  <c r="C218" i="13"/>
  <c r="C177" i="13"/>
  <c r="C178" i="13"/>
  <c r="C179" i="13"/>
  <c r="C176" i="13"/>
  <c r="C161" i="13"/>
  <c r="C160" i="13"/>
  <c r="C159" i="13"/>
  <c r="C158" i="13"/>
  <c r="K146" i="13"/>
  <c r="K115" i="13" l="1"/>
  <c r="K113" i="13"/>
  <c r="K114" i="13"/>
  <c r="K112" i="13"/>
  <c r="K185" i="13"/>
  <c r="K191" i="13" s="1"/>
  <c r="K149" i="13"/>
  <c r="K83" i="13"/>
  <c r="K84" i="13"/>
  <c r="K85" i="13"/>
  <c r="K189" i="13" l="1"/>
  <c r="K188" i="13"/>
  <c r="K190" i="13"/>
  <c r="K173" i="13"/>
  <c r="K164" i="13"/>
  <c r="K155" i="13"/>
  <c r="K152" i="13"/>
  <c r="K151" i="13"/>
  <c r="K150" i="13"/>
  <c r="G8" i="10"/>
  <c r="K123" i="13" l="1"/>
  <c r="N123" i="13" s="1"/>
  <c r="O123" i="13" s="1"/>
  <c r="K121" i="13"/>
  <c r="N121" i="13" s="1"/>
  <c r="O121" i="13" s="1"/>
  <c r="K124" i="13"/>
  <c r="N124" i="13" s="1"/>
  <c r="O124" i="13" s="1"/>
  <c r="K122" i="13"/>
  <c r="N122" i="13" s="1"/>
  <c r="O122" i="13" s="1"/>
  <c r="K132" i="13"/>
  <c r="N132" i="13" s="1"/>
  <c r="O132" i="13" s="1"/>
  <c r="K130" i="13"/>
  <c r="N130" i="13" s="1"/>
  <c r="O130" i="13" s="1"/>
  <c r="K133" i="13"/>
  <c r="N133" i="13" s="1"/>
  <c r="O133" i="13" s="1"/>
  <c r="K131" i="13"/>
  <c r="N131" i="13" s="1"/>
  <c r="O131" i="13" s="1"/>
  <c r="K142" i="13"/>
  <c r="N142" i="13" s="1"/>
  <c r="O142" i="13" s="1"/>
  <c r="K140" i="13"/>
  <c r="N140" i="13" s="1"/>
  <c r="O140" i="13" s="1"/>
  <c r="K141" i="13"/>
  <c r="N141" i="13" s="1"/>
  <c r="O141" i="13" s="1"/>
  <c r="K139" i="13"/>
  <c r="N139" i="13" s="1"/>
  <c r="O139" i="13" s="1"/>
  <c r="K160" i="13"/>
  <c r="N160" i="13" s="1"/>
  <c r="O160" i="13" s="1"/>
  <c r="K194" i="13"/>
  <c r="K170" i="13"/>
  <c r="K203" i="13"/>
  <c r="K179" i="13"/>
  <c r="N179" i="13" s="1"/>
  <c r="O179" i="13" s="1"/>
  <c r="K212" i="13"/>
  <c r="K167" i="13"/>
  <c r="K168" i="13"/>
  <c r="K169" i="13"/>
  <c r="K159" i="13"/>
  <c r="K161" i="13"/>
  <c r="K176" i="13"/>
  <c r="N176" i="13" s="1"/>
  <c r="O176" i="13" s="1"/>
  <c r="K178" i="13"/>
  <c r="N178" i="13" s="1"/>
  <c r="O178" i="13" s="1"/>
  <c r="K158" i="13"/>
  <c r="N158" i="13" s="1"/>
  <c r="O158" i="13" s="1"/>
  <c r="K177" i="13"/>
  <c r="N177" i="13" s="1"/>
  <c r="O177" i="13" s="1"/>
  <c r="D51" i="16"/>
  <c r="D50" i="16"/>
  <c r="D53" i="16"/>
  <c r="D50" i="15"/>
  <c r="D53" i="15" s="1"/>
  <c r="D49" i="15"/>
  <c r="D52" i="15" s="1"/>
  <c r="E67" i="16"/>
  <c r="E65" i="16"/>
  <c r="E64" i="16"/>
  <c r="E62" i="16"/>
  <c r="E61" i="16"/>
  <c r="D39" i="16"/>
  <c r="D38" i="16"/>
  <c r="D37" i="16"/>
  <c r="D36" i="16"/>
  <c r="D31" i="16"/>
  <c r="D30" i="16"/>
  <c r="D29" i="16"/>
  <c r="D28" i="16"/>
  <c r="M17" i="16"/>
  <c r="J17" i="16"/>
  <c r="H14" i="16"/>
  <c r="M13" i="16"/>
  <c r="K17" i="16" s="1"/>
  <c r="H8" i="16"/>
  <c r="G8" i="16"/>
  <c r="E8" i="16"/>
  <c r="D8" i="16"/>
  <c r="Q7" i="16"/>
  <c r="N7" i="16"/>
  <c r="F31" i="16" s="1"/>
  <c r="F39" i="16" s="1"/>
  <c r="H7" i="16"/>
  <c r="H10" i="16" s="1"/>
  <c r="G7" i="16"/>
  <c r="F7" i="16"/>
  <c r="E7" i="16"/>
  <c r="D7" i="16"/>
  <c r="C7" i="16"/>
  <c r="V6" i="16"/>
  <c r="U6" i="16"/>
  <c r="S6" i="16"/>
  <c r="R6" i="16"/>
  <c r="Q6" i="16"/>
  <c r="N6" i="16"/>
  <c r="F30" i="16" s="1"/>
  <c r="F38" i="16" s="1"/>
  <c r="H38" i="16" s="1"/>
  <c r="H6" i="16"/>
  <c r="H9" i="16" s="1"/>
  <c r="G6" i="16"/>
  <c r="F6" i="16"/>
  <c r="E6" i="16"/>
  <c r="D6" i="16"/>
  <c r="C6" i="16"/>
  <c r="N5" i="16"/>
  <c r="F29" i="16" s="1"/>
  <c r="N4" i="16"/>
  <c r="F28" i="16" s="1"/>
  <c r="F36" i="16" s="1"/>
  <c r="F4" i="16"/>
  <c r="U4" i="16" s="1"/>
  <c r="C4" i="16"/>
  <c r="R4" i="16" s="1"/>
  <c r="N3" i="16"/>
  <c r="F2" i="16"/>
  <c r="E66" i="15"/>
  <c r="E64" i="15"/>
  <c r="E63" i="15"/>
  <c r="E61" i="15"/>
  <c r="E60" i="15"/>
  <c r="E56" i="15"/>
  <c r="H56" i="15" s="1"/>
  <c r="D39" i="15"/>
  <c r="D38" i="15"/>
  <c r="D37" i="15"/>
  <c r="D36" i="15"/>
  <c r="D31" i="15"/>
  <c r="D30" i="15"/>
  <c r="D29" i="15"/>
  <c r="D28" i="15"/>
  <c r="M17" i="15"/>
  <c r="J17" i="15"/>
  <c r="H14" i="15"/>
  <c r="M13" i="15"/>
  <c r="H8" i="15"/>
  <c r="G8" i="15"/>
  <c r="E8" i="15"/>
  <c r="D8" i="15"/>
  <c r="Q7" i="15"/>
  <c r="N7" i="15"/>
  <c r="F31" i="15" s="1"/>
  <c r="F39" i="15" s="1"/>
  <c r="H7" i="15"/>
  <c r="H10" i="15" s="1"/>
  <c r="G7" i="15"/>
  <c r="E7" i="15"/>
  <c r="D7" i="15"/>
  <c r="V6" i="15"/>
  <c r="U6" i="15"/>
  <c r="S6" i="15"/>
  <c r="R6" i="15"/>
  <c r="Q6" i="15"/>
  <c r="N6" i="15"/>
  <c r="F30" i="15" s="1"/>
  <c r="H6" i="15"/>
  <c r="H9" i="15" s="1"/>
  <c r="G6" i="15"/>
  <c r="F6" i="15"/>
  <c r="E6" i="15"/>
  <c r="D6" i="15"/>
  <c r="C6" i="15"/>
  <c r="N5" i="15"/>
  <c r="F29" i="15" s="1"/>
  <c r="F37" i="15" s="1"/>
  <c r="N4" i="15"/>
  <c r="F28" i="15" s="1"/>
  <c r="F36" i="15" s="1"/>
  <c r="F4" i="15"/>
  <c r="U4" i="15" s="1"/>
  <c r="C4" i="15"/>
  <c r="R4" i="15" s="1"/>
  <c r="N3" i="15"/>
  <c r="F2" i="15"/>
  <c r="D17" i="15" s="1"/>
  <c r="O143" i="13" l="1"/>
  <c r="H33" i="13" s="1"/>
  <c r="O134" i="13"/>
  <c r="H32" i="13" s="1"/>
  <c r="O125" i="13"/>
  <c r="H31" i="13" s="1"/>
  <c r="K217" i="13"/>
  <c r="N217" i="13" s="1"/>
  <c r="O217" i="13" s="1"/>
  <c r="K215" i="13"/>
  <c r="N215" i="13" s="1"/>
  <c r="O215" i="13" s="1"/>
  <c r="K218" i="13"/>
  <c r="N218" i="13" s="1"/>
  <c r="O218" i="13" s="1"/>
  <c r="K216" i="13"/>
  <c r="N216" i="13" s="1"/>
  <c r="O216" i="13" s="1"/>
  <c r="K207" i="13"/>
  <c r="K208" i="13"/>
  <c r="K206" i="13"/>
  <c r="K209" i="13"/>
  <c r="K198" i="13"/>
  <c r="N198" i="13" s="1"/>
  <c r="O198" i="13" s="1"/>
  <c r="K197" i="13"/>
  <c r="N197" i="13" s="1"/>
  <c r="O197" i="13" s="1"/>
  <c r="K200" i="13"/>
  <c r="N200" i="13" s="1"/>
  <c r="O200" i="13" s="1"/>
  <c r="K199" i="13"/>
  <c r="N199" i="13" s="1"/>
  <c r="O199" i="13" s="1"/>
  <c r="O180" i="13"/>
  <c r="D54" i="16"/>
  <c r="H30" i="16"/>
  <c r="C17" i="16"/>
  <c r="D17" i="16"/>
  <c r="H31" i="16"/>
  <c r="H28" i="16"/>
  <c r="L17" i="16"/>
  <c r="H39" i="16"/>
  <c r="H37" i="15"/>
  <c r="H36" i="15"/>
  <c r="H31" i="15"/>
  <c r="K17" i="15"/>
  <c r="H39" i="15"/>
  <c r="C17" i="15"/>
  <c r="K9" i="15" s="1"/>
  <c r="H29" i="15"/>
  <c r="H28" i="15"/>
  <c r="L17" i="15"/>
  <c r="H36" i="16"/>
  <c r="H30" i="15"/>
  <c r="F38" i="15"/>
  <c r="H38" i="15" s="1"/>
  <c r="F37" i="16"/>
  <c r="H37" i="16" s="1"/>
  <c r="H29" i="16"/>
  <c r="K6" i="16" l="1"/>
  <c r="F25" i="16" s="1"/>
  <c r="F33" i="16" s="1"/>
  <c r="O219" i="13"/>
  <c r="H53" i="13" s="1"/>
  <c r="K103" i="13" s="1"/>
  <c r="H43" i="13"/>
  <c r="O201" i="13"/>
  <c r="J6" i="16"/>
  <c r="E25" i="16" s="1"/>
  <c r="E33" i="16" s="1"/>
  <c r="I6" i="15"/>
  <c r="E41" i="15" s="1"/>
  <c r="E47" i="15" s="1"/>
  <c r="H47" i="15" s="1"/>
  <c r="K10" i="16"/>
  <c r="F51" i="16" s="1"/>
  <c r="F54" i="16" s="1"/>
  <c r="K9" i="16"/>
  <c r="F50" i="16" s="1"/>
  <c r="F53" i="16" s="1"/>
  <c r="I7" i="16"/>
  <c r="E42" i="16" s="1"/>
  <c r="E57" i="16" s="1"/>
  <c r="H57" i="16" s="1"/>
  <c r="J7" i="16"/>
  <c r="E26" i="16" s="1"/>
  <c r="E51" i="16" s="1"/>
  <c r="X6" i="16"/>
  <c r="J41" i="16" s="1"/>
  <c r="J8" i="16"/>
  <c r="I6" i="16"/>
  <c r="E41" i="16" s="1"/>
  <c r="K8" i="16"/>
  <c r="F56" i="16" s="1"/>
  <c r="H56" i="16" s="1"/>
  <c r="Y6" i="16"/>
  <c r="J25" i="16" s="1"/>
  <c r="K25" i="16" s="1"/>
  <c r="K7" i="16"/>
  <c r="F26" i="16" s="1"/>
  <c r="F34" i="16" s="1"/>
  <c r="Y6" i="15"/>
  <c r="J25" i="15" s="1"/>
  <c r="K25" i="15" s="1"/>
  <c r="F49" i="15"/>
  <c r="K10" i="15"/>
  <c r="F50" i="15" s="1"/>
  <c r="F53" i="15" s="1"/>
  <c r="K6" i="15"/>
  <c r="F25" i="15" s="1"/>
  <c r="F33" i="15" s="1"/>
  <c r="X6" i="15"/>
  <c r="J41" i="15" s="1"/>
  <c r="J44" i="15" s="1"/>
  <c r="K44" i="15" s="1"/>
  <c r="J8" i="15"/>
  <c r="K7" i="15"/>
  <c r="F26" i="15" s="1"/>
  <c r="F34" i="15" s="1"/>
  <c r="J7" i="15"/>
  <c r="E26" i="15" s="1"/>
  <c r="J6" i="15"/>
  <c r="E25" i="15" s="1"/>
  <c r="K8" i="15"/>
  <c r="F55" i="15" s="1"/>
  <c r="H55" i="15" s="1"/>
  <c r="H33" i="16" l="1"/>
  <c r="H51" i="13"/>
  <c r="K101" i="13" s="1"/>
  <c r="H51" i="16"/>
  <c r="H25" i="16"/>
  <c r="E50" i="16"/>
  <c r="E53" i="16" s="1"/>
  <c r="G25" i="16"/>
  <c r="E44" i="15"/>
  <c r="H44" i="15" s="1"/>
  <c r="D61" i="15" s="1"/>
  <c r="H41" i="15"/>
  <c r="D67" i="16"/>
  <c r="H67" i="16" s="1"/>
  <c r="E54" i="16"/>
  <c r="G51" i="16"/>
  <c r="F52" i="15"/>
  <c r="D66" i="15" s="1"/>
  <c r="H66" i="15" s="1"/>
  <c r="H26" i="16"/>
  <c r="E48" i="16"/>
  <c r="H48" i="16" s="1"/>
  <c r="E45" i="16"/>
  <c r="H45" i="16" s="1"/>
  <c r="H42" i="16"/>
  <c r="K41" i="16"/>
  <c r="J44" i="16"/>
  <c r="K44" i="16" s="1"/>
  <c r="G26" i="16"/>
  <c r="E34" i="16"/>
  <c r="H34" i="16" s="1"/>
  <c r="D61" i="16" s="1"/>
  <c r="E44" i="16"/>
  <c r="H44" i="16" s="1"/>
  <c r="E47" i="16"/>
  <c r="H47" i="16" s="1"/>
  <c r="H41" i="16"/>
  <c r="E33" i="15"/>
  <c r="H33" i="15" s="1"/>
  <c r="E49" i="15"/>
  <c r="E52" i="15" s="1"/>
  <c r="E34" i="15"/>
  <c r="H34" i="15" s="1"/>
  <c r="E50" i="15"/>
  <c r="E53" i="15" s="1"/>
  <c r="G53" i="15" s="1"/>
  <c r="K41" i="15"/>
  <c r="L41" i="15" s="1"/>
  <c r="H26" i="15"/>
  <c r="G25" i="15"/>
  <c r="H25" i="15"/>
  <c r="G26" i="15"/>
  <c r="H50" i="16" l="1"/>
  <c r="G50" i="16"/>
  <c r="D60" i="16"/>
  <c r="D66" i="16" s="1"/>
  <c r="H66" i="16" s="1"/>
  <c r="H53" i="15"/>
  <c r="D59" i="15"/>
  <c r="D62" i="15" s="1"/>
  <c r="H62" i="15" s="1"/>
  <c r="D62" i="16"/>
  <c r="G54" i="16"/>
  <c r="H54" i="16"/>
  <c r="H61" i="16"/>
  <c r="G53" i="16"/>
  <c r="H53" i="16"/>
  <c r="D64" i="16"/>
  <c r="H64" i="16" s="1"/>
  <c r="L41" i="16"/>
  <c r="H50" i="15"/>
  <c r="G50" i="15"/>
  <c r="H49" i="15"/>
  <c r="G49" i="15"/>
  <c r="H61" i="15"/>
  <c r="D64" i="15"/>
  <c r="H64" i="15" s="1"/>
  <c r="D65" i="15" l="1"/>
  <c r="H65" i="15" s="1"/>
  <c r="H59" i="15"/>
  <c r="H60" i="16"/>
  <c r="D63" i="16"/>
  <c r="H63" i="16" s="1"/>
  <c r="H62" i="16"/>
  <c r="D65" i="16"/>
  <c r="H65" i="16" s="1"/>
  <c r="H52" i="15"/>
  <c r="D60" i="15" s="1"/>
  <c r="G52" i="15"/>
  <c r="H60" i="15" l="1"/>
  <c r="D63" i="15"/>
  <c r="H63" i="15" s="1"/>
  <c r="C123" i="14"/>
  <c r="F123" i="14" s="1"/>
  <c r="C122" i="14"/>
  <c r="C128" i="14" s="1"/>
  <c r="F128" i="14" s="1"/>
  <c r="F122" i="14" l="1"/>
  <c r="C129" i="14"/>
  <c r="F129" i="14" s="1"/>
  <c r="E125" i="14"/>
  <c r="D94" i="14"/>
  <c r="D74" i="14"/>
  <c r="E117" i="14" l="1"/>
  <c r="E115" i="14"/>
  <c r="E113" i="14"/>
  <c r="D89" i="14"/>
  <c r="F69" i="14"/>
  <c r="F89" i="14" s="1"/>
  <c r="F94" i="14" s="1"/>
  <c r="H94" i="14" s="1"/>
  <c r="H99" i="14" s="1"/>
  <c r="F68" i="14"/>
  <c r="F88" i="14" s="1"/>
  <c r="F93" i="14" s="1"/>
  <c r="F67" i="14"/>
  <c r="F87" i="14" s="1"/>
  <c r="F92" i="14" s="1"/>
  <c r="F66" i="14"/>
  <c r="F86" i="14" s="1"/>
  <c r="F91" i="14" s="1"/>
  <c r="M14" i="14"/>
  <c r="J14" i="14"/>
  <c r="D14" i="14"/>
  <c r="C14" i="14"/>
  <c r="H11" i="14"/>
  <c r="M10" i="14"/>
  <c r="G8" i="14"/>
  <c r="U4" i="14"/>
  <c r="R4" i="14"/>
  <c r="X6" i="14" l="1"/>
  <c r="R19" i="14" s="1"/>
  <c r="S19" i="14" s="1"/>
  <c r="S20" i="14" s="1"/>
  <c r="E83" i="14"/>
  <c r="I6" i="14"/>
  <c r="J6" i="14"/>
  <c r="K20" i="14" s="1"/>
  <c r="J87" i="14"/>
  <c r="K34" i="14" s="1"/>
  <c r="H34" i="14" s="1"/>
  <c r="J34" i="14" s="1"/>
  <c r="R18" i="14"/>
  <c r="S18" i="14" s="1"/>
  <c r="J7" i="14"/>
  <c r="I7" i="14"/>
  <c r="F73" i="14"/>
  <c r="L14" i="14"/>
  <c r="F74" i="14"/>
  <c r="F71" i="14"/>
  <c r="F72" i="14"/>
  <c r="K14" i="14"/>
  <c r="H69" i="14"/>
  <c r="H89" i="14"/>
  <c r="J8" i="14"/>
  <c r="S21" i="14" l="1"/>
  <c r="D44" i="14"/>
  <c r="D45" i="14"/>
  <c r="E45" i="14"/>
  <c r="E47" i="14"/>
  <c r="E44" i="14"/>
  <c r="E48" i="14"/>
  <c r="D48" i="14"/>
  <c r="F48" i="14" s="1"/>
  <c r="F49" i="14" s="1"/>
  <c r="D47" i="14"/>
  <c r="F47" i="14" s="1"/>
  <c r="K18" i="14"/>
  <c r="H18" i="14" s="1"/>
  <c r="J18" i="14" s="1"/>
  <c r="K28" i="14"/>
  <c r="K21" i="14"/>
  <c r="H20" i="14"/>
  <c r="J20" i="14" s="1"/>
  <c r="G20" i="14"/>
  <c r="K30" i="14"/>
  <c r="K6" i="14"/>
  <c r="D32" i="14"/>
  <c r="D23" i="14"/>
  <c r="D92" i="14"/>
  <c r="H92" i="14" s="1"/>
  <c r="H97" i="14" s="1"/>
  <c r="D72" i="14"/>
  <c r="H72" i="14" s="1"/>
  <c r="H77" i="14" s="1"/>
  <c r="D67" i="14"/>
  <c r="H67" i="14" s="1"/>
  <c r="D87" i="14"/>
  <c r="G34" i="14"/>
  <c r="H74" i="14"/>
  <c r="H79" i="14" s="1"/>
  <c r="J66" i="14"/>
  <c r="K25" i="14" s="1"/>
  <c r="D22" i="14"/>
  <c r="D31" i="14"/>
  <c r="D24" i="14"/>
  <c r="D33" i="14"/>
  <c r="K7" i="14"/>
  <c r="F62" i="14"/>
  <c r="F63" i="14" s="1"/>
  <c r="D66" i="14"/>
  <c r="D93" i="14"/>
  <c r="H93" i="14" s="1"/>
  <c r="H98" i="14" s="1"/>
  <c r="D73" i="14"/>
  <c r="H73" i="14" s="1"/>
  <c r="H78" i="14" s="1"/>
  <c r="D91" i="14"/>
  <c r="H91" i="14" s="1"/>
  <c r="H96" i="14" s="1"/>
  <c r="D71" i="14"/>
  <c r="H71" i="14" s="1"/>
  <c r="H76" i="14" s="1"/>
  <c r="E62" i="14"/>
  <c r="D68" i="14"/>
  <c r="F45" i="14" l="1"/>
  <c r="F46" i="14" s="1"/>
  <c r="F44" i="14"/>
  <c r="G18" i="14"/>
  <c r="K19" i="14"/>
  <c r="H19" i="14" s="1"/>
  <c r="J19" i="14" s="1"/>
  <c r="E20" i="14"/>
  <c r="F20" i="14" s="1"/>
  <c r="H30" i="14"/>
  <c r="J30" i="14" s="1"/>
  <c r="K29" i="14"/>
  <c r="G30" i="14"/>
  <c r="H21" i="14"/>
  <c r="J21" i="14" s="1"/>
  <c r="G21" i="14"/>
  <c r="K27" i="14"/>
  <c r="G27" i="14" s="1"/>
  <c r="E27" i="14" s="1"/>
  <c r="F27" i="14" s="1"/>
  <c r="J64" i="14"/>
  <c r="K23" i="14" s="1"/>
  <c r="H23" i="14" s="1"/>
  <c r="J23" i="14" s="1"/>
  <c r="J85" i="14"/>
  <c r="K32" i="14" s="1"/>
  <c r="H87" i="14"/>
  <c r="G28" i="14"/>
  <c r="E28" i="14" s="1"/>
  <c r="F28" i="14" s="1"/>
  <c r="H25" i="14"/>
  <c r="J25" i="14" s="1"/>
  <c r="G25" i="14"/>
  <c r="H66" i="14"/>
  <c r="J63" i="14"/>
  <c r="K22" i="14" s="1"/>
  <c r="H22" i="14" s="1"/>
  <c r="H68" i="14"/>
  <c r="J65" i="14"/>
  <c r="K24" i="14" s="1"/>
  <c r="G24" i="14" s="1"/>
  <c r="F81" i="14"/>
  <c r="H62" i="14"/>
  <c r="E63" i="14"/>
  <c r="H63" i="14" s="1"/>
  <c r="H64" i="14" s="1"/>
  <c r="G62" i="14"/>
  <c r="G63" i="14" s="1"/>
  <c r="E18" i="14" l="1"/>
  <c r="F18" i="14" s="1"/>
  <c r="F50" i="14"/>
  <c r="G19" i="14"/>
  <c r="E19" i="14" s="1"/>
  <c r="F19" i="14" s="1"/>
  <c r="E21" i="14"/>
  <c r="F21" i="14" s="1"/>
  <c r="E30" i="14"/>
  <c r="F30" i="14" s="1"/>
  <c r="H29" i="14"/>
  <c r="J29" i="14" s="1"/>
  <c r="G29" i="14"/>
  <c r="G23" i="14"/>
  <c r="E23" i="14" s="1"/>
  <c r="F23" i="14" s="1"/>
  <c r="H32" i="14"/>
  <c r="J32" i="14" s="1"/>
  <c r="G32" i="14"/>
  <c r="G81" i="14"/>
  <c r="G83" i="14" s="1"/>
  <c r="H81" i="14"/>
  <c r="F83" i="14"/>
  <c r="H83" i="14" s="1"/>
  <c r="H84" i="14" s="1"/>
  <c r="F52" i="14" s="1"/>
  <c r="E25" i="14"/>
  <c r="F25" i="14" s="1"/>
  <c r="H24" i="14"/>
  <c r="J24" i="14" s="1"/>
  <c r="G22" i="14"/>
  <c r="J22" i="14"/>
  <c r="D122" i="14"/>
  <c r="H124" i="14"/>
  <c r="D112" i="14"/>
  <c r="E29" i="14" l="1"/>
  <c r="F29" i="14" s="1"/>
  <c r="E32" i="14"/>
  <c r="F32" i="14" s="1"/>
  <c r="E22" i="14"/>
  <c r="F22" i="14" s="1"/>
  <c r="D116" i="14"/>
  <c r="H116" i="14" s="1"/>
  <c r="M18" i="14"/>
  <c r="E24" i="14"/>
  <c r="F24" i="14" s="1"/>
  <c r="D124" i="14"/>
  <c r="G124" i="14" s="1"/>
  <c r="I124" i="14"/>
  <c r="G122" i="14"/>
  <c r="D123" i="14"/>
  <c r="G123" i="14" s="1"/>
  <c r="D114" i="14"/>
  <c r="H114" i="14" s="1"/>
  <c r="H112" i="14"/>
  <c r="M20" i="14" l="1"/>
  <c r="O20" i="14" s="1"/>
  <c r="O18" i="14"/>
  <c r="D86" i="14"/>
  <c r="J84" i="14" s="1"/>
  <c r="K31" i="14" s="1"/>
  <c r="H31" i="14" s="1"/>
  <c r="G31" i="14" l="1"/>
  <c r="J31" i="14"/>
  <c r="D88" i="14"/>
  <c r="H86" i="14"/>
  <c r="H88" i="14" l="1"/>
  <c r="D113" i="14" s="1"/>
  <c r="M19" i="14" s="1"/>
  <c r="J86" i="14"/>
  <c r="K33" i="14" s="1"/>
  <c r="H33" i="14" s="1"/>
  <c r="H130" i="14" l="1"/>
  <c r="D130" i="14" s="1"/>
  <c r="G130" i="14" s="1"/>
  <c r="D128" i="14"/>
  <c r="G128" i="14" s="1"/>
  <c r="H109" i="14"/>
  <c r="D117" i="14"/>
  <c r="H117" i="14" s="1"/>
  <c r="G33" i="14"/>
  <c r="J33" i="14"/>
  <c r="M21" i="14"/>
  <c r="O21" i="14" s="1"/>
  <c r="O19" i="14"/>
  <c r="I105" i="14"/>
  <c r="D115" i="14"/>
  <c r="H115" i="14" s="1"/>
  <c r="E33" i="14" l="1"/>
  <c r="F33" i="14" s="1"/>
  <c r="I130" i="14"/>
  <c r="D129" i="14"/>
  <c r="G129" i="14" s="1"/>
  <c r="H113" i="14"/>
  <c r="E73" i="13"/>
  <c r="E74" i="13" s="1"/>
  <c r="E71" i="13"/>
  <c r="E69" i="13"/>
  <c r="M14" i="13"/>
  <c r="J14" i="13"/>
  <c r="D14" i="13"/>
  <c r="C14" i="13"/>
  <c r="H11" i="13"/>
  <c r="M10" i="13"/>
  <c r="G8" i="13"/>
  <c r="Q6" i="13"/>
  <c r="U4" i="13"/>
  <c r="R4" i="13"/>
  <c r="F66" i="11"/>
  <c r="F73" i="11" s="1"/>
  <c r="H73" i="11" s="1"/>
  <c r="D66" i="11"/>
  <c r="F65" i="11"/>
  <c r="F72" i="11" s="1"/>
  <c r="H72" i="11" s="1"/>
  <c r="F64" i="11"/>
  <c r="F71" i="11" s="1"/>
  <c r="H71" i="11" s="1"/>
  <c r="F63" i="11"/>
  <c r="F70" i="11" s="1"/>
  <c r="M14" i="11"/>
  <c r="D70" i="11" s="1"/>
  <c r="J14" i="11"/>
  <c r="D14" i="11"/>
  <c r="C14" i="11"/>
  <c r="H11" i="11"/>
  <c r="M10" i="11"/>
  <c r="U4" i="11"/>
  <c r="R4" i="11"/>
  <c r="X6" i="11" l="1"/>
  <c r="J6" i="11"/>
  <c r="K19" i="11" s="1"/>
  <c r="I6" i="11"/>
  <c r="E68" i="11" s="1"/>
  <c r="I7" i="11"/>
  <c r="J7" i="11"/>
  <c r="J8" i="11"/>
  <c r="I8" i="11"/>
  <c r="D41" i="11" s="1"/>
  <c r="H70" i="11"/>
  <c r="K14" i="11"/>
  <c r="E48" i="13"/>
  <c r="K48" i="13"/>
  <c r="X6" i="13"/>
  <c r="R18" i="11"/>
  <c r="S18" i="11" s="1"/>
  <c r="W13" i="13"/>
  <c r="W15" i="13"/>
  <c r="W14" i="13"/>
  <c r="W12" i="13"/>
  <c r="J7" i="13"/>
  <c r="I7" i="13"/>
  <c r="H60" i="14"/>
  <c r="J6" i="13"/>
  <c r="I6" i="13"/>
  <c r="E38" i="13" s="1"/>
  <c r="K14" i="13"/>
  <c r="L14" i="13"/>
  <c r="J8" i="13"/>
  <c r="L14" i="11"/>
  <c r="H66" i="11"/>
  <c r="E40" i="11" l="1"/>
  <c r="E41" i="11"/>
  <c r="F41" i="11" s="1"/>
  <c r="D40" i="11"/>
  <c r="F40" i="11" s="1"/>
  <c r="E89" i="11"/>
  <c r="K18" i="11"/>
  <c r="H18" i="11" s="1"/>
  <c r="J18" i="11" s="1"/>
  <c r="K25" i="11"/>
  <c r="G25" i="11" s="1"/>
  <c r="E25" i="11" s="1"/>
  <c r="F25" i="11" s="1"/>
  <c r="H19" i="11"/>
  <c r="J19" i="11" s="1"/>
  <c r="G19" i="11"/>
  <c r="K7" i="11"/>
  <c r="K8" i="11"/>
  <c r="F89" i="11" s="1"/>
  <c r="K6" i="11"/>
  <c r="D28" i="11"/>
  <c r="D21" i="11"/>
  <c r="D64" i="11"/>
  <c r="H64" i="11" s="1"/>
  <c r="D22" i="11"/>
  <c r="H22" i="11" s="1"/>
  <c r="J22" i="11" s="1"/>
  <c r="D27" i="11"/>
  <c r="H27" i="11" s="1"/>
  <c r="D20" i="11"/>
  <c r="H20" i="11" s="1"/>
  <c r="D29" i="11"/>
  <c r="H29" i="11" s="1"/>
  <c r="K7" i="13"/>
  <c r="F61" i="11"/>
  <c r="F38" i="13"/>
  <c r="F28" i="13" s="1"/>
  <c r="J81" i="13" s="1"/>
  <c r="J87" i="13" s="1"/>
  <c r="K6" i="13"/>
  <c r="C191" i="13"/>
  <c r="N191" i="13" s="1"/>
  <c r="O191" i="13" s="1"/>
  <c r="C167" i="13"/>
  <c r="N167" i="13" s="1"/>
  <c r="O167" i="13" s="1"/>
  <c r="C170" i="13"/>
  <c r="N170" i="13" s="1"/>
  <c r="O170" i="13" s="1"/>
  <c r="K97" i="13" s="1"/>
  <c r="C169" i="13"/>
  <c r="N169" i="13" s="1"/>
  <c r="O169" i="13" s="1"/>
  <c r="C168" i="13"/>
  <c r="N168" i="13" s="1"/>
  <c r="O168" i="13" s="1"/>
  <c r="C152" i="13"/>
  <c r="N152" i="13" s="1"/>
  <c r="O152" i="13" s="1"/>
  <c r="E61" i="11"/>
  <c r="D65" i="11"/>
  <c r="H65" i="11" s="1"/>
  <c r="D63" i="11"/>
  <c r="H63" i="11" s="1"/>
  <c r="F42" i="11" l="1"/>
  <c r="E19" i="11"/>
  <c r="F19" i="11" s="1"/>
  <c r="G18" i="11"/>
  <c r="E18" i="11" s="1"/>
  <c r="F18" i="11" s="1"/>
  <c r="H89" i="11"/>
  <c r="H28" i="11"/>
  <c r="J28" i="11" s="1"/>
  <c r="G28" i="11"/>
  <c r="H21" i="11"/>
  <c r="J21" i="11" s="1"/>
  <c r="G21" i="11"/>
  <c r="F68" i="11"/>
  <c r="G22" i="11"/>
  <c r="D46" i="11"/>
  <c r="H48" i="11"/>
  <c r="D48" i="11" s="1"/>
  <c r="G48" i="11" s="1"/>
  <c r="J29" i="11"/>
  <c r="G29" i="11"/>
  <c r="J20" i="11"/>
  <c r="G20" i="11"/>
  <c r="J27" i="11"/>
  <c r="G27" i="11"/>
  <c r="E30" i="11"/>
  <c r="F30" i="11" s="1"/>
  <c r="E23" i="11"/>
  <c r="F23" i="11" s="1"/>
  <c r="F35" i="13"/>
  <c r="F45" i="13" s="1"/>
  <c r="F27" i="13"/>
  <c r="F48" i="13"/>
  <c r="F26" i="13"/>
  <c r="E46" i="13"/>
  <c r="I87" i="13"/>
  <c r="E45" i="13"/>
  <c r="E47" i="13"/>
  <c r="E26" i="13"/>
  <c r="E35" i="13"/>
  <c r="E27" i="13"/>
  <c r="E37" i="13"/>
  <c r="E36" i="13"/>
  <c r="E28" i="13"/>
  <c r="E25" i="13"/>
  <c r="F37" i="13"/>
  <c r="F47" i="13" s="1"/>
  <c r="H61" i="11"/>
  <c r="D82" i="11" s="1"/>
  <c r="M18" i="11" s="1"/>
  <c r="F36" i="13"/>
  <c r="F46" i="13" s="1"/>
  <c r="F25" i="13"/>
  <c r="O171" i="13"/>
  <c r="H42" i="13" s="1"/>
  <c r="G61" i="11"/>
  <c r="E21" i="11" l="1"/>
  <c r="F21" i="11" s="1"/>
  <c r="E28" i="11"/>
  <c r="F28" i="11" s="1"/>
  <c r="K26" i="11"/>
  <c r="D87" i="11"/>
  <c r="H87" i="11" s="1"/>
  <c r="H68" i="11"/>
  <c r="D83" i="11" s="1"/>
  <c r="M19" i="11" s="1"/>
  <c r="G68" i="11"/>
  <c r="G46" i="11"/>
  <c r="D47" i="11"/>
  <c r="G47" i="11" s="1"/>
  <c r="E20" i="11"/>
  <c r="F20" i="11" s="1"/>
  <c r="E27" i="11"/>
  <c r="F27" i="11" s="1"/>
  <c r="E29" i="11"/>
  <c r="F29" i="11" s="1"/>
  <c r="O18" i="11"/>
  <c r="M20" i="11"/>
  <c r="O20" i="11" s="1"/>
  <c r="E22" i="11"/>
  <c r="F22" i="11" s="1"/>
  <c r="H26" i="11" l="1"/>
  <c r="G26" i="11"/>
  <c r="H83" i="11"/>
  <c r="D85" i="11"/>
  <c r="H85" i="11" s="1"/>
  <c r="H79" i="11"/>
  <c r="D86" i="11"/>
  <c r="H86" i="11" s="1"/>
  <c r="H82" i="11"/>
  <c r="D84" i="11"/>
  <c r="H84" i="11" s="1"/>
  <c r="G38" i="11" l="1"/>
  <c r="J26" i="11"/>
  <c r="J38" i="11" s="1"/>
  <c r="H38" i="11"/>
  <c r="M21" i="11"/>
  <c r="O21" i="11" s="1"/>
  <c r="O19" i="11"/>
  <c r="E26" i="11" l="1"/>
  <c r="F26" i="11" s="1"/>
  <c r="F38" i="11" s="1"/>
  <c r="H59" i="11"/>
  <c r="G8" i="9" l="1"/>
  <c r="D55" i="10" l="1"/>
  <c r="E76" i="10"/>
  <c r="E74" i="10"/>
  <c r="E72" i="10"/>
  <c r="F62" i="10"/>
  <c r="F54" i="10"/>
  <c r="F61" i="10" s="1"/>
  <c r="F53" i="10"/>
  <c r="F60" i="10" s="1"/>
  <c r="F52" i="10"/>
  <c r="F59" i="10" s="1"/>
  <c r="M14" i="10"/>
  <c r="J14" i="10"/>
  <c r="D14" i="10"/>
  <c r="J58" i="10" s="1"/>
  <c r="C14" i="10"/>
  <c r="J57" i="10" s="1"/>
  <c r="H11" i="10"/>
  <c r="M10" i="10"/>
  <c r="Q6" i="10"/>
  <c r="U4" i="10"/>
  <c r="R4" i="10"/>
  <c r="D26" i="9"/>
  <c r="E49" i="9"/>
  <c r="E47" i="9"/>
  <c r="E45" i="9"/>
  <c r="D35" i="9"/>
  <c r="F28" i="9"/>
  <c r="F35" i="9" s="1"/>
  <c r="D28" i="9"/>
  <c r="F27" i="9"/>
  <c r="F34" i="9" s="1"/>
  <c r="F26" i="9"/>
  <c r="F33" i="9" s="1"/>
  <c r="F25" i="9"/>
  <c r="F32" i="9" s="1"/>
  <c r="M14" i="9"/>
  <c r="J14" i="9"/>
  <c r="D14" i="9"/>
  <c r="C14" i="9"/>
  <c r="J8" i="9" s="1"/>
  <c r="H11" i="9"/>
  <c r="M10" i="9"/>
  <c r="L14" i="9" s="1"/>
  <c r="U6" i="9"/>
  <c r="R6" i="9"/>
  <c r="Q6" i="9"/>
  <c r="H6" i="9"/>
  <c r="E6" i="9"/>
  <c r="U4" i="9"/>
  <c r="R4" i="9"/>
  <c r="X6" i="10" l="1"/>
  <c r="R18" i="10" s="1"/>
  <c r="S18" i="10" s="1"/>
  <c r="I6" i="10"/>
  <c r="E57" i="10" s="1"/>
  <c r="J7" i="10"/>
  <c r="I7" i="10"/>
  <c r="J6" i="10"/>
  <c r="F50" i="10" s="1"/>
  <c r="K14" i="10"/>
  <c r="J8" i="10"/>
  <c r="H55" i="10"/>
  <c r="L14" i="10"/>
  <c r="D61" i="10" s="1"/>
  <c r="H26" i="9"/>
  <c r="H28" i="9"/>
  <c r="K14" i="9"/>
  <c r="X6" i="9"/>
  <c r="H35" i="9"/>
  <c r="I6" i="9"/>
  <c r="J6" i="9"/>
  <c r="E41" i="10" l="1"/>
  <c r="E40" i="10"/>
  <c r="F41" i="10"/>
  <c r="F40" i="10"/>
  <c r="F78" i="10"/>
  <c r="K18" i="10"/>
  <c r="G18" i="10" s="1"/>
  <c r="D22" i="10"/>
  <c r="G22" i="10" s="1"/>
  <c r="K6" i="10"/>
  <c r="K19" i="10"/>
  <c r="K7" i="10"/>
  <c r="D59" i="10"/>
  <c r="D60" i="10"/>
  <c r="H60" i="10" s="1"/>
  <c r="D21" i="10"/>
  <c r="D28" i="10"/>
  <c r="D53" i="10"/>
  <c r="H53" i="10" s="1"/>
  <c r="F57" i="10"/>
  <c r="K26" i="10" s="1"/>
  <c r="D20" i="10"/>
  <c r="D27" i="10"/>
  <c r="D29" i="10"/>
  <c r="E78" i="10"/>
  <c r="D25" i="9"/>
  <c r="H25" i="9" s="1"/>
  <c r="D52" i="10"/>
  <c r="H52" i="10" s="1"/>
  <c r="D54" i="10"/>
  <c r="H54" i="10" s="1"/>
  <c r="E50" i="10"/>
  <c r="D27" i="9"/>
  <c r="H27" i="9" s="1"/>
  <c r="D33" i="9"/>
  <c r="H33" i="9" s="1"/>
  <c r="F23" i="9"/>
  <c r="F30" i="9" s="1"/>
  <c r="K6" i="9"/>
  <c r="E23" i="9"/>
  <c r="G40" i="10" l="1"/>
  <c r="G41" i="10"/>
  <c r="H18" i="10"/>
  <c r="J18" i="10" s="1"/>
  <c r="E18" i="10" s="1"/>
  <c r="F18" i="10" s="1"/>
  <c r="H78" i="10"/>
  <c r="K25" i="10"/>
  <c r="G25" i="10" s="1"/>
  <c r="E25" i="10" s="1"/>
  <c r="F25" i="10" s="1"/>
  <c r="H22" i="10"/>
  <c r="J22" i="10" s="1"/>
  <c r="E22" i="10" s="1"/>
  <c r="F22" i="10" s="1"/>
  <c r="G19" i="10"/>
  <c r="H19" i="10"/>
  <c r="G28" i="10"/>
  <c r="H28" i="10"/>
  <c r="J28" i="10" s="1"/>
  <c r="H21" i="10"/>
  <c r="J21" i="10" s="1"/>
  <c r="G21" i="10"/>
  <c r="H57" i="10"/>
  <c r="G57" i="10"/>
  <c r="H20" i="10"/>
  <c r="J20" i="10" s="1"/>
  <c r="G20" i="10"/>
  <c r="H27" i="10"/>
  <c r="J27" i="10" s="1"/>
  <c r="G27" i="10"/>
  <c r="H29" i="10"/>
  <c r="J29" i="10" s="1"/>
  <c r="G29" i="10"/>
  <c r="G30" i="10"/>
  <c r="G50" i="10"/>
  <c r="H50" i="10"/>
  <c r="D71" i="10" s="1"/>
  <c r="M18" i="10" s="1"/>
  <c r="H23" i="9"/>
  <c r="G23" i="9"/>
  <c r="G42" i="10" l="1"/>
  <c r="J19" i="10"/>
  <c r="E19" i="10" s="1"/>
  <c r="F19" i="10" s="1"/>
  <c r="E28" i="10"/>
  <c r="F28" i="10" s="1"/>
  <c r="E21" i="10"/>
  <c r="F21" i="10" s="1"/>
  <c r="G26" i="10"/>
  <c r="H26" i="10"/>
  <c r="J26" i="10" s="1"/>
  <c r="E27" i="10"/>
  <c r="F27" i="10" s="1"/>
  <c r="E29" i="10"/>
  <c r="F29" i="10" s="1"/>
  <c r="E30" i="10"/>
  <c r="F30" i="10" s="1"/>
  <c r="M20" i="10"/>
  <c r="O20" i="10" s="1"/>
  <c r="O18" i="10"/>
  <c r="D44" i="9"/>
  <c r="H62" i="10"/>
  <c r="G30" i="9"/>
  <c r="E26" i="10" l="1"/>
  <c r="F26" i="10" s="1"/>
  <c r="E23" i="10"/>
  <c r="F23" i="10" s="1"/>
  <c r="D32" i="9"/>
  <c r="H32" i="9" s="1"/>
  <c r="D73" i="10"/>
  <c r="H73" i="10" s="1"/>
  <c r="D75" i="10"/>
  <c r="H75" i="10" s="1"/>
  <c r="H71" i="10"/>
  <c r="D46" i="9"/>
  <c r="H46" i="9" s="1"/>
  <c r="D48" i="9"/>
  <c r="H48" i="9" s="1"/>
  <c r="H44" i="9"/>
  <c r="D34" i="9" l="1"/>
  <c r="H34" i="9" s="1"/>
  <c r="D49" i="9" s="1"/>
  <c r="H30" i="9"/>
  <c r="H41" i="9" l="1"/>
  <c r="D45" i="9"/>
  <c r="H49" i="9"/>
  <c r="H45" i="9" l="1"/>
  <c r="D47" i="9"/>
  <c r="H47" i="9" s="1"/>
  <c r="H21" i="9" l="1"/>
  <c r="H61" i="10"/>
  <c r="H59" i="10"/>
  <c r="D72" i="10" l="1"/>
  <c r="D76" i="10"/>
  <c r="H76" i="10" s="1"/>
  <c r="H68" i="10" l="1"/>
  <c r="D74" i="10" l="1"/>
  <c r="H74" i="10" s="1"/>
  <c r="M19" i="10"/>
  <c r="H72" i="10"/>
  <c r="O19" i="10" l="1"/>
  <c r="M21" i="10"/>
  <c r="O21" i="10" s="1"/>
  <c r="H48" i="10"/>
  <c r="N161" i="13" l="1"/>
  <c r="O161" i="13" s="1"/>
  <c r="K96" i="13" s="1"/>
  <c r="N159" i="13"/>
  <c r="O159" i="13" s="1"/>
  <c r="O162" i="13" l="1"/>
  <c r="H41" i="13" s="1"/>
  <c r="K95" i="13" l="1"/>
  <c r="C207" i="13"/>
  <c r="N207" i="13" s="1"/>
  <c r="O207" i="13" s="1"/>
  <c r="C208" i="13"/>
  <c r="N208" i="13" s="1"/>
  <c r="O208" i="13" s="1"/>
  <c r="C206" i="13"/>
  <c r="N206" i="13" s="1"/>
  <c r="O206" i="13" s="1"/>
  <c r="C209" i="13"/>
  <c r="N209" i="13" s="1"/>
  <c r="O209" i="13" s="1"/>
  <c r="O210" i="13" l="1"/>
  <c r="H52" i="13" s="1"/>
  <c r="K102" i="13" s="1"/>
  <c r="G26" i="13" l="1"/>
  <c r="G45" i="13"/>
  <c r="G27" i="13"/>
  <c r="G25" i="13"/>
  <c r="G28" i="13"/>
  <c r="G47" i="13"/>
  <c r="G37" i="13"/>
  <c r="G36" i="13"/>
  <c r="G46" i="13"/>
  <c r="G48" i="13"/>
  <c r="G38" i="13"/>
  <c r="G35" i="13" l="1"/>
  <c r="I81" i="13"/>
  <c r="H38" i="13" l="1"/>
  <c r="D47" i="13"/>
  <c r="C190" i="13" s="1"/>
  <c r="N190" i="13" s="1"/>
  <c r="O190" i="13" s="1"/>
  <c r="D37" i="13"/>
  <c r="D45" i="13"/>
  <c r="C188" i="13" s="1"/>
  <c r="N188" i="13" s="1"/>
  <c r="O188" i="13" s="1"/>
  <c r="D35" i="13"/>
  <c r="D46" i="13"/>
  <c r="C189" i="13" s="1"/>
  <c r="N189" i="13" s="1"/>
  <c r="O189" i="13" s="1"/>
  <c r="D36" i="13"/>
  <c r="O192" i="13" l="1"/>
  <c r="H50" i="13" s="1"/>
  <c r="K100" i="13" s="1"/>
  <c r="H37" i="13"/>
  <c r="C151" i="13"/>
  <c r="N151" i="13" s="1"/>
  <c r="O151" i="13" s="1"/>
  <c r="H36" i="13"/>
  <c r="C150" i="13"/>
  <c r="N150" i="13" s="1"/>
  <c r="O150" i="13" s="1"/>
  <c r="H35" i="13"/>
  <c r="C149" i="13"/>
  <c r="N149" i="13" s="1"/>
  <c r="O149" i="13" s="1"/>
  <c r="D25" i="13"/>
  <c r="D28" i="13"/>
  <c r="C115" i="13" s="1"/>
  <c r="N115" i="13" s="1"/>
  <c r="O115" i="13" s="1"/>
  <c r="H45" i="13"/>
  <c r="H87" i="13"/>
  <c r="H88" i="13" s="1"/>
  <c r="K88" i="13" s="1"/>
  <c r="H47" i="13"/>
  <c r="H48" i="13"/>
  <c r="H46" i="13"/>
  <c r="D26" i="13"/>
  <c r="D27" i="13"/>
  <c r="O153" i="13" l="1"/>
  <c r="H40" i="13" s="1"/>
  <c r="H28" i="13"/>
  <c r="H27" i="13"/>
  <c r="C114" i="13"/>
  <c r="N114" i="13" s="1"/>
  <c r="O114" i="13" s="1"/>
  <c r="H26" i="13"/>
  <c r="C113" i="13"/>
  <c r="N113" i="13" s="1"/>
  <c r="O113" i="13" s="1"/>
  <c r="C112" i="13"/>
  <c r="N112" i="13" s="1"/>
  <c r="O112" i="13" s="1"/>
  <c r="H75" i="13"/>
  <c r="K99" i="13"/>
  <c r="M87" i="13"/>
  <c r="K87" i="13"/>
  <c r="H81" i="13"/>
  <c r="H25" i="13"/>
  <c r="K93" i="13" l="1"/>
  <c r="O116" i="13"/>
  <c r="H30" i="13" s="1"/>
  <c r="K94" i="13" s="1"/>
  <c r="K81" i="13"/>
  <c r="H82" i="13"/>
  <c r="K82" i="13" s="1"/>
  <c r="D73" i="13"/>
  <c r="M99" i="13" s="1"/>
  <c r="D69" i="13"/>
  <c r="I63" i="13"/>
  <c r="D68" i="13" l="1"/>
  <c r="D70" i="13" s="1"/>
  <c r="H70" i="13" s="1"/>
  <c r="H65" i="13"/>
  <c r="M81" i="13"/>
  <c r="M93" i="13"/>
  <c r="K105" i="13"/>
  <c r="H77" i="13" s="1"/>
  <c r="H73" i="13"/>
  <c r="D71" i="13"/>
  <c r="H71" i="13" s="1"/>
  <c r="H69" i="13"/>
  <c r="D72" i="13" l="1"/>
  <c r="H72" i="13" s="1"/>
  <c r="H68" i="13"/>
  <c r="H23" i="13" s="1"/>
  <c r="K106" i="13"/>
  <c r="D74" i="13" s="1"/>
  <c r="H74" i="13" s="1"/>
  <c r="G38" i="10"/>
  <c r="H38" i="10"/>
  <c r="E20" i="10" l="1"/>
  <c r="J38" i="10"/>
  <c r="F20" i="10" l="1"/>
  <c r="F38" i="10" s="1"/>
  <c r="E31" i="14"/>
  <c r="F31" i="14" s="1"/>
  <c r="G42" i="14" l="1"/>
  <c r="H42" i="14" l="1"/>
  <c r="J42" i="14" l="1"/>
  <c r="E34" i="14"/>
  <c r="F34" i="14" s="1"/>
  <c r="F4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76C757C2-1B39-467E-85CA-4D467BFE1A2F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795FA32D-8254-476E-9711-C9ED6CD38A0E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BF9E29DA-E0A3-4586-9390-87359770A9E3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E81" authorId="0" shapeId="0" xr:uid="{381CD77F-E645-47B3-A8A4-8EF46C78757D}">
      <text>
        <r>
          <rPr>
            <b/>
            <sz val="9"/>
            <color indexed="81"/>
            <rFont val="Segoe UI"/>
            <family val="2"/>
          </rPr>
          <t>A partir de favereiro essa passa a ser a tarifa titular!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E81" authorId="0" shapeId="0" xr:uid="{2E1E5638-DD52-48CF-84A4-DF48B100249D}">
      <text>
        <r>
          <rPr>
            <b/>
            <sz val="9"/>
            <color indexed="81"/>
            <rFont val="Segoe UI"/>
            <family val="2"/>
          </rPr>
          <t>A partir de favereiro essa passa a ser a tarifa titular!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49" authorId="0" shapeId="0" xr:uid="{F0B1127D-D478-47E9-8AFC-92039EBA4367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50" authorId="0" shapeId="0" xr:uid="{01B7E631-6928-422F-9797-07EF43EAB42E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63" authorId="0" shapeId="0" xr:uid="{75A84DE0-2469-44D9-A8A8-12B4BAC03D18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66" authorId="0" shapeId="0" xr:uid="{3AA851A0-3757-427D-8CEB-7B914192BCD1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<sst xmlns="http://schemas.openxmlformats.org/spreadsheetml/2006/main" count="2956" uniqueCount="383">
  <si>
    <t>Regra do custo de disponibilidade</t>
  </si>
  <si>
    <t>Consumo =</t>
  </si>
  <si>
    <t>kWh</t>
  </si>
  <si>
    <t>Energia Injetada =</t>
  </si>
  <si>
    <t>TUSD =</t>
  </si>
  <si>
    <t>TE =</t>
  </si>
  <si>
    <t>R$/kWh</t>
  </si>
  <si>
    <t>R$</t>
  </si>
  <si>
    <t xml:space="preserve"> </t>
  </si>
  <si>
    <t>TE</t>
  </si>
  <si>
    <t>TUSD</t>
  </si>
  <si>
    <t>ICMS</t>
  </si>
  <si>
    <t>Bandeira</t>
  </si>
  <si>
    <t>VERDE</t>
  </si>
  <si>
    <t>BAM</t>
  </si>
  <si>
    <t>BVM1</t>
  </si>
  <si>
    <t>BVM2</t>
  </si>
  <si>
    <t>Escassez Hídrica</t>
  </si>
  <si>
    <t>Adicional de Bandeira Amarela</t>
  </si>
  <si>
    <t>Adicional de bandeira Vermelha 2</t>
  </si>
  <si>
    <t>Adicional de bandeira Vermelha 1</t>
  </si>
  <si>
    <t>Leitura Anterior</t>
  </si>
  <si>
    <t>Nº de dias tarifa Anterior</t>
  </si>
  <si>
    <t>Nº de dias tarifa Nova</t>
  </si>
  <si>
    <t>Leitura Atual</t>
  </si>
  <si>
    <t>Vigência das Tarifas (troca Bandeira):</t>
  </si>
  <si>
    <t>Altere a bandeira na célula abaixo</t>
  </si>
  <si>
    <t>B1 Res</t>
  </si>
  <si>
    <t>Vigência das Tarifas:</t>
  </si>
  <si>
    <t>ANEEL em 29/06</t>
  </si>
  <si>
    <t>TUSD FIO B</t>
  </si>
  <si>
    <t>TARIFA</t>
  </si>
  <si>
    <t>Tarifas Proporcionalizadas</t>
  </si>
  <si>
    <t>Tusd</t>
  </si>
  <si>
    <t>TUSD + TE</t>
  </si>
  <si>
    <t>Tusd (R$/kWh)</t>
  </si>
  <si>
    <t>B1</t>
  </si>
  <si>
    <t>Fatura</t>
  </si>
  <si>
    <t>INSTALAÇÃO</t>
  </si>
  <si>
    <t>Fatura B1 Residencial</t>
  </si>
  <si>
    <t>Qtde</t>
  </si>
  <si>
    <t>Fornecimento de Energia Elétrica</t>
  </si>
  <si>
    <t>Energia Fornecida</t>
  </si>
  <si>
    <t xml:space="preserve">Adicional BAM </t>
  </si>
  <si>
    <t>Adicional BVM 1</t>
  </si>
  <si>
    <t>Adicional BVM 2</t>
  </si>
  <si>
    <t>Adicional Escassez Hídrica</t>
  </si>
  <si>
    <t>Energia Injetada</t>
  </si>
  <si>
    <t>Base de Cálculo</t>
  </si>
  <si>
    <t xml:space="preserve">PIS </t>
  </si>
  <si>
    <t>PIS Eneg Inj</t>
  </si>
  <si>
    <t>COFINS</t>
  </si>
  <si>
    <t>COFINS Eneg Inj</t>
  </si>
  <si>
    <t>ICMS Eneg Inj</t>
  </si>
  <si>
    <t>Custo de disponibilidade</t>
  </si>
  <si>
    <t>Perc. de Redução da Energia Injetada</t>
  </si>
  <si>
    <t>bandeira proporcional</t>
  </si>
  <si>
    <t>TE SCEE</t>
  </si>
  <si>
    <t>TARIFA ANTIGA - REH 3091/2022</t>
  </si>
  <si>
    <t>TARIFA NOVA - REH XXXX/2023</t>
  </si>
  <si>
    <t>monofásico</t>
  </si>
  <si>
    <t>bifásico</t>
  </si>
  <si>
    <t>trifásico</t>
  </si>
  <si>
    <t>Cliente</t>
  </si>
  <si>
    <t>GDI</t>
  </si>
  <si>
    <t>GDII</t>
  </si>
  <si>
    <t>B3</t>
  </si>
  <si>
    <t>B2</t>
  </si>
  <si>
    <t>desconto:</t>
  </si>
  <si>
    <t>Energia Fornecida reservado</t>
  </si>
  <si>
    <t>Desconto reservado</t>
  </si>
  <si>
    <t>Adicional BAM PT Reservado</t>
  </si>
  <si>
    <t>Adicional BVM 1 PT Reservado</t>
  </si>
  <si>
    <t>Adicional BVM 2 PT Reservado</t>
  </si>
  <si>
    <t>Adicional Esc. Hídrica Reserv</t>
  </si>
  <si>
    <t>Desc Adicional BAM</t>
  </si>
  <si>
    <t xml:space="preserve">Desc Adicional BVM 1 </t>
  </si>
  <si>
    <t>Desc Adicional BVM 2</t>
  </si>
  <si>
    <t>Desc Adicional Escassez Hídrica</t>
  </si>
  <si>
    <t>Energia Injetada reservado</t>
  </si>
  <si>
    <t>Desconto Injetado reservado</t>
  </si>
  <si>
    <t>Adicional BAM Injet</t>
  </si>
  <si>
    <t>Adicional BVM 1 Injet</t>
  </si>
  <si>
    <t>Adicional BVM 2 Injet</t>
  </si>
  <si>
    <t>Adicional BAM PT Reservado Injet</t>
  </si>
  <si>
    <t>Adicional BVM 1 PT Reservado Injet</t>
  </si>
  <si>
    <t>Adicional BVM 2 PT Reservado Injet</t>
  </si>
  <si>
    <t>Desc Adicional BAM Injet</t>
  </si>
  <si>
    <t>Desc Adicional BVM 1 Injet</t>
  </si>
  <si>
    <t>Desc Adicional BVM 2 Injet</t>
  </si>
  <si>
    <t>Se for base reduzida: (célula E43 = 12%)</t>
  </si>
  <si>
    <t>Com tributos</t>
  </si>
  <si>
    <t>PIS</t>
  </si>
  <si>
    <t>x</t>
  </si>
  <si>
    <t>Rural c/ incrição</t>
  </si>
  <si>
    <t>Injetada</t>
  </si>
  <si>
    <t>A4 Verde</t>
  </si>
  <si>
    <t>MMGD</t>
  </si>
  <si>
    <t>OK</t>
  </si>
  <si>
    <t>Tusd (R$/kW)</t>
  </si>
  <si>
    <t>TE (R$/kWh)</t>
  </si>
  <si>
    <t>A4 Verde P</t>
  </si>
  <si>
    <t>A4 Verde FP</t>
  </si>
  <si>
    <t>Fatura A4 Verde - MMGD</t>
  </si>
  <si>
    <t xml:space="preserve">Documento impressão: </t>
  </si>
  <si>
    <t>TUSD Fio B</t>
  </si>
  <si>
    <t>Receita Fio B</t>
  </si>
  <si>
    <t>Consumo Ponta</t>
  </si>
  <si>
    <t>Consumo Fora Ponta</t>
  </si>
  <si>
    <t>Adicional BAM</t>
  </si>
  <si>
    <t>Adic. Escassez Hídrica</t>
  </si>
  <si>
    <t>Energ Injetada Ponta</t>
  </si>
  <si>
    <t>Energ Injetada Fora Ponta</t>
  </si>
  <si>
    <t>EUSD B</t>
  </si>
  <si>
    <t>Demanda</t>
  </si>
  <si>
    <t>Demanda não utilizada</t>
  </si>
  <si>
    <t>Ultrap Demanda</t>
  </si>
  <si>
    <t>ERE</t>
  </si>
  <si>
    <t>DRE</t>
  </si>
  <si>
    <t>PIS Injetado</t>
  </si>
  <si>
    <t>PIS não utilizada</t>
  </si>
  <si>
    <t>COFINS Injetado</t>
  </si>
  <si>
    <t>COFINS não utilizada</t>
  </si>
  <si>
    <t>ICMS Injetado TE</t>
  </si>
  <si>
    <t>A4 AZUL</t>
  </si>
  <si>
    <t>A4 Azul P</t>
  </si>
  <si>
    <t>A4 Azul FP</t>
  </si>
  <si>
    <t>Fatura A4 Azul - MMGD</t>
  </si>
  <si>
    <t>Demanda Ponta</t>
  </si>
  <si>
    <t>Demanda Fora Ponta</t>
  </si>
  <si>
    <t>Demanda não utilizada P</t>
  </si>
  <si>
    <t>Demanda não utilizada FP</t>
  </si>
  <si>
    <t>Ultrap Demanda P</t>
  </si>
  <si>
    <t>Ultrap Demanda FP</t>
  </si>
  <si>
    <t>Fornecida</t>
  </si>
  <si>
    <t>Fatura B2 Irrig</t>
  </si>
  <si>
    <t>Fatura B2</t>
  </si>
  <si>
    <t>Fatura B1 Baixa Renda</t>
  </si>
  <si>
    <t>TE SCEE P</t>
  </si>
  <si>
    <t>TE SCEE FP</t>
  </si>
  <si>
    <t>Energia Comp. P SCEE</t>
  </si>
  <si>
    <t>Energia Comp. FP SCEE</t>
  </si>
  <si>
    <t>Des Energ. Comp. P SCEE</t>
  </si>
  <si>
    <t>Des Energ. Comp. FP SCEE</t>
  </si>
  <si>
    <t>TUSD P</t>
  </si>
  <si>
    <t>TE P</t>
  </si>
  <si>
    <t>TUSD FP</t>
  </si>
  <si>
    <t>TE FP</t>
  </si>
  <si>
    <t>Energia Fornecida 0 - 30</t>
  </si>
  <si>
    <t>Energia Fornecida 31 - 100</t>
  </si>
  <si>
    <t>Energia Fornecida &gt; 220</t>
  </si>
  <si>
    <t>Energia Fornecida 101 - 220</t>
  </si>
  <si>
    <t>TARIFA 
R$ kWh</t>
  </si>
  <si>
    <t>Baixa renda</t>
  </si>
  <si>
    <t>B1 Baixa renda</t>
  </si>
  <si>
    <t>Consumo - Adicional de Bandeira</t>
  </si>
  <si>
    <t>Consumo</t>
  </si>
  <si>
    <t xml:space="preserve">Tarifas </t>
  </si>
  <si>
    <t>Receita</t>
  </si>
  <si>
    <t>Receita Total</t>
  </si>
  <si>
    <t>KWh</t>
  </si>
  <si>
    <t>Tusd+TE</t>
  </si>
  <si>
    <t>TOTAL</t>
  </si>
  <si>
    <t>Energia Inejtada 0 - 30</t>
  </si>
  <si>
    <t>Energia Injetada 31 - 100</t>
  </si>
  <si>
    <t>Energia Injetada 101 - 220</t>
  </si>
  <si>
    <t>Energia Injetada &gt; 220</t>
  </si>
  <si>
    <t>Benefício Tarifa Social</t>
  </si>
  <si>
    <t>(mensagem na fatura)</t>
  </si>
  <si>
    <t>TUSD          X</t>
  </si>
  <si>
    <t xml:space="preserve">TE           </t>
  </si>
  <si>
    <t>B1 Baixa Renda</t>
  </si>
  <si>
    <t>sem considerar as bandeiras</t>
  </si>
  <si>
    <t>considerando as bandeiras no cálculo dos tributos</t>
  </si>
  <si>
    <t>Energia Injetada - Adicional de Bandeira</t>
  </si>
  <si>
    <t>Energia Compensada SCEE  0 - 30</t>
  </si>
  <si>
    <t>Energia Compensada SCEE  31 - 100</t>
  </si>
  <si>
    <t>Energia Compensada SCEE 101 - 220</t>
  </si>
  <si>
    <t>Energia Compensada SCEE &gt; 220</t>
  </si>
  <si>
    <t>Des Energ. Comp. SCEE 0 - 30</t>
  </si>
  <si>
    <t>Des Energ. Comp. SCEE 31 - 100</t>
  </si>
  <si>
    <t>Des Energ. Comp. SCEE 101 - 220</t>
  </si>
  <si>
    <t>Des Energ. Comp. SCEE &gt; 220</t>
  </si>
  <si>
    <t>ICMS Desc Tarifa Social</t>
  </si>
  <si>
    <t>Consumo 0 - 30</t>
  </si>
  <si>
    <t>Consumo 31 - 100</t>
  </si>
  <si>
    <t>Consumo 101 - 220</t>
  </si>
  <si>
    <t>Consumo &gt; 220</t>
  </si>
  <si>
    <t>Baixa Renda</t>
  </si>
  <si>
    <t>Bx Renda Consumo</t>
  </si>
  <si>
    <t>Bx Renda Injetada</t>
  </si>
  <si>
    <t>Memória benefício Tarifa Social</t>
  </si>
  <si>
    <t>Com tributos e bandeiras (base ICMS)</t>
  </si>
  <si>
    <t>Informativo Escassez Hídrica</t>
  </si>
  <si>
    <t>CUSTO</t>
  </si>
  <si>
    <t>Part. TUSD (%)</t>
  </si>
  <si>
    <t>Part. TE (%)</t>
  </si>
  <si>
    <t>CDE CONTAS</t>
  </si>
  <si>
    <t>CDE COVID</t>
  </si>
  <si>
    <t>CDE ESCASSEZ HÍDRICA</t>
  </si>
  <si>
    <t>CDE Escassez Hídrica</t>
  </si>
  <si>
    <t>0 - 30</t>
  </si>
  <si>
    <t>31- 100</t>
  </si>
  <si>
    <t>101 - 220</t>
  </si>
  <si>
    <t>&gt;220</t>
  </si>
  <si>
    <t>prop</t>
  </si>
  <si>
    <t>alterar o % caso GD II</t>
  </si>
  <si>
    <t>TARIFA BRANCA</t>
  </si>
  <si>
    <t>B1 Ponta</t>
  </si>
  <si>
    <t>B1 Fora Ponta</t>
  </si>
  <si>
    <t>B1 Interm.</t>
  </si>
  <si>
    <t>Fatura B1 Residencial TB</t>
  </si>
  <si>
    <t>Consumo Intemediário</t>
  </si>
  <si>
    <t>Participação</t>
  </si>
  <si>
    <t>Energia</t>
  </si>
  <si>
    <t>Distribuição</t>
  </si>
  <si>
    <t>Transmissão</t>
  </si>
  <si>
    <t>Encargos Setoriais</t>
  </si>
  <si>
    <t>Impostos / Tributos</t>
  </si>
  <si>
    <t>Total</t>
  </si>
  <si>
    <t>Setoriais</t>
  </si>
  <si>
    <t>Grupo B</t>
  </si>
  <si>
    <t>%</t>
  </si>
  <si>
    <t>B1 - Residencial</t>
  </si>
  <si>
    <t>B1 - Residencial Baixa Renda</t>
  </si>
  <si>
    <t>B2 - Rural</t>
  </si>
  <si>
    <t>B2 - Cooperativa Eletrificação Rural</t>
  </si>
  <si>
    <t>B2 - Serviço de Irrigação</t>
  </si>
  <si>
    <t>B3 - Demais Classes</t>
  </si>
  <si>
    <t>B4 - Iluminação Pública</t>
  </si>
  <si>
    <t>B4a - Rede de Distribuição</t>
  </si>
  <si>
    <t>B4b - Bulbo de Lâmpada</t>
  </si>
  <si>
    <t>proporcional</t>
  </si>
  <si>
    <t>Energ Injetada P</t>
  </si>
  <si>
    <t>Energ Injetada FP</t>
  </si>
  <si>
    <t>Energ Injetada Intem</t>
  </si>
  <si>
    <t>Adicional BAM Inj</t>
  </si>
  <si>
    <t>Adicional BVM 1 Inj</t>
  </si>
  <si>
    <t>Adicional BVM 2 Inj</t>
  </si>
  <si>
    <t>Adicional Escassez Hídrica Inj</t>
  </si>
  <si>
    <t>Até 06/08/2023</t>
  </si>
  <si>
    <t>TUSD Intem</t>
  </si>
  <si>
    <t>A partir de 07/08/2024</t>
  </si>
  <si>
    <t xml:space="preserve">Doc impr </t>
  </si>
  <si>
    <t>Doc impr</t>
  </si>
  <si>
    <t>Descrição</t>
  </si>
  <si>
    <t>Unidade</t>
  </si>
  <si>
    <t>Quantidade</t>
  </si>
  <si>
    <t>Preço Unit (R$)
com tributos</t>
  </si>
  <si>
    <t>Valor Total (R$)</t>
  </si>
  <si>
    <t>PIS/COFINS
(R$)</t>
  </si>
  <si>
    <t>Base de Cálculo ICMS
(R$)</t>
  </si>
  <si>
    <t>Alíquota ICMS
(%)</t>
  </si>
  <si>
    <t>ICMS
(R$)</t>
  </si>
  <si>
    <t>Preço Unit (R$)</t>
  </si>
  <si>
    <t>Tributos</t>
  </si>
  <si>
    <t>Base de Cálc
(R$)</t>
  </si>
  <si>
    <t>Alíquota
(%)</t>
  </si>
  <si>
    <t>Valor
(R$)</t>
  </si>
  <si>
    <t>TUSD - Consumo</t>
  </si>
  <si>
    <t>TE - Consumo</t>
  </si>
  <si>
    <t>PIS Inj</t>
  </si>
  <si>
    <t xml:space="preserve">Adicional BVM1 </t>
  </si>
  <si>
    <t>COFINS Inj</t>
  </si>
  <si>
    <t>Adicional BVM2</t>
  </si>
  <si>
    <t>Adicional EH</t>
  </si>
  <si>
    <t>TUSD - Consumo inj</t>
  </si>
  <si>
    <t>TE - Consumo inj</t>
  </si>
  <si>
    <t>Adicional BAM inj</t>
  </si>
  <si>
    <t>Adicional BVM1 inj</t>
  </si>
  <si>
    <t>Adicional BVM2 inj</t>
  </si>
  <si>
    <t>Adicional EH inj</t>
  </si>
  <si>
    <t>Multas</t>
  </si>
  <si>
    <t>Juros</t>
  </si>
  <si>
    <t>Doações</t>
  </si>
  <si>
    <t>CIP</t>
  </si>
  <si>
    <t xml:space="preserve">Adicional BVM2 </t>
  </si>
  <si>
    <t xml:space="preserve">Adicional EH </t>
  </si>
  <si>
    <t>Documento Impressão</t>
  </si>
  <si>
    <t>TUSD - Consumo Reservado</t>
  </si>
  <si>
    <t>TE - Consumo Reservado</t>
  </si>
  <si>
    <t>TUSD - Consumo inj Reservado</t>
  </si>
  <si>
    <t>TE - Consumo inj Reservado</t>
  </si>
  <si>
    <t>Tarifa reservada bandeira com desconto</t>
  </si>
  <si>
    <t>Informativo Escassez</t>
  </si>
  <si>
    <t>Se for base reduzida: (célula I18 = 12%)</t>
  </si>
  <si>
    <t>Base de cálculo reduzida     =</t>
  </si>
  <si>
    <t>Importe</t>
  </si>
  <si>
    <t>12% x 4%</t>
  </si>
  <si>
    <t>Bônus/Descontos</t>
  </si>
  <si>
    <t>2025:</t>
  </si>
  <si>
    <t>TUSD - Ativo</t>
  </si>
  <si>
    <t>SUBGRUPO</t>
  </si>
  <si>
    <t>MODALIDADE</t>
  </si>
  <si>
    <t xml:space="preserve">CLASSE </t>
  </si>
  <si>
    <t>SUBCLASSE</t>
  </si>
  <si>
    <t>POSTO</t>
  </si>
  <si>
    <t>TARIFAS DE APLICAÇÃO</t>
  </si>
  <si>
    <t>R$/kW</t>
  </si>
  <si>
    <t>R$/MWh</t>
  </si>
  <si>
    <t>BRANCA</t>
  </si>
  <si>
    <t>RESIDENCIAL</t>
  </si>
  <si>
    <t>P</t>
  </si>
  <si>
    <t>INT</t>
  </si>
  <si>
    <t>FP</t>
  </si>
  <si>
    <t>PRÉ-PAGAMENTO</t>
  </si>
  <si>
    <t>NA</t>
  </si>
  <si>
    <t>CONVENCIONAL</t>
  </si>
  <si>
    <t>BAIXA RENDA</t>
  </si>
  <si>
    <t>RURAL</t>
  </si>
  <si>
    <t>NÃO SE APLICA</t>
  </si>
  <si>
    <t>COOPERATIVA DE ELETRIFICAÇÃO RURAL</t>
  </si>
  <si>
    <t>SERVIÇO PÚBLICO DE IRRIGAÇÃO RURAL</t>
  </si>
  <si>
    <t>B4</t>
  </si>
  <si>
    <t>ILUMINAÇÃO PÚBLICA</t>
  </si>
  <si>
    <t>ILUMINAÇÃO PÚBLICA – B4A</t>
  </si>
  <si>
    <t>ILUMINAÇÃO PÚBLICA – B4B</t>
  </si>
  <si>
    <t>B</t>
  </si>
  <si>
    <t>GERAÇÃO</t>
  </si>
  <si>
    <t>TIPO 01</t>
  </si>
  <si>
    <t>TIPO 02</t>
  </si>
  <si>
    <t>TABELA  1 – TARIFAS DE APLICAÇÃO E BASE ECONÔMICA PARA O GRUPO A.</t>
  </si>
  <si>
    <t>UC</t>
  </si>
  <si>
    <t>BASE ECONÔMICA</t>
  </si>
  <si>
    <t>Reajuste</t>
  </si>
  <si>
    <t>Dia</t>
  </si>
  <si>
    <t>Mês</t>
  </si>
  <si>
    <t>Ano</t>
  </si>
  <si>
    <t xml:space="preserve">TE </t>
  </si>
  <si>
    <t>De</t>
  </si>
  <si>
    <t>07</t>
  </si>
  <si>
    <t>08</t>
  </si>
  <si>
    <t>BVD – R$/MWh</t>
  </si>
  <si>
    <t>BAM – R$/MWh</t>
  </si>
  <si>
    <t>BVM – R$/MWh</t>
  </si>
  <si>
    <t>Até</t>
  </si>
  <si>
    <t>06</t>
  </si>
  <si>
    <t>AZUL</t>
  </si>
  <si>
    <t>A1 (230 kV ou mais)</t>
  </si>
  <si>
    <t>AZUL APE</t>
  </si>
  <si>
    <t>A2 (88 a 138kV)</t>
  </si>
  <si>
    <t>DISTRIBUIÇÃO</t>
  </si>
  <si>
    <t>ELFSM</t>
  </si>
  <si>
    <t>UTE LASA</t>
  </si>
  <si>
    <t>UTE ALCON</t>
  </si>
  <si>
    <t>UTE SOL</t>
  </si>
  <si>
    <t>UHE MASCARENHAS - ENERGEST</t>
  </si>
  <si>
    <t>UHE SUICA</t>
  </si>
  <si>
    <t>PCH SAO JOAQUIM</t>
  </si>
  <si>
    <t>PCH SAO SIMAO</t>
  </si>
  <si>
    <t>PCH FRANCISCO GROSS</t>
  </si>
  <si>
    <t>PCH SAO PEDRO</t>
  </si>
  <si>
    <t>UTE LINHARES</t>
  </si>
  <si>
    <t>UTE ARCEL</t>
  </si>
  <si>
    <t>NOVO GERADOR</t>
  </si>
  <si>
    <t>A3 (69kV)</t>
  </si>
  <si>
    <t>A3a (30 a 44kV)</t>
  </si>
  <si>
    <t>VERDE APE</t>
  </si>
  <si>
    <t>A4 (2,3 a 25kV)</t>
  </si>
  <si>
    <t>COELBA</t>
  </si>
  <si>
    <t>TABELA 2 – TARIFAS DE APLICAÇÃO E BASE ECONÔMICA PARA O GRUPO B.</t>
  </si>
  <si>
    <t>CLASSE</t>
  </si>
  <si>
    <t>TARIFAS BASE ECONÔMICA</t>
  </si>
  <si>
    <r>
      <t>BAIXA RENDA</t>
    </r>
    <r>
      <rPr>
        <vertAlign val="superscript"/>
        <sz val="8"/>
        <color theme="1"/>
        <rFont val="Times New Roman"/>
        <family val="1"/>
      </rPr>
      <t>(1)</t>
    </r>
  </si>
  <si>
    <t>B4a – REDE DE DISTRIBUIÇÃO</t>
  </si>
  <si>
    <t>B4b – BULBO DE LÂMPADA</t>
  </si>
  <si>
    <t>31</t>
  </si>
  <si>
    <t>12</t>
  </si>
  <si>
    <t>UTE POVOACAO 1</t>
  </si>
  <si>
    <t>UTE BIANCOGRES</t>
  </si>
  <si>
    <t>TARIFA ANTIGA - REH 3370/2024</t>
  </si>
  <si>
    <t>TARIFA NOVA - REH xxxx/2025</t>
  </si>
  <si>
    <t>TUSD FIO B (RTP 2025)</t>
  </si>
  <si>
    <t>TUSD FIO B (RTA 2026)</t>
  </si>
  <si>
    <t>RESIDENCIAL DESCONTO SOCIAL</t>
  </si>
  <si>
    <t>DESCONTO SOCIAL</t>
  </si>
  <si>
    <t>A partir de 01/01/2026</t>
  </si>
  <si>
    <t>A partir de 07/08/2026</t>
  </si>
  <si>
    <t>Incorreto no SAP</t>
  </si>
  <si>
    <t>não está contabilizando injetada</t>
  </si>
  <si>
    <t>Desconto Rural Irrigante</t>
  </si>
  <si>
    <t>Valor da fatura</t>
  </si>
  <si>
    <t>massa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</si>
</sst>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#,##0.00_ ;[Red]\-#,##0.00\ "/>
    <numFmt numFmtId="165" formatCode="0.00000"/>
    <numFmt numFmtId="166" formatCode="0.000000"/>
    <numFmt numFmtId="167" formatCode="_(* #,##0.00_);_(* \(#,##0.00\);_(* &quot;-&quot;??_);_(@_)"/>
    <numFmt numFmtId="168" formatCode="0.00000000"/>
    <numFmt numFmtId="169" formatCode="0.0000000"/>
    <numFmt numFmtId="170" formatCode="0.00_ ;[Red]\-0.00\ "/>
    <numFmt numFmtId="171" formatCode="#,##0.00_ ;\-#,##0.00\ "/>
    <numFmt numFmtId="172" formatCode="#,##0.0_ ;[Red]\-#,##0.0\ "/>
    <numFmt numFmtId="173" formatCode="_(* #,##0.0_);_(* \(#,##0.0\);_(* &quot;-&quot;??_);_(@_)"/>
    <numFmt numFmtId="174" formatCode="_-* #,##0.0000000_-;\-* #,##0.0000000_-;_-* &quot;-&quot;???????_-;_-@_-"/>
    <numFmt numFmtId="175" formatCode="0.000"/>
    <numFmt numFmtId="176" formatCode="_-* #,##0.00000_-;\-* #,##0.00000_-;_-* &quot;-&quot;??_-;_-@_-"/>
    <numFmt numFmtId="177" formatCode="_(&quot;R$ &quot;* #,##0.00_);_(&quot;R$ &quot;* \(#,##0.00\);_(&quot;R$ &quot;* &quot;-&quot;??_);_(@_)"/>
    <numFmt numFmtId="178" formatCode="_-* #,##0.00000000_-;\-* #,##0.00000000_-;_-* &quot;-&quot;????????_-;_-@_-"/>
    <numFmt numFmtId="179" formatCode="_(* #,##0.0000_);_(* \(#,##0.0000\);_(* &quot;-&quot;??_);_(@_)"/>
    <numFmt numFmtId="180" formatCode="_-* #,##0.0000_-;\-* #,##0.0000_-;_-* &quot;-&quot;????_-;_-@_-"/>
    <numFmt numFmtId="181" formatCode="0.0"/>
    <numFmt numFmtId="182" formatCode="0.0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4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1EB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167" fontId="1" fillId="0" borderId="0" applyFont="0" applyFill="0" applyBorder="0" applyAlignment="0" applyProtection="0"/>
    <xf numFmtId="0" fontId="4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5" fontId="9" fillId="6" borderId="4" xfId="0" applyNumberFormat="1" applyFont="1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  <xf numFmtId="14" fontId="12" fillId="10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8" fillId="10" borderId="1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166" fontId="6" fillId="0" borderId="1" xfId="3" applyNumberFormat="1" applyFont="1" applyBorder="1" applyAlignment="1">
      <alignment vertical="center"/>
    </xf>
    <xf numFmtId="166" fontId="6" fillId="2" borderId="1" xfId="3" applyNumberFormat="1" applyFont="1" applyFill="1" applyBorder="1" applyAlignment="1">
      <alignment vertical="center"/>
    </xf>
    <xf numFmtId="10" fontId="0" fillId="4" borderId="0" xfId="2" applyNumberFormat="1" applyFont="1" applyFill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17" fontId="12" fillId="3" borderId="12" xfId="0" quotePrefix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12" borderId="10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4" fontId="2" fillId="12" borderId="12" xfId="0" applyNumberFormat="1" applyFont="1" applyFill="1" applyBorder="1" applyAlignment="1">
      <alignment horizontal="right" vertical="center"/>
    </xf>
    <xf numFmtId="0" fontId="0" fillId="4" borderId="12" xfId="0" applyFill="1" applyBorder="1" applyAlignment="1">
      <alignment horizontal="right" vertical="center"/>
    </xf>
    <xf numFmtId="168" fontId="0" fillId="0" borderId="0" xfId="0" applyNumberFormat="1" applyAlignment="1">
      <alignment vertical="center"/>
    </xf>
    <xf numFmtId="4" fontId="0" fillId="4" borderId="12" xfId="0" applyNumberFormat="1" applyFill="1" applyBorder="1" applyAlignment="1">
      <alignment vertical="center"/>
    </xf>
    <xf numFmtId="167" fontId="19" fillId="4" borderId="0" xfId="4" applyFont="1" applyFill="1" applyBorder="1" applyAlignment="1">
      <alignment vertical="center"/>
    </xf>
    <xf numFmtId="168" fontId="0" fillId="4" borderId="0" xfId="0" applyNumberFormat="1" applyFill="1" applyAlignment="1">
      <alignment vertical="center"/>
    </xf>
    <xf numFmtId="169" fontId="0" fillId="4" borderId="0" xfId="0" applyNumberFormat="1" applyFill="1" applyAlignment="1">
      <alignment vertical="center"/>
    </xf>
    <xf numFmtId="167" fontId="20" fillId="4" borderId="0" xfId="4" applyFont="1" applyFill="1" applyBorder="1" applyAlignment="1">
      <alignment vertical="center"/>
    </xf>
    <xf numFmtId="165" fontId="0" fillId="4" borderId="0" xfId="0" applyNumberFormat="1" applyFill="1" applyAlignment="1">
      <alignment vertical="center"/>
    </xf>
    <xf numFmtId="0" fontId="19" fillId="4" borderId="0" xfId="0" applyFont="1" applyFill="1" applyAlignment="1">
      <alignment vertical="center"/>
    </xf>
    <xf numFmtId="0" fontId="15" fillId="4" borderId="10" xfId="0" applyFont="1" applyFill="1" applyBorder="1" applyAlignment="1">
      <alignment vertical="center"/>
    </xf>
    <xf numFmtId="4" fontId="15" fillId="4" borderId="12" xfId="0" applyNumberFormat="1" applyFont="1" applyFill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" fontId="2" fillId="4" borderId="12" xfId="0" applyNumberFormat="1" applyFont="1" applyFill="1" applyBorder="1" applyAlignment="1">
      <alignment vertical="center"/>
    </xf>
    <xf numFmtId="4" fontId="2" fillId="4" borderId="0" xfId="0" applyNumberFormat="1" applyFont="1" applyFill="1" applyAlignment="1">
      <alignment vertical="center"/>
    </xf>
    <xf numFmtId="4" fontId="0" fillId="4" borderId="0" xfId="0" applyNumberFormat="1" applyFill="1" applyAlignment="1">
      <alignment vertical="center"/>
    </xf>
    <xf numFmtId="170" fontId="0" fillId="4" borderId="0" xfId="0" applyNumberFormat="1" applyFill="1" applyAlignment="1">
      <alignment vertical="center"/>
    </xf>
    <xf numFmtId="10" fontId="19" fillId="9" borderId="0" xfId="0" applyNumberFormat="1" applyFont="1" applyFill="1" applyAlignment="1">
      <alignment vertical="center"/>
    </xf>
    <xf numFmtId="164" fontId="0" fillId="4" borderId="12" xfId="0" applyNumberFormat="1" applyFill="1" applyBorder="1" applyAlignment="1">
      <alignment vertical="center"/>
    </xf>
    <xf numFmtId="10" fontId="19" fillId="0" borderId="0" xfId="0" applyNumberFormat="1" applyFont="1" applyAlignment="1">
      <alignment vertical="center"/>
    </xf>
    <xf numFmtId="170" fontId="0" fillId="2" borderId="0" xfId="0" applyNumberFormat="1" applyFill="1" applyAlignment="1">
      <alignment vertical="center"/>
    </xf>
    <xf numFmtId="9" fontId="21" fillId="2" borderId="0" xfId="0" applyNumberFormat="1" applyFont="1" applyFill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70" fontId="0" fillId="4" borderId="13" xfId="0" applyNumberFormat="1" applyFill="1" applyBorder="1" applyAlignment="1">
      <alignment vertical="center"/>
    </xf>
    <xf numFmtId="9" fontId="0" fillId="4" borderId="13" xfId="0" applyNumberFormat="1" applyFill="1" applyBorder="1" applyAlignment="1">
      <alignment vertical="center"/>
    </xf>
    <xf numFmtId="170" fontId="0" fillId="4" borderId="14" xfId="0" applyNumberFormat="1" applyFill="1" applyBorder="1" applyAlignment="1">
      <alignment vertical="center"/>
    </xf>
    <xf numFmtId="16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9" fontId="0" fillId="2" borderId="0" xfId="0" applyNumberFormat="1" applyFill="1" applyAlignment="1">
      <alignment vertical="center"/>
    </xf>
    <xf numFmtId="166" fontId="6" fillId="0" borderId="0" xfId="3" applyNumberFormat="1" applyFont="1" applyAlignment="1">
      <alignment horizontal="center" vertical="center"/>
    </xf>
    <xf numFmtId="166" fontId="6" fillId="0" borderId="0" xfId="3" applyNumberFormat="1" applyFont="1" applyAlignment="1">
      <alignment vertical="center"/>
    </xf>
    <xf numFmtId="166" fontId="6" fillId="2" borderId="0" xfId="3" applyNumberFormat="1" applyFont="1" applyFill="1" applyAlignment="1">
      <alignment vertical="center"/>
    </xf>
    <xf numFmtId="10" fontId="19" fillId="9" borderId="0" xfId="2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167" fontId="19" fillId="13" borderId="0" xfId="4" applyFont="1" applyFill="1" applyBorder="1" applyAlignment="1">
      <alignment vertical="center"/>
    </xf>
    <xf numFmtId="171" fontId="0" fillId="0" borderId="0" xfId="0" applyNumberFormat="1" applyAlignment="1">
      <alignment vertical="center"/>
    </xf>
    <xf numFmtId="43" fontId="23" fillId="4" borderId="0" xfId="0" applyNumberFormat="1" applyFont="1" applyFill="1" applyAlignment="1">
      <alignment vertical="center"/>
    </xf>
    <xf numFmtId="172" fontId="19" fillId="0" borderId="0" xfId="4" applyNumberFormat="1" applyFont="1" applyFill="1" applyBorder="1" applyAlignment="1">
      <alignment vertical="center"/>
    </xf>
    <xf numFmtId="173" fontId="19" fillId="0" borderId="0" xfId="4" applyNumberFormat="1" applyFont="1" applyFill="1" applyBorder="1" applyAlignment="1">
      <alignment vertical="center"/>
    </xf>
    <xf numFmtId="166" fontId="6" fillId="2" borderId="0" xfId="3" applyNumberFormat="1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4" fontId="0" fillId="2" borderId="9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3" fontId="0" fillId="0" borderId="0" xfId="1" applyFont="1"/>
    <xf numFmtId="0" fontId="25" fillId="4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10" fillId="9" borderId="6" xfId="0" applyFont="1" applyFill="1" applyBorder="1" applyAlignment="1">
      <alignment vertical="center"/>
    </xf>
    <xf numFmtId="9" fontId="10" fillId="9" borderId="6" xfId="0" applyNumberFormat="1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0" fontId="26" fillId="0" borderId="16" xfId="2" applyNumberFormat="1" applyFont="1" applyFill="1" applyBorder="1" applyAlignment="1">
      <alignment horizontal="right" vertical="center"/>
    </xf>
    <xf numFmtId="167" fontId="0" fillId="0" borderId="0" xfId="4" applyFont="1" applyAlignment="1">
      <alignment vertical="center"/>
    </xf>
    <xf numFmtId="167" fontId="2" fillId="0" borderId="0" xfId="4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10" fontId="26" fillId="2" borderId="16" xfId="2" quotePrefix="1" applyNumberFormat="1" applyFont="1" applyFill="1" applyBorder="1" applyAlignment="1">
      <alignment horizontal="right" vertical="center"/>
    </xf>
    <xf numFmtId="167" fontId="2" fillId="2" borderId="0" xfId="4" applyFont="1" applyFill="1" applyAlignment="1">
      <alignment vertical="center"/>
    </xf>
    <xf numFmtId="10" fontId="26" fillId="0" borderId="16" xfId="2" quotePrefix="1" applyNumberFormat="1" applyFont="1" applyFill="1" applyBorder="1" applyAlignment="1">
      <alignment horizontal="right" vertical="center"/>
    </xf>
    <xf numFmtId="43" fontId="0" fillId="4" borderId="0" xfId="0" applyNumberFormat="1" applyFill="1" applyAlignment="1">
      <alignment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64" fontId="19" fillId="3" borderId="0" xfId="4" applyNumberFormat="1" applyFont="1" applyFill="1" applyBorder="1" applyAlignment="1">
      <alignment vertical="center"/>
    </xf>
    <xf numFmtId="168" fontId="0" fillId="3" borderId="0" xfId="0" applyNumberFormat="1" applyFill="1" applyAlignment="1">
      <alignment vertical="center"/>
    </xf>
    <xf numFmtId="169" fontId="0" fillId="3" borderId="0" xfId="0" applyNumberFormat="1" applyFill="1" applyAlignment="1">
      <alignment vertical="center"/>
    </xf>
    <xf numFmtId="4" fontId="0" fillId="3" borderId="12" xfId="0" applyNumberFormat="1" applyFill="1" applyBorder="1" applyAlignment="1">
      <alignment vertical="center"/>
    </xf>
    <xf numFmtId="167" fontId="20" fillId="3" borderId="0" xfId="4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15" fillId="0" borderId="0" xfId="0" applyFont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167" fontId="11" fillId="9" borderId="0" xfId="4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4" fontId="6" fillId="4" borderId="12" xfId="0" applyNumberFormat="1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174" fontId="2" fillId="2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167" fontId="14" fillId="4" borderId="0" xfId="4" applyFont="1" applyFill="1" applyBorder="1" applyAlignment="1">
      <alignment vertical="center"/>
    </xf>
    <xf numFmtId="165" fontId="6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vertical="center"/>
    </xf>
    <xf numFmtId="168" fontId="6" fillId="4" borderId="0" xfId="0" applyNumberFormat="1" applyFont="1" applyFill="1" applyAlignment="1">
      <alignment vertical="center"/>
    </xf>
    <xf numFmtId="43" fontId="0" fillId="15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167" fontId="11" fillId="4" borderId="0" xfId="4" applyFont="1" applyFill="1" applyBorder="1" applyAlignment="1">
      <alignment vertical="center"/>
    </xf>
    <xf numFmtId="166" fontId="6" fillId="4" borderId="0" xfId="0" applyNumberFormat="1" applyFont="1" applyFill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166" fontId="6" fillId="4" borderId="13" xfId="0" applyNumberFormat="1" applyFont="1" applyFill="1" applyBorder="1" applyAlignment="1">
      <alignment vertical="center"/>
    </xf>
    <xf numFmtId="4" fontId="6" fillId="4" borderId="14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8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4" fontId="10" fillId="4" borderId="12" xfId="0" applyNumberFormat="1" applyFont="1" applyFill="1" applyBorder="1" applyAlignment="1">
      <alignment vertical="center"/>
    </xf>
    <xf numFmtId="4" fontId="6" fillId="4" borderId="0" xfId="0" applyNumberFormat="1" applyFont="1" applyFill="1" applyAlignment="1">
      <alignment vertical="center"/>
    </xf>
    <xf numFmtId="10" fontId="11" fillId="9" borderId="0" xfId="2" applyNumberFormat="1" applyFont="1" applyFill="1" applyBorder="1" applyAlignment="1">
      <alignment vertical="center"/>
    </xf>
    <xf numFmtId="10" fontId="11" fillId="4" borderId="0" xfId="0" applyNumberFormat="1" applyFont="1" applyFill="1" applyAlignment="1">
      <alignment vertical="center"/>
    </xf>
    <xf numFmtId="4" fontId="6" fillId="16" borderId="13" xfId="0" applyNumberFormat="1" applyFont="1" applyFill="1" applyBorder="1" applyAlignment="1">
      <alignment vertical="center"/>
    </xf>
    <xf numFmtId="9" fontId="11" fillId="16" borderId="13" xfId="0" applyNumberFormat="1" applyFont="1" applyFill="1" applyBorder="1" applyAlignment="1">
      <alignment vertical="center"/>
    </xf>
    <xf numFmtId="172" fontId="19" fillId="17" borderId="0" xfId="4" applyNumberFormat="1" applyFont="1" applyFill="1" applyBorder="1" applyAlignment="1">
      <alignment vertical="center"/>
    </xf>
    <xf numFmtId="9" fontId="0" fillId="4" borderId="0" xfId="0" applyNumberFormat="1" applyFill="1" applyAlignment="1">
      <alignment vertical="center"/>
    </xf>
    <xf numFmtId="0" fontId="18" fillId="18" borderId="17" xfId="3" applyFont="1" applyFill="1" applyBorder="1" applyAlignment="1">
      <alignment horizontal="center" vertical="center"/>
    </xf>
    <xf numFmtId="0" fontId="18" fillId="18" borderId="20" xfId="3" applyFont="1" applyFill="1" applyBorder="1" applyAlignment="1">
      <alignment horizontal="center" vertical="center" wrapText="1"/>
    </xf>
    <xf numFmtId="0" fontId="18" fillId="18" borderId="21" xfId="3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" fontId="2" fillId="3" borderId="4" xfId="0" applyNumberFormat="1" applyFont="1" applyFill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177" fontId="0" fillId="4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9" fillId="4" borderId="22" xfId="0" applyFont="1" applyFill="1" applyBorder="1" applyAlignment="1">
      <alignment horizontal="right" vertical="center"/>
    </xf>
    <xf numFmtId="0" fontId="28" fillId="4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0" xfId="0" applyFill="1" applyAlignment="1">
      <alignment vertical="center"/>
    </xf>
    <xf numFmtId="164" fontId="19" fillId="8" borderId="0" xfId="4" applyNumberFormat="1" applyFont="1" applyFill="1" applyBorder="1" applyAlignment="1">
      <alignment vertical="center"/>
    </xf>
    <xf numFmtId="168" fontId="0" fillId="8" borderId="0" xfId="0" applyNumberFormat="1" applyFill="1" applyAlignment="1">
      <alignment vertical="center"/>
    </xf>
    <xf numFmtId="4" fontId="0" fillId="8" borderId="12" xfId="0" applyNumberFormat="1" applyFill="1" applyBorder="1" applyAlignment="1">
      <alignment vertical="center"/>
    </xf>
    <xf numFmtId="167" fontId="20" fillId="8" borderId="0" xfId="4" applyFont="1" applyFill="1" applyBorder="1" applyAlignment="1">
      <alignment vertical="center"/>
    </xf>
    <xf numFmtId="165" fontId="0" fillId="8" borderId="0" xfId="0" applyNumberFormat="1" applyFill="1" applyAlignment="1">
      <alignment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vertical="center"/>
    </xf>
    <xf numFmtId="0" fontId="6" fillId="0" borderId="0" xfId="0" applyFont="1" applyAlignment="1">
      <alignment horizontal="left" vertical="center"/>
    </xf>
    <xf numFmtId="1" fontId="6" fillId="0" borderId="17" xfId="3" applyNumberFormat="1" applyFont="1" applyBorder="1" applyAlignment="1">
      <alignment vertical="center"/>
    </xf>
    <xf numFmtId="165" fontId="6" fillId="0" borderId="17" xfId="3" applyNumberFormat="1" applyFont="1" applyBorder="1" applyAlignment="1">
      <alignment vertical="center"/>
    </xf>
    <xf numFmtId="2" fontId="10" fillId="10" borderId="17" xfId="3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2" fontId="10" fillId="0" borderId="17" xfId="3" applyNumberFormat="1" applyFont="1" applyBorder="1" applyAlignment="1">
      <alignment vertical="center"/>
    </xf>
    <xf numFmtId="165" fontId="6" fillId="13" borderId="17" xfId="3" applyNumberFormat="1" applyFont="1" applyFill="1" applyBorder="1" applyAlignment="1">
      <alignment vertical="center"/>
    </xf>
    <xf numFmtId="1" fontId="6" fillId="0" borderId="0" xfId="3" applyNumberFormat="1" applyFont="1" applyAlignment="1">
      <alignment vertical="center"/>
    </xf>
    <xf numFmtId="165" fontId="6" fillId="0" borderId="0" xfId="3" applyNumberFormat="1" applyFont="1" applyAlignment="1">
      <alignment vertical="center"/>
    </xf>
    <xf numFmtId="0" fontId="6" fillId="13" borderId="0" xfId="0" applyFont="1" applyFill="1" applyAlignment="1">
      <alignment vertical="center"/>
    </xf>
    <xf numFmtId="4" fontId="10" fillId="13" borderId="0" xfId="0" applyNumberFormat="1" applyFont="1" applyFill="1" applyAlignment="1">
      <alignment vertical="center"/>
    </xf>
    <xf numFmtId="0" fontId="30" fillId="0" borderId="0" xfId="0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165" fontId="27" fillId="0" borderId="17" xfId="0" applyNumberFormat="1" applyFont="1" applyBorder="1" applyAlignment="1">
      <alignment vertical="center"/>
    </xf>
    <xf numFmtId="175" fontId="27" fillId="0" borderId="0" xfId="0" applyNumberFormat="1" applyFont="1" applyAlignment="1">
      <alignment vertical="center"/>
    </xf>
    <xf numFmtId="0" fontId="18" fillId="18" borderId="21" xfId="3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vertical="center"/>
    </xf>
    <xf numFmtId="176" fontId="6" fillId="0" borderId="17" xfId="3" applyNumberFormat="1" applyFont="1" applyBorder="1" applyAlignment="1">
      <alignment vertical="center"/>
    </xf>
    <xf numFmtId="2" fontId="6" fillId="0" borderId="17" xfId="3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" fontId="10" fillId="3" borderId="17" xfId="3" applyNumberFormat="1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43" fontId="6" fillId="0" borderId="1" xfId="1" applyFont="1" applyBorder="1" applyAlignment="1">
      <alignment vertical="center"/>
    </xf>
    <xf numFmtId="2" fontId="10" fillId="19" borderId="17" xfId="3" applyNumberFormat="1" applyFont="1" applyFill="1" applyBorder="1" applyAlignment="1">
      <alignment vertical="center"/>
    </xf>
    <xf numFmtId="0" fontId="31" fillId="2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170" fontId="0" fillId="4" borderId="6" xfId="0" applyNumberFormat="1" applyFill="1" applyBorder="1" applyAlignment="1">
      <alignment vertical="center"/>
    </xf>
    <xf numFmtId="9" fontId="0" fillId="4" borderId="6" xfId="0" applyNumberFormat="1" applyFill="1" applyBorder="1" applyAlignment="1">
      <alignment vertical="center"/>
    </xf>
    <xf numFmtId="170" fontId="0" fillId="4" borderId="4" xfId="0" applyNumberFormat="1" applyFill="1" applyBorder="1" applyAlignment="1">
      <alignment vertical="center"/>
    </xf>
    <xf numFmtId="170" fontId="0" fillId="19" borderId="6" xfId="0" applyNumberFormat="1" applyFill="1" applyBorder="1" applyAlignment="1">
      <alignment vertical="center"/>
    </xf>
    <xf numFmtId="164" fontId="19" fillId="13" borderId="0" xfId="4" applyNumberFormat="1" applyFont="1" applyFill="1" applyBorder="1" applyAlignment="1">
      <alignment vertical="center"/>
    </xf>
    <xf numFmtId="167" fontId="33" fillId="9" borderId="0" xfId="4" applyFont="1" applyFill="1" applyBorder="1" applyAlignment="1">
      <alignment vertical="center"/>
    </xf>
    <xf numFmtId="4" fontId="6" fillId="9" borderId="0" xfId="0" applyNumberFormat="1" applyFont="1" applyFill="1" applyAlignment="1">
      <alignment vertical="center"/>
    </xf>
    <xf numFmtId="168" fontId="6" fillId="9" borderId="0" xfId="0" applyNumberFormat="1" applyFont="1" applyFill="1" applyAlignment="1">
      <alignment vertical="center"/>
    </xf>
    <xf numFmtId="0" fontId="8" fillId="6" borderId="23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left" vertical="center"/>
    </xf>
    <xf numFmtId="0" fontId="18" fillId="13" borderId="25" xfId="0" applyFont="1" applyFill="1" applyBorder="1" applyAlignment="1">
      <alignment horizontal="center" vertical="center"/>
    </xf>
    <xf numFmtId="0" fontId="18" fillId="10" borderId="26" xfId="3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center" vertical="center"/>
    </xf>
    <xf numFmtId="10" fontId="10" fillId="8" borderId="26" xfId="2" applyNumberFormat="1" applyFont="1" applyFill="1" applyBorder="1" applyAlignment="1">
      <alignment vertical="center"/>
    </xf>
    <xf numFmtId="166" fontId="10" fillId="8" borderId="26" xfId="3" applyNumberFormat="1" applyFont="1" applyFill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10" fontId="6" fillId="0" borderId="26" xfId="2" applyNumberFormat="1" applyFont="1" applyFill="1" applyBorder="1" applyAlignment="1">
      <alignment vertical="center"/>
    </xf>
    <xf numFmtId="166" fontId="6" fillId="0" borderId="26" xfId="3" applyNumberFormat="1" applyFont="1" applyBorder="1" applyAlignment="1">
      <alignment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10" fontId="10" fillId="0" borderId="26" xfId="2" applyNumberFormat="1" applyFont="1" applyFill="1" applyBorder="1" applyAlignment="1">
      <alignment vertical="center"/>
    </xf>
    <xf numFmtId="166" fontId="10" fillId="0" borderId="26" xfId="3" applyNumberFormat="1" applyFont="1" applyBorder="1" applyAlignment="1">
      <alignment vertical="center"/>
    </xf>
    <xf numFmtId="166" fontId="6" fillId="0" borderId="1" xfId="3" applyNumberFormat="1" applyFont="1" applyBorder="1" applyAlignment="1">
      <alignment horizontal="left" vertical="center"/>
    </xf>
    <xf numFmtId="167" fontId="0" fillId="0" borderId="0" xfId="0" applyNumberFormat="1" applyAlignment="1">
      <alignment vertical="center"/>
    </xf>
    <xf numFmtId="0" fontId="0" fillId="4" borderId="0" xfId="0" applyFill="1"/>
    <xf numFmtId="0" fontId="0" fillId="4" borderId="27" xfId="0" applyFill="1" applyBorder="1" applyAlignment="1">
      <alignment horizontal="left" vertical="center"/>
    </xf>
    <xf numFmtId="9" fontId="6" fillId="4" borderId="27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left" vertical="center"/>
    </xf>
    <xf numFmtId="9" fontId="6" fillId="4" borderId="28" xfId="0" applyNumberFormat="1" applyFont="1" applyFill="1" applyBorder="1" applyAlignment="1">
      <alignment horizontal="center" vertical="center"/>
    </xf>
    <xf numFmtId="14" fontId="14" fillId="4" borderId="28" xfId="0" applyNumberFormat="1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29" xfId="0" applyBorder="1" applyAlignment="1">
      <alignment horizontal="left" vertical="center"/>
    </xf>
    <xf numFmtId="9" fontId="6" fillId="4" borderId="29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4" fillId="0" borderId="11" xfId="0" applyFont="1" applyBorder="1" applyAlignment="1">
      <alignment vertical="center"/>
    </xf>
    <xf numFmtId="167" fontId="19" fillId="9" borderId="0" xfId="4" applyFont="1" applyFill="1" applyBorder="1" applyAlignment="1">
      <alignment vertical="center"/>
    </xf>
    <xf numFmtId="168" fontId="0" fillId="2" borderId="0" xfId="0" applyNumberFormat="1" applyFill="1" applyAlignment="1">
      <alignment vertical="center"/>
    </xf>
    <xf numFmtId="166" fontId="6" fillId="2" borderId="0" xfId="0" applyNumberFormat="1" applyFont="1" applyFill="1" applyAlignment="1">
      <alignment vertical="center"/>
    </xf>
    <xf numFmtId="178" fontId="0" fillId="4" borderId="0" xfId="0" applyNumberFormat="1" applyFill="1" applyAlignment="1">
      <alignment vertical="center"/>
    </xf>
    <xf numFmtId="174" fontId="0" fillId="0" borderId="0" xfId="0" applyNumberFormat="1" applyAlignment="1">
      <alignment vertical="center"/>
    </xf>
    <xf numFmtId="167" fontId="19" fillId="4" borderId="13" xfId="4" applyFont="1" applyFill="1" applyBorder="1" applyAlignment="1">
      <alignment vertical="center"/>
    </xf>
    <xf numFmtId="166" fontId="0" fillId="4" borderId="13" xfId="0" applyNumberFormat="1" applyFill="1" applyBorder="1" applyAlignment="1">
      <alignment vertical="center"/>
    </xf>
    <xf numFmtId="4" fontId="0" fillId="4" borderId="14" xfId="0" applyNumberFormat="1" applyFill="1" applyBorder="1" applyAlignment="1">
      <alignment vertical="center"/>
    </xf>
    <xf numFmtId="0" fontId="0" fillId="0" borderId="9" xfId="0" applyBorder="1" applyAlignment="1">
      <alignment vertical="center"/>
    </xf>
    <xf numFmtId="10" fontId="19" fillId="4" borderId="0" xfId="0" applyNumberFormat="1" applyFont="1" applyFill="1" applyAlignment="1">
      <alignment vertical="center"/>
    </xf>
    <xf numFmtId="4" fontId="0" fillId="2" borderId="0" xfId="0" applyNumberFormat="1" applyFill="1" applyAlignment="1">
      <alignment vertical="center"/>
    </xf>
    <xf numFmtId="9" fontId="19" fillId="2" borderId="0" xfId="0" applyNumberFormat="1" applyFont="1" applyFill="1" applyAlignment="1">
      <alignment vertical="center"/>
    </xf>
    <xf numFmtId="0" fontId="0" fillId="4" borderId="14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167" fontId="6" fillId="4" borderId="1" xfId="4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167" fontId="10" fillId="4" borderId="1" xfId="0" applyNumberFormat="1" applyFont="1" applyFill="1" applyBorder="1" applyAlignment="1">
      <alignment vertical="center"/>
    </xf>
    <xf numFmtId="10" fontId="6" fillId="0" borderId="0" xfId="0" applyNumberFormat="1" applyFont="1" applyAlignment="1">
      <alignment vertical="center"/>
    </xf>
    <xf numFmtId="0" fontId="6" fillId="20" borderId="0" xfId="0" applyFont="1" applyFill="1" applyAlignment="1">
      <alignment vertical="center"/>
    </xf>
    <xf numFmtId="166" fontId="6" fillId="2" borderId="26" xfId="3" applyNumberFormat="1" applyFont="1" applyFill="1" applyBorder="1" applyAlignment="1">
      <alignment vertical="center"/>
    </xf>
    <xf numFmtId="166" fontId="10" fillId="2" borderId="26" xfId="3" applyNumberFormat="1" applyFont="1" applyFill="1" applyBorder="1" applyAlignment="1">
      <alignment vertical="center"/>
    </xf>
    <xf numFmtId="0" fontId="2" fillId="19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10" fontId="19" fillId="19" borderId="0" xfId="2" applyNumberFormat="1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166" fontId="6" fillId="0" borderId="1" xfId="3" applyNumberFormat="1" applyFont="1" applyBorder="1"/>
    <xf numFmtId="0" fontId="0" fillId="4" borderId="17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34" fillId="2" borderId="1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179" fontId="19" fillId="9" borderId="23" xfId="4" applyNumberFormat="1" applyFont="1" applyFill="1" applyBorder="1" applyAlignment="1">
      <alignment vertical="center"/>
    </xf>
    <xf numFmtId="168" fontId="0" fillId="4" borderId="23" xfId="0" applyNumberFormat="1" applyFill="1" applyBorder="1" applyAlignment="1">
      <alignment vertical="center"/>
    </xf>
    <xf numFmtId="167" fontId="0" fillId="4" borderId="23" xfId="0" applyNumberFormat="1" applyFill="1" applyBorder="1" applyAlignment="1">
      <alignment vertical="center"/>
    </xf>
    <xf numFmtId="43" fontId="0" fillId="4" borderId="23" xfId="0" applyNumberFormat="1" applyFill="1" applyBorder="1" applyAlignment="1">
      <alignment vertical="center"/>
    </xf>
    <xf numFmtId="9" fontId="21" fillId="2" borderId="23" xfId="0" applyNumberFormat="1" applyFont="1" applyFill="1" applyBorder="1" applyAlignment="1">
      <alignment vertical="center"/>
    </xf>
    <xf numFmtId="10" fontId="19" fillId="9" borderId="23" xfId="0" applyNumberFormat="1" applyFont="1" applyFill="1" applyBorder="1" applyAlignment="1">
      <alignment vertical="center"/>
    </xf>
    <xf numFmtId="167" fontId="2" fillId="10" borderId="23" xfId="0" applyNumberFormat="1" applyFont="1" applyFill="1" applyBorder="1" applyAlignment="1">
      <alignment vertical="center"/>
    </xf>
    <xf numFmtId="179" fontId="0" fillId="4" borderId="23" xfId="0" applyNumberFormat="1" applyFill="1" applyBorder="1" applyAlignment="1">
      <alignment vertical="center"/>
    </xf>
    <xf numFmtId="10" fontId="0" fillId="4" borderId="0" xfId="0" applyNumberFormat="1" applyFill="1" applyAlignment="1">
      <alignment vertical="center"/>
    </xf>
    <xf numFmtId="0" fontId="0" fillId="4" borderId="3" xfId="0" applyFill="1" applyBorder="1" applyAlignment="1">
      <alignment vertical="center"/>
    </xf>
    <xf numFmtId="2" fontId="0" fillId="4" borderId="0" xfId="0" applyNumberFormat="1" applyFill="1" applyAlignment="1">
      <alignment vertical="center"/>
    </xf>
    <xf numFmtId="167" fontId="19" fillId="9" borderId="23" xfId="4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79" fontId="0" fillId="4" borderId="3" xfId="0" applyNumberFormat="1" applyFill="1" applyBorder="1" applyAlignment="1">
      <alignment vertical="center"/>
    </xf>
    <xf numFmtId="167" fontId="2" fillId="21" borderId="3" xfId="0" applyNumberFormat="1" applyFont="1" applyFill="1" applyBorder="1" applyAlignment="1">
      <alignment vertical="center"/>
    </xf>
    <xf numFmtId="167" fontId="2" fillId="4" borderId="3" xfId="0" applyNumberFormat="1" applyFont="1" applyFill="1" applyBorder="1" applyAlignment="1">
      <alignment vertical="center"/>
    </xf>
    <xf numFmtId="167" fontId="2" fillId="10" borderId="3" xfId="0" applyNumberFormat="1" applyFont="1" applyFill="1" applyBorder="1" applyAlignment="1">
      <alignment vertical="center"/>
    </xf>
    <xf numFmtId="167" fontId="18" fillId="16" borderId="0" xfId="4" applyFont="1" applyFill="1" applyBorder="1" applyAlignment="1">
      <alignment vertical="center"/>
    </xf>
    <xf numFmtId="4" fontId="14" fillId="16" borderId="0" xfId="0" applyNumberFormat="1" applyFont="1" applyFill="1" applyAlignment="1">
      <alignment vertical="center"/>
    </xf>
    <xf numFmtId="168" fontId="14" fillId="16" borderId="0" xfId="0" applyNumberFormat="1" applyFont="1" applyFill="1" applyAlignment="1">
      <alignment vertical="center"/>
    </xf>
    <xf numFmtId="0" fontId="15" fillId="0" borderId="30" xfId="0" applyFont="1" applyBorder="1" applyAlignment="1">
      <alignment vertical="center"/>
    </xf>
    <xf numFmtId="0" fontId="0" fillId="4" borderId="30" xfId="0" applyFill="1" applyBorder="1" applyAlignment="1">
      <alignment vertical="center"/>
    </xf>
    <xf numFmtId="1" fontId="0" fillId="2" borderId="30" xfId="0" applyNumberFormat="1" applyFill="1" applyBorder="1" applyAlignment="1">
      <alignment vertical="center"/>
    </xf>
    <xf numFmtId="178" fontId="0" fillId="2" borderId="0" xfId="0" applyNumberFormat="1" applyFill="1" applyAlignment="1">
      <alignment vertical="center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8" fontId="0" fillId="0" borderId="23" xfId="0" applyNumberFormat="1" applyBorder="1" applyAlignment="1">
      <alignment vertical="center"/>
    </xf>
    <xf numFmtId="167" fontId="0" fillId="0" borderId="23" xfId="0" applyNumberFormat="1" applyBorder="1" applyAlignment="1">
      <alignment vertical="center"/>
    </xf>
    <xf numFmtId="43" fontId="0" fillId="0" borderId="23" xfId="0" applyNumberFormat="1" applyBorder="1" applyAlignment="1">
      <alignment vertical="center"/>
    </xf>
    <xf numFmtId="179" fontId="0" fillId="0" borderId="23" xfId="0" applyNumberFormat="1" applyBorder="1" applyAlignment="1">
      <alignment vertical="center"/>
    </xf>
    <xf numFmtId="3" fontId="6" fillId="0" borderId="0" xfId="0" applyNumberFormat="1" applyFont="1" applyAlignment="1">
      <alignment vertical="center"/>
    </xf>
    <xf numFmtId="10" fontId="26" fillId="10" borderId="16" xfId="2" quotePrefix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67" fontId="0" fillId="0" borderId="31" xfId="0" applyNumberFormat="1" applyBorder="1" applyAlignment="1">
      <alignment vertical="center"/>
    </xf>
    <xf numFmtId="49" fontId="35" fillId="0" borderId="0" xfId="0" applyNumberFormat="1" applyFont="1" applyAlignment="1">
      <alignment horizontal="right" vertical="center"/>
    </xf>
    <xf numFmtId="14" fontId="20" fillId="10" borderId="1" xfId="0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vertical="center"/>
    </xf>
    <xf numFmtId="181" fontId="0" fillId="0" borderId="23" xfId="0" applyNumberFormat="1" applyBorder="1" applyAlignment="1">
      <alignment vertical="center"/>
    </xf>
    <xf numFmtId="9" fontId="21" fillId="9" borderId="23" xfId="0" applyNumberFormat="1" applyFont="1" applyFill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1" fontId="33" fillId="9" borderId="1" xfId="4" applyNumberFormat="1" applyFont="1" applyFill="1" applyBorder="1" applyAlignment="1">
      <alignment horizontal="center" vertical="center"/>
    </xf>
    <xf numFmtId="0" fontId="36" fillId="1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6" fillId="0" borderId="17" xfId="0" applyFont="1" applyBorder="1" applyAlignment="1">
      <alignment horizontal="center" vertical="center"/>
    </xf>
    <xf numFmtId="0" fontId="36" fillId="15" borderId="17" xfId="0" applyFont="1" applyFill="1" applyBorder="1" applyAlignment="1">
      <alignment horizontal="center" vertical="center" readingOrder="1"/>
    </xf>
    <xf numFmtId="0" fontId="3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9" fillId="0" borderId="17" xfId="0" applyFont="1" applyBorder="1" applyAlignment="1">
      <alignment horizontal="center" vertical="center"/>
    </xf>
    <xf numFmtId="40" fontId="39" fillId="0" borderId="17" xfId="0" applyNumberFormat="1" applyFont="1" applyBorder="1" applyAlignment="1">
      <alignment horizontal="center" vertical="center"/>
    </xf>
    <xf numFmtId="40" fontId="39" fillId="0" borderId="0" xfId="0" applyNumberFormat="1" applyFont="1" applyAlignment="1">
      <alignment vertical="center"/>
    </xf>
    <xf numFmtId="2" fontId="7" fillId="0" borderId="0" xfId="0" applyNumberFormat="1" applyFont="1"/>
    <xf numFmtId="40" fontId="39" fillId="0" borderId="0" xfId="0" applyNumberFormat="1" applyFont="1" applyAlignment="1">
      <alignment horizontal="left" vertical="center"/>
    </xf>
    <xf numFmtId="40" fontId="39" fillId="2" borderId="17" xfId="0" applyNumberFormat="1" applyFont="1" applyFill="1" applyBorder="1" applyAlignment="1">
      <alignment horizontal="center" vertical="center"/>
    </xf>
    <xf numFmtId="40" fontId="39" fillId="0" borderId="0" xfId="0" applyNumberFormat="1" applyFont="1" applyAlignment="1">
      <alignment horizontal="center" vertical="center"/>
    </xf>
    <xf numFmtId="0" fontId="39" fillId="23" borderId="34" xfId="0" applyFont="1" applyFill="1" applyBorder="1" applyAlignment="1">
      <alignment horizontal="center" vertical="center" wrapText="1"/>
    </xf>
    <xf numFmtId="0" fontId="42" fillId="24" borderId="17" xfId="5" applyFont="1" applyFill="1" applyBorder="1" applyAlignment="1">
      <alignment horizontal="center"/>
    </xf>
    <xf numFmtId="0" fontId="39" fillId="23" borderId="37" xfId="0" applyFont="1" applyFill="1" applyBorder="1" applyAlignment="1">
      <alignment horizontal="center" vertical="center" wrapText="1"/>
    </xf>
    <xf numFmtId="0" fontId="42" fillId="16" borderId="17" xfId="5" applyFont="1" applyFill="1" applyBorder="1" applyAlignment="1">
      <alignment horizontal="center"/>
    </xf>
    <xf numFmtId="49" fontId="43" fillId="25" borderId="17" xfId="5" applyNumberFormat="1" applyFont="1" applyFill="1" applyBorder="1" applyAlignment="1" applyProtection="1">
      <alignment horizontal="center"/>
      <protection locked="0"/>
    </xf>
    <xf numFmtId="0" fontId="43" fillId="25" borderId="17" xfId="5" applyFont="1" applyFill="1" applyBorder="1" applyAlignment="1" applyProtection="1">
      <alignment horizontal="center"/>
      <protection locked="0"/>
    </xf>
    <xf numFmtId="0" fontId="39" fillId="22" borderId="37" xfId="0" applyFont="1" applyFill="1" applyBorder="1" applyAlignment="1">
      <alignment horizontal="center" vertical="center" wrapText="1"/>
    </xf>
    <xf numFmtId="0" fontId="39" fillId="2" borderId="37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49" fontId="43" fillId="16" borderId="17" xfId="5" applyNumberFormat="1" applyFont="1" applyFill="1" applyBorder="1" applyAlignment="1" applyProtection="1">
      <alignment horizontal="center"/>
      <protection locked="0"/>
    </xf>
    <xf numFmtId="0" fontId="43" fillId="16" borderId="17" xfId="5" applyFont="1" applyFill="1" applyBorder="1" applyAlignment="1" applyProtection="1">
      <alignment horizontal="center"/>
      <protection locked="0"/>
    </xf>
    <xf numFmtId="0" fontId="7" fillId="23" borderId="0" xfId="0" applyFont="1" applyFill="1"/>
    <xf numFmtId="0" fontId="44" fillId="0" borderId="37" xfId="0" applyFont="1" applyBorder="1" applyAlignment="1">
      <alignment horizontal="center" vertical="center" wrapText="1"/>
    </xf>
    <xf numFmtId="43" fontId="45" fillId="25" borderId="17" xfId="6" applyFont="1" applyFill="1" applyBorder="1" applyAlignment="1">
      <alignment horizontal="center" vertical="center" wrapText="1"/>
    </xf>
    <xf numFmtId="2" fontId="46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46" fillId="0" borderId="39" xfId="0" applyNumberFormat="1" applyFont="1" applyBorder="1" applyAlignment="1">
      <alignment horizontal="center" vertical="center" wrapText="1"/>
    </xf>
    <xf numFmtId="43" fontId="45" fillId="26" borderId="17" xfId="6" applyFont="1" applyFill="1" applyBorder="1" applyAlignment="1">
      <alignment horizontal="center" vertical="center" wrapText="1"/>
    </xf>
    <xf numFmtId="43" fontId="45" fillId="0" borderId="17" xfId="6" applyFont="1" applyFill="1" applyBorder="1" applyAlignment="1">
      <alignment horizontal="center" vertical="center" wrapText="1"/>
    </xf>
    <xf numFmtId="2" fontId="46" fillId="0" borderId="0" xfId="0" applyNumberFormat="1" applyFont="1" applyAlignment="1">
      <alignment horizontal="right" vertical="center" wrapText="1"/>
    </xf>
    <xf numFmtId="43" fontId="47" fillId="26" borderId="17" xfId="6" applyFont="1" applyFill="1" applyBorder="1" applyAlignment="1">
      <alignment horizontal="right" vertical="center" wrapText="1"/>
    </xf>
    <xf numFmtId="2" fontId="46" fillId="0" borderId="40" xfId="0" applyNumberFormat="1" applyFont="1" applyBorder="1" applyAlignment="1">
      <alignment horizontal="center" vertical="center" wrapText="1"/>
    </xf>
    <xf numFmtId="43" fontId="31" fillId="26" borderId="17" xfId="6" applyFont="1" applyFill="1" applyBorder="1"/>
    <xf numFmtId="43" fontId="39" fillId="26" borderId="17" xfId="6" applyFont="1" applyFill="1" applyBorder="1" applyAlignment="1">
      <alignment horizontal="right" vertical="center"/>
    </xf>
    <xf numFmtId="0" fontId="44" fillId="4" borderId="37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23" borderId="37" xfId="0" applyFont="1" applyFill="1" applyBorder="1" applyAlignment="1">
      <alignment horizontal="center" vertical="center" wrapText="1"/>
    </xf>
    <xf numFmtId="0" fontId="46" fillId="23" borderId="40" xfId="0" applyFont="1" applyFill="1" applyBorder="1" applyAlignment="1">
      <alignment horizontal="center" vertical="center" wrapText="1"/>
    </xf>
    <xf numFmtId="0" fontId="46" fillId="22" borderId="40" xfId="0" applyFont="1" applyFill="1" applyBorder="1" applyAlignment="1">
      <alignment horizontal="center" vertical="center" wrapText="1"/>
    </xf>
    <xf numFmtId="0" fontId="46" fillId="2" borderId="40" xfId="0" applyFont="1" applyFill="1" applyBorder="1" applyAlignment="1">
      <alignment horizontal="center" vertical="center" wrapText="1"/>
    </xf>
    <xf numFmtId="0" fontId="46" fillId="6" borderId="40" xfId="0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43" fontId="47" fillId="4" borderId="17" xfId="6" applyFont="1" applyFill="1" applyBorder="1" applyAlignment="1">
      <alignment horizontal="right" vertical="center" wrapText="1"/>
    </xf>
    <xf numFmtId="182" fontId="0" fillId="0" borderId="0" xfId="0" applyNumberFormat="1"/>
    <xf numFmtId="0" fontId="46" fillId="0" borderId="37" xfId="0" applyFont="1" applyBorder="1" applyAlignment="1">
      <alignment horizontal="center" vertical="center" wrapText="1"/>
    </xf>
    <xf numFmtId="43" fontId="45" fillId="4" borderId="17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0" fillId="2" borderId="23" xfId="0" applyNumberFormat="1" applyFill="1" applyBorder="1" applyAlignment="1">
      <alignment vertical="center"/>
    </xf>
    <xf numFmtId="3" fontId="0" fillId="4" borderId="0" xfId="0" applyNumberFormat="1" applyFill="1" applyAlignment="1">
      <alignment vertical="center"/>
    </xf>
    <xf numFmtId="43" fontId="15" fillId="2" borderId="0" xfId="0" applyNumberFormat="1" applyFont="1" applyFill="1" applyAlignment="1">
      <alignment vertical="center"/>
    </xf>
    <xf numFmtId="9" fontId="0" fillId="4" borderId="0" xfId="2" applyFont="1" applyFill="1" applyAlignment="1">
      <alignment vertical="center"/>
    </xf>
    <xf numFmtId="166" fontId="0" fillId="4" borderId="0" xfId="0" applyNumberFormat="1" applyFill="1" applyAlignment="1">
      <alignment vertical="center"/>
    </xf>
    <xf numFmtId="0" fontId="46" fillId="0" borderId="40" xfId="0" applyFont="1" applyBorder="1" applyAlignment="1">
      <alignment horizontal="center" vertical="center" wrapText="1"/>
    </xf>
    <xf numFmtId="1" fontId="33" fillId="9" borderId="1" xfId="4" quotePrefix="1" applyNumberFormat="1" applyFont="1" applyFill="1" applyBorder="1" applyAlignment="1">
      <alignment horizontal="center" vertical="center"/>
    </xf>
    <xf numFmtId="179" fontId="19" fillId="9" borderId="23" xfId="4" quotePrefix="1" applyNumberFormat="1" applyFont="1" applyFill="1" applyBorder="1" applyAlignment="1">
      <alignment vertical="center"/>
    </xf>
    <xf numFmtId="167" fontId="0" fillId="4" borderId="0" xfId="0" applyNumberFormat="1" applyFill="1" applyAlignment="1">
      <alignment vertical="center"/>
    </xf>
    <xf numFmtId="0" fontId="24" fillId="2" borderId="0" xfId="0" applyFont="1" applyFill="1" applyAlignment="1">
      <alignment vertical="center"/>
    </xf>
    <xf numFmtId="167" fontId="18" fillId="16" borderId="32" xfId="4" applyFont="1" applyFill="1" applyBorder="1" applyAlignment="1">
      <alignment vertical="center"/>
    </xf>
    <xf numFmtId="4" fontId="14" fillId="16" borderId="33" xfId="0" applyNumberFormat="1" applyFont="1" applyFill="1" applyBorder="1" applyAlignment="1">
      <alignment vertical="center"/>
    </xf>
    <xf numFmtId="168" fontId="14" fillId="16" borderId="33" xfId="0" applyNumberFormat="1" applyFont="1" applyFill="1" applyBorder="1" applyAlignment="1">
      <alignment vertical="center"/>
    </xf>
    <xf numFmtId="4" fontId="2" fillId="2" borderId="34" xfId="0" applyNumberFormat="1" applyFont="1" applyFill="1" applyBorder="1" applyAlignment="1">
      <alignment vertical="center"/>
    </xf>
    <xf numFmtId="1" fontId="33" fillId="9" borderId="1" xfId="8" applyNumberFormat="1" applyFont="1" applyFill="1" applyBorder="1" applyAlignment="1">
      <alignment horizontal="center" vertical="center"/>
    </xf>
    <xf numFmtId="9" fontId="0" fillId="0" borderId="23" xfId="0" applyNumberFormat="1" applyBorder="1" applyAlignment="1">
      <alignment vertical="center"/>
    </xf>
    <xf numFmtId="0" fontId="18" fillId="10" borderId="5" xfId="3" applyFont="1" applyFill="1" applyBorder="1" applyAlignment="1">
      <alignment horizontal="center" vertical="center" wrapText="1"/>
    </xf>
    <xf numFmtId="0" fontId="18" fillId="10" borderId="6" xfId="3" applyFont="1" applyFill="1" applyBorder="1" applyAlignment="1">
      <alignment horizontal="center" vertical="center" wrapText="1"/>
    </xf>
    <xf numFmtId="0" fontId="18" fillId="10" borderId="4" xfId="3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50" fillId="6" borderId="10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 vertical="center"/>
    </xf>
    <xf numFmtId="0" fontId="51" fillId="6" borderId="39" xfId="0" applyFont="1" applyFill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15" borderId="17" xfId="0" applyFont="1" applyFill="1" applyBorder="1" applyAlignment="1">
      <alignment horizontal="center" vertical="center"/>
    </xf>
    <xf numFmtId="0" fontId="46" fillId="23" borderId="35" xfId="0" applyFont="1" applyFill="1" applyBorder="1" applyAlignment="1">
      <alignment horizontal="center" vertical="center" textRotation="90" wrapText="1"/>
    </xf>
    <xf numFmtId="0" fontId="46" fillId="23" borderId="36" xfId="0" applyFont="1" applyFill="1" applyBorder="1" applyAlignment="1">
      <alignment horizontal="center" vertical="center" textRotation="90" wrapText="1"/>
    </xf>
    <xf numFmtId="0" fontId="46" fillId="23" borderId="38" xfId="0" applyFont="1" applyFill="1" applyBorder="1" applyAlignment="1">
      <alignment horizontal="center" vertical="center" textRotation="90" wrapText="1"/>
    </xf>
    <xf numFmtId="0" fontId="46" fillId="0" borderId="35" xfId="0" applyFont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23" borderId="32" xfId="0" applyFont="1" applyFill="1" applyBorder="1" applyAlignment="1">
      <alignment horizontal="center" vertical="center" wrapText="1"/>
    </xf>
    <xf numFmtId="0" fontId="46" fillId="23" borderId="33" xfId="0" applyFont="1" applyFill="1" applyBorder="1" applyAlignment="1">
      <alignment horizontal="center" vertical="center" wrapText="1"/>
    </xf>
    <xf numFmtId="0" fontId="46" fillId="23" borderId="34" xfId="0" applyFont="1" applyFill="1" applyBorder="1" applyAlignment="1">
      <alignment horizontal="center" vertical="center" wrapText="1"/>
    </xf>
    <xf numFmtId="0" fontId="40" fillId="23" borderId="32" xfId="0" applyFont="1" applyFill="1" applyBorder="1" applyAlignment="1">
      <alignment horizontal="center" vertical="center"/>
    </xf>
    <xf numFmtId="0" fontId="40" fillId="23" borderId="33" xfId="0" applyFont="1" applyFill="1" applyBorder="1" applyAlignment="1">
      <alignment horizontal="center" vertical="center"/>
    </xf>
    <xf numFmtId="0" fontId="40" fillId="23" borderId="34" xfId="0" applyFont="1" applyFill="1" applyBorder="1" applyAlignment="1">
      <alignment horizontal="center" vertical="center"/>
    </xf>
    <xf numFmtId="0" fontId="46" fillId="23" borderId="35" xfId="0" applyFont="1" applyFill="1" applyBorder="1" applyAlignment="1">
      <alignment horizontal="center" vertical="center" wrapText="1"/>
    </xf>
    <xf numFmtId="0" fontId="46" fillId="23" borderId="36" xfId="0" applyFont="1" applyFill="1" applyBorder="1" applyAlignment="1">
      <alignment horizontal="center" vertical="center" wrapText="1"/>
    </xf>
    <xf numFmtId="0" fontId="46" fillId="23" borderId="38" xfId="0" applyFont="1" applyFill="1" applyBorder="1" applyAlignment="1">
      <alignment horizontal="center" vertical="center" wrapText="1"/>
    </xf>
    <xf numFmtId="0" fontId="48" fillId="23" borderId="32" xfId="0" applyFont="1" applyFill="1" applyBorder="1" applyAlignment="1">
      <alignment horizontal="center" vertical="center" wrapText="1"/>
    </xf>
    <xf numFmtId="0" fontId="48" fillId="23" borderId="33" xfId="0" applyFont="1" applyFill="1" applyBorder="1" applyAlignment="1">
      <alignment horizontal="center" vertical="center" wrapText="1"/>
    </xf>
    <xf numFmtId="0" fontId="48" fillId="23" borderId="34" xfId="0" applyFont="1" applyFill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4" borderId="35" xfId="0" applyFont="1" applyFill="1" applyBorder="1" applyAlignment="1">
      <alignment horizontal="center" vertical="center" wrapText="1"/>
    </xf>
    <xf numFmtId="0" fontId="44" fillId="4" borderId="36" xfId="0" applyFont="1" applyFill="1" applyBorder="1" applyAlignment="1">
      <alignment horizontal="center" vertical="center" wrapText="1"/>
    </xf>
    <xf numFmtId="0" fontId="44" fillId="4" borderId="38" xfId="0" applyFont="1" applyFill="1" applyBorder="1" applyAlignment="1">
      <alignment horizontal="center" vertical="center" wrapText="1"/>
    </xf>
    <xf numFmtId="0" fontId="39" fillId="23" borderId="35" xfId="0" applyFont="1" applyFill="1" applyBorder="1" applyAlignment="1">
      <alignment horizontal="center" vertical="center" wrapText="1"/>
    </xf>
    <xf numFmtId="0" fontId="39" fillId="23" borderId="36" xfId="0" applyFont="1" applyFill="1" applyBorder="1" applyAlignment="1">
      <alignment horizontal="center" vertical="center" wrapText="1"/>
    </xf>
    <xf numFmtId="0" fontId="39" fillId="23" borderId="38" xfId="0" applyFont="1" applyFill="1" applyBorder="1" applyAlignment="1">
      <alignment horizontal="center" vertical="center" wrapText="1"/>
    </xf>
    <xf numFmtId="0" fontId="39" fillId="23" borderId="32" xfId="0" applyFont="1" applyFill="1" applyBorder="1" applyAlignment="1">
      <alignment horizontal="center" vertical="center" wrapText="1"/>
    </xf>
    <xf numFmtId="0" fontId="39" fillId="23" borderId="33" xfId="0" applyFont="1" applyFill="1" applyBorder="1" applyAlignment="1">
      <alignment horizontal="center" vertical="center" wrapText="1"/>
    </xf>
    <xf numFmtId="0" fontId="39" fillId="23" borderId="3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8" fillId="18" borderId="18" xfId="3" applyFont="1" applyFill="1" applyBorder="1" applyAlignment="1">
      <alignment horizontal="center" vertical="center" wrapText="1"/>
    </xf>
    <xf numFmtId="0" fontId="18" fillId="18" borderId="19" xfId="3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</cellXfs>
  <cellStyles count="13">
    <cellStyle name="Normal" xfId="0" builtinId="0"/>
    <cellStyle name="Normal 2" xfId="3" xr:uid="{AFC2B2FA-40FC-4774-B1AE-8E0BE0B202DE}"/>
    <cellStyle name="Normal 3" xfId="5" xr:uid="{0D1EF907-46FA-41EA-A9BE-1E004A5B6546}"/>
    <cellStyle name="Porcentagem" xfId="2" builtinId="5"/>
    <cellStyle name="Vírgula" xfId="1" builtinId="3"/>
    <cellStyle name="Vírgula 2" xfId="4" xr:uid="{62B60EDE-065B-46CB-A7F8-BBC2E15A5250}"/>
    <cellStyle name="Vírgula 2 2" xfId="10" xr:uid="{B270459A-9434-4CEF-85F0-7A7C4731900A}"/>
    <cellStyle name="Vírgula 2 3" xfId="8" xr:uid="{DC96ADAA-1DAB-4283-A03F-BA96B02624CD}"/>
    <cellStyle name="Vírgula 3" xfId="6" xr:uid="{0ACF8DAE-615A-44F0-813F-257B151A7048}"/>
    <cellStyle name="Vírgula 3 2" xfId="12" xr:uid="{89DB977C-C4B5-4BDC-8C0D-C750ED4F011F}"/>
    <cellStyle name="Vírgula 3 3" xfId="11" xr:uid="{70499A75-F743-4FCB-A35D-3E18E76E638A}"/>
    <cellStyle name="Vírgula 4" xfId="9" xr:uid="{62A7AD57-E050-40BE-84C1-F18872FCA865}"/>
    <cellStyle name="Vírgula 5" xfId="7" xr:uid="{0322173A-1E73-409D-9037-9A7F17CE129D}"/>
  </cellStyles>
  <dxfs count="182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22</xdr:row>
      <xdr:rowOff>0</xdr:rowOff>
    </xdr:from>
    <xdr:to>
      <xdr:col>24</xdr:col>
      <xdr:colOff>242757</xdr:colOff>
      <xdr:row>54</xdr:row>
      <xdr:rowOff>135995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E05B54-A3E5-559F-AC0B-9437706A3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9467" y="4656667"/>
          <a:ext cx="7041490" cy="609652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58</xdr:row>
      <xdr:rowOff>0</xdr:rowOff>
    </xdr:from>
    <xdr:to>
      <xdr:col>27</xdr:col>
      <xdr:colOff>279367</xdr:colOff>
      <xdr:row>88</xdr:row>
      <xdr:rowOff>5565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DB0BEC-3448-8230-E911-971F06034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9467" y="11362267"/>
          <a:ext cx="9381033" cy="5593565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508000</xdr:colOff>
      <xdr:row>12</xdr:row>
      <xdr:rowOff>296334</xdr:rowOff>
    </xdr:from>
    <xdr:to>
      <xdr:col>31</xdr:col>
      <xdr:colOff>446961</xdr:colOff>
      <xdr:row>21</xdr:row>
      <xdr:rowOff>62823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284E53-A1D6-0979-039E-EAC8FF9DC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1400" y="2582334"/>
          <a:ext cx="8862828" cy="1950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22</xdr:row>
      <xdr:rowOff>0</xdr:rowOff>
    </xdr:from>
    <xdr:to>
      <xdr:col>24</xdr:col>
      <xdr:colOff>307318</xdr:colOff>
      <xdr:row>56</xdr:row>
      <xdr:rowOff>80550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C27F33-5C76-D4A0-4EC9-C91171674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4150" y="4562475"/>
          <a:ext cx="7079593" cy="62337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27</xdr:col>
      <xdr:colOff>273225</xdr:colOff>
      <xdr:row>89</xdr:row>
      <xdr:rowOff>154773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2F25C5-F229-7C66-7E7F-087F89FF7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54150" y="11439525"/>
          <a:ext cx="9350550" cy="5403048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457200</xdr:colOff>
      <xdr:row>12</xdr:row>
      <xdr:rowOff>161925</xdr:rowOff>
    </xdr:from>
    <xdr:to>
      <xdr:col>31</xdr:col>
      <xdr:colOff>393199</xdr:colOff>
      <xdr:row>20</xdr:row>
      <xdr:rowOff>57312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809609-8A9C-16DB-AAD2-4E8B8B02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68825" y="2390775"/>
          <a:ext cx="8870449" cy="1867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21</xdr:row>
      <xdr:rowOff>0</xdr:rowOff>
    </xdr:from>
    <xdr:to>
      <xdr:col>24</xdr:col>
      <xdr:colOff>774090</xdr:colOff>
      <xdr:row>55</xdr:row>
      <xdr:rowOff>95792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845B5F-DE36-EFCA-DB89-D7AC710D3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6575" y="4381500"/>
          <a:ext cx="7613040" cy="624894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60</xdr:row>
      <xdr:rowOff>0</xdr:rowOff>
    </xdr:from>
    <xdr:to>
      <xdr:col>28</xdr:col>
      <xdr:colOff>334164</xdr:colOff>
      <xdr:row>91</xdr:row>
      <xdr:rowOff>143374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253AF4-7BB1-4BFA-38E5-6BBC0930F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06700" y="11439525"/>
          <a:ext cx="9106689" cy="575359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32</xdr:col>
      <xdr:colOff>149364</xdr:colOff>
      <xdr:row>22</xdr:row>
      <xdr:rowOff>133502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3969BEE-BDCF-D767-8924-60CF2E421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11775" y="2943225"/>
          <a:ext cx="8931414" cy="1752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542925</xdr:colOff>
      <xdr:row>27</xdr:row>
      <xdr:rowOff>9525</xdr:rowOff>
    </xdr:from>
    <xdr:to>
      <xdr:col>24</xdr:col>
      <xdr:colOff>154918</xdr:colOff>
      <xdr:row>62</xdr:row>
      <xdr:rowOff>69137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6D07E9-FD56-4FC7-CE8A-856D886DE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5476875"/>
          <a:ext cx="7079593" cy="643183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64</xdr:row>
      <xdr:rowOff>0</xdr:rowOff>
    </xdr:from>
    <xdr:to>
      <xdr:col>27</xdr:col>
      <xdr:colOff>429434</xdr:colOff>
      <xdr:row>101</xdr:row>
      <xdr:rowOff>170140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1AA7FA-8873-9893-601B-F00B0B81A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01975" y="12201525"/>
          <a:ext cx="9335309" cy="686621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103</xdr:row>
      <xdr:rowOff>28575</xdr:rowOff>
    </xdr:from>
    <xdr:to>
      <xdr:col>27</xdr:col>
      <xdr:colOff>345607</xdr:colOff>
      <xdr:row>110</xdr:row>
      <xdr:rowOff>49642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404ED51-F0E3-634D-DA42-23462379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01975" y="19288125"/>
          <a:ext cx="9251482" cy="1287892"/>
        </a:xfrm>
        <a:prstGeom prst="rect">
          <a:avLst/>
        </a:prstGeom>
      </xdr:spPr>
    </xdr:pic>
    <xdr:clientData/>
  </xdr:twoCellAnchor>
  <xdr:twoCellAnchor editAs="oneCell">
    <xdr:from>
      <xdr:col>19</xdr:col>
      <xdr:colOff>514350</xdr:colOff>
      <xdr:row>12</xdr:row>
      <xdr:rowOff>314325</xdr:rowOff>
    </xdr:from>
    <xdr:to>
      <xdr:col>32</xdr:col>
      <xdr:colOff>198903</xdr:colOff>
      <xdr:row>22</xdr:row>
      <xdr:rowOff>175450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9057E2-FA82-35AF-E8E0-BC925CE7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11900" y="2543175"/>
          <a:ext cx="9038103" cy="2194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666750</xdr:colOff>
      <xdr:row>25</xdr:row>
      <xdr:rowOff>28575</xdr:rowOff>
    </xdr:from>
    <xdr:to>
      <xdr:col>24</xdr:col>
      <xdr:colOff>255882</xdr:colOff>
      <xdr:row>59</xdr:row>
      <xdr:rowOff>116749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2513E46-791F-5846-9D80-00E9C02F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1950" y="5133975"/>
          <a:ext cx="7056732" cy="62794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62</xdr:row>
      <xdr:rowOff>0</xdr:rowOff>
    </xdr:from>
    <xdr:to>
      <xdr:col>27</xdr:col>
      <xdr:colOff>452296</xdr:colOff>
      <xdr:row>100</xdr:row>
      <xdr:rowOff>4406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1EC09F8-C5E8-D8D1-4E1F-A86CD579F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01975" y="11839575"/>
          <a:ext cx="9358171" cy="6881456"/>
        </a:xfrm>
        <a:prstGeom prst="rect">
          <a:avLst/>
        </a:prstGeom>
      </xdr:spPr>
    </xdr:pic>
    <xdr:clientData/>
  </xdr:twoCellAnchor>
  <xdr:twoCellAnchor editAs="oneCell">
    <xdr:from>
      <xdr:col>16</xdr:col>
      <xdr:colOff>171450</xdr:colOff>
      <xdr:row>100</xdr:row>
      <xdr:rowOff>104775</xdr:rowOff>
    </xdr:from>
    <xdr:to>
      <xdr:col>27</xdr:col>
      <xdr:colOff>608505</xdr:colOff>
      <xdr:row>109</xdr:row>
      <xdr:rowOff>122063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78FD133-3A88-0223-4C04-9ED547C1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73425" y="18821400"/>
          <a:ext cx="9342930" cy="1646063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13</xdr:row>
      <xdr:rowOff>66675</xdr:rowOff>
    </xdr:from>
    <xdr:to>
      <xdr:col>33</xdr:col>
      <xdr:colOff>515166</xdr:colOff>
      <xdr:row>22</xdr:row>
      <xdr:rowOff>173536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2CCC534-4AA7-27B9-3D50-8FC2FFB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83400" y="2647950"/>
          <a:ext cx="9411516" cy="20880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B\EDP%20ES_Modelo_NFe_Grupo%20B.xlsx" TargetMode="External"/><Relationship Id="rId1" Type="http://schemas.openxmlformats.org/officeDocument/2006/relationships/externalLinkPath" Target="https://edponcloud-my.sharepoint.com/personal/e711156_edp_com_br/Documents/Documentos/Ivan%20Cavalcante/Faturamento/Contas-Teste/Di&#225;rio/2025/07%20-%20Julho/Lote%2043/EDP%20ES_Modelo_NFe_Grupo%20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B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A\EDP_ES_RTA_2024_Modelo_Grupo%20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A/EDP_ES_RTA_2024_Modelo_Grupo%20A.xlsx?EF1E29F3" TargetMode="External"/><Relationship Id="rId1" Type="http://schemas.openxmlformats.org/officeDocument/2006/relationships/externalLinkPath" Target="file:///\\EF1E29F3\EDP_ES_RTA_2024_Modelo_Grupo%20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B\EDP_ES_RTA_2023_Modelo_Grupo%20B_TARIFA%20BRANC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B/EDP_ES_RTA_2023_Modelo_Grupo%20B_TARIFA%20BRANCA.xlsx?8A0427C7" TargetMode="External"/><Relationship Id="rId1" Type="http://schemas.openxmlformats.org/officeDocument/2006/relationships/externalLinkPath" Target="file:///\\8A0427C7\EDP_ES_RTA_2023_Modelo_Grupo%20B_TARIFA%20BRANC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 B"/>
      <sheetName val="TABELA DE TARIFAS ANTIGAS"/>
      <sheetName val="TABELA DE TARIFAS NOVAS"/>
      <sheetName val="Fatura B1 (Res) OK"/>
      <sheetName val="Fatura B2 (Rur) OK"/>
      <sheetName val="Fatura B2 (Irr) OK"/>
      <sheetName val="Fatura B3 OK"/>
      <sheetName val="Fatura B3 (AES)"/>
      <sheetName val="Fatura B3 (CP)"/>
      <sheetName val="Fatura B4a"/>
      <sheetName val="Baixa Renda"/>
      <sheetName val="Baixa Renda 1 OK"/>
      <sheetName val="Baixa Renda (INDIG) 1"/>
      <sheetName val="Baixa Renda (IND)"/>
    </sheetNames>
    <sheetDataSet>
      <sheetData sheetId="0">
        <row r="12">
          <cell r="H12">
            <v>176.52</v>
          </cell>
          <cell r="K12">
            <v>61.783267641139197</v>
          </cell>
        </row>
      </sheetData>
      <sheetData sheetId="1">
        <row r="71">
          <cell r="G71">
            <v>392.53</v>
          </cell>
        </row>
        <row r="72">
          <cell r="G72">
            <v>283.37</v>
          </cell>
          <cell r="H72">
            <v>298.8</v>
          </cell>
        </row>
      </sheetData>
      <sheetData sheetId="2">
        <row r="74">
          <cell r="G74">
            <v>289.35000000000002</v>
          </cell>
          <cell r="H74">
            <v>293.33999999999997</v>
          </cell>
        </row>
      </sheetData>
      <sheetData sheetId="3">
        <row r="4">
          <cell r="N4">
            <v>1.8849999999999999E-2</v>
          </cell>
        </row>
        <row r="5">
          <cell r="N5">
            <v>4.4630000000000003E-2</v>
          </cell>
        </row>
        <row r="6">
          <cell r="N6">
            <v>7.8770000000000007E-2</v>
          </cell>
        </row>
      </sheetData>
      <sheetData sheetId="4">
        <row r="6">
          <cell r="R6">
            <v>0.17652000000000001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O B"/>
      <sheetName val="TABELA DE TARIFAS ANTIGAS"/>
      <sheetName val="TABELA DE TARIFAS NOVAS"/>
      <sheetName val="Fatura B1 (Res)"/>
      <sheetName val="Fatura B2 (Rur)"/>
      <sheetName val="Fatura B2 (Irr)"/>
      <sheetName val="Fatura B3"/>
      <sheetName val="Fatura B3 Lim Tusd"/>
      <sheetName val="Fatura B3 (AES)"/>
      <sheetName val="Fatura B3 CP"/>
      <sheetName val="Fatura B4a"/>
      <sheetName val="Baixa Renda"/>
      <sheetName val="Baixa Renda (QUI)"/>
      <sheetName val="Baixa Renda (IND)"/>
    </sheetNames>
    <sheetDataSet>
      <sheetData sheetId="0">
        <row r="11">
          <cell r="H11">
            <v>192.05</v>
          </cell>
          <cell r="K11">
            <v>176.52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NDEIRA"/>
      <sheetName val="Grupo A_FIO B"/>
      <sheetName val="TABELA DE TARIFAS ANTIGAS"/>
      <sheetName val="TABELA DE TARIFAS NOVAS"/>
      <sheetName val="A2 Azul"/>
      <sheetName val="A2 Azul (LIVRE) OK"/>
      <sheetName val="A3 Azul"/>
      <sheetName val="A3 Azul (LIVRE)"/>
      <sheetName val="A3a Azul"/>
      <sheetName val="A3a Azul (LIVRE) OK"/>
      <sheetName val="A3a Azul (AES)"/>
      <sheetName val="A3a Verde"/>
      <sheetName val="A3a Verde (LIVRE) OK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5">
          <cell r="D5">
            <v>1.8849999999999999E-2</v>
          </cell>
        </row>
        <row r="6">
          <cell r="D6">
            <v>4.4630000000000003E-2</v>
          </cell>
        </row>
        <row r="7">
          <cell r="D7">
            <v>7.8770000000000007E-2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IO B"/>
      <sheetName val="TABELA DE TARIFAS ANTIGAS"/>
      <sheetName val="TABELA DE TARIFAS NOVAS"/>
      <sheetName val="B1 (Res) Branca OK"/>
      <sheetName val="B3 Branca OK"/>
      <sheetName val="B2 (Rural) Branca OK"/>
      <sheetName val="O3 Branca OK"/>
      <sheetName val="B2 (Rural Irrig) Branca OK"/>
      <sheetName val="B3 Branca (AES) NÃO"/>
    </sheetNames>
    <sheetDataSet>
      <sheetData sheetId="0">
        <row r="7">
          <cell r="H7">
            <v>547.33000000000004</v>
          </cell>
          <cell r="K7">
            <v>503.09239053940797</v>
          </cell>
        </row>
        <row r="8">
          <cell r="H8">
            <v>328.4</v>
          </cell>
          <cell r="K8">
            <v>301.85545384327401</v>
          </cell>
        </row>
        <row r="9">
          <cell r="H9">
            <v>109.47</v>
          </cell>
          <cell r="K9">
            <v>100.61851714714101</v>
          </cell>
        </row>
        <row r="14">
          <cell r="H14">
            <v>550.6</v>
          </cell>
          <cell r="K14">
            <v>538.39715394503196</v>
          </cell>
        </row>
        <row r="15">
          <cell r="H15">
            <v>330.36</v>
          </cell>
          <cell r="K15">
            <v>323.03825332776103</v>
          </cell>
        </row>
        <row r="16">
          <cell r="H16">
            <v>110.12</v>
          </cell>
          <cell r="K16">
            <v>107.67945030863601</v>
          </cell>
        </row>
        <row r="29">
          <cell r="H29">
            <v>672.16</v>
          </cell>
          <cell r="K29">
            <v>617.83277400954</v>
          </cell>
        </row>
        <row r="30">
          <cell r="H30">
            <v>403.3</v>
          </cell>
          <cell r="K30">
            <v>370.699625366465</v>
          </cell>
        </row>
        <row r="31">
          <cell r="H31">
            <v>134.43</v>
          </cell>
          <cell r="K31">
            <v>123.566574321537</v>
          </cell>
        </row>
      </sheetData>
      <sheetData sheetId="1">
        <row r="68">
          <cell r="G68">
            <v>811.72</v>
          </cell>
          <cell r="H68">
            <v>459.25</v>
          </cell>
        </row>
        <row r="69">
          <cell r="G69">
            <v>553.41</v>
          </cell>
          <cell r="H69">
            <v>291.63</v>
          </cell>
        </row>
        <row r="70">
          <cell r="G70">
            <v>295.10000000000002</v>
          </cell>
          <cell r="H70">
            <v>291.63</v>
          </cell>
        </row>
        <row r="73">
          <cell r="G73">
            <v>857.04</v>
          </cell>
          <cell r="H73">
            <v>459.25</v>
          </cell>
        </row>
        <row r="74">
          <cell r="G74">
            <v>580.6</v>
          </cell>
          <cell r="H74">
            <v>291.63</v>
          </cell>
        </row>
        <row r="75">
          <cell r="G75">
            <v>304.17</v>
          </cell>
          <cell r="H75">
            <v>291.63</v>
          </cell>
        </row>
        <row r="85">
          <cell r="G85">
            <v>959.01</v>
          </cell>
          <cell r="H85">
            <v>459.25</v>
          </cell>
        </row>
        <row r="86">
          <cell r="G86">
            <v>641.78</v>
          </cell>
          <cell r="H86">
            <v>291.63</v>
          </cell>
        </row>
        <row r="87">
          <cell r="G87">
            <v>324.56</v>
          </cell>
          <cell r="H87">
            <v>291.63</v>
          </cell>
        </row>
      </sheetData>
      <sheetData sheetId="2">
        <row r="70">
          <cell r="G70">
            <v>809.35</v>
          </cell>
          <cell r="H70">
            <v>456.11</v>
          </cell>
        </row>
        <row r="71">
          <cell r="G71">
            <v>546.94000000000005</v>
          </cell>
          <cell r="H71">
            <v>286.86</v>
          </cell>
        </row>
        <row r="72">
          <cell r="G72">
            <v>284.52999999999997</v>
          </cell>
          <cell r="H72">
            <v>286.86</v>
          </cell>
        </row>
        <row r="75">
          <cell r="G75">
            <v>855.39</v>
          </cell>
          <cell r="H75">
            <v>456.11</v>
          </cell>
        </row>
        <row r="76">
          <cell r="G76">
            <v>574.55999999999995</v>
          </cell>
          <cell r="H76">
            <v>286.86</v>
          </cell>
        </row>
        <row r="77">
          <cell r="G77">
            <v>293.73</v>
          </cell>
          <cell r="H77">
            <v>286.86</v>
          </cell>
        </row>
        <row r="87">
          <cell r="G87">
            <v>958.97</v>
          </cell>
          <cell r="H87">
            <v>456.11</v>
          </cell>
        </row>
        <row r="88">
          <cell r="G88">
            <v>636.71</v>
          </cell>
          <cell r="H88">
            <v>286.86</v>
          </cell>
        </row>
        <row r="89">
          <cell r="G89">
            <v>314.45</v>
          </cell>
          <cell r="H89">
            <v>286.86</v>
          </cell>
        </row>
      </sheetData>
      <sheetData sheetId="3">
        <row r="3">
          <cell r="N3">
            <v>0</v>
          </cell>
        </row>
        <row r="4">
          <cell r="N4">
            <v>1.8849999999999999E-2</v>
          </cell>
        </row>
        <row r="5">
          <cell r="N5">
            <v>4.4630000000000003E-2</v>
          </cell>
        </row>
        <row r="6">
          <cell r="N6">
            <v>7.8770000000000007E-2</v>
          </cell>
        </row>
        <row r="8">
          <cell r="C8">
            <v>0.55340999999999996</v>
          </cell>
          <cell r="D8">
            <v>0.29163</v>
          </cell>
        </row>
        <row r="9">
          <cell r="C9">
            <v>2.0783073765861601E-4</v>
          </cell>
          <cell r="D9">
            <v>4.0179200000000003E-3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DEIRA"/>
      <sheetName val="Grupo A_FIO B"/>
      <sheetName val="TABELA DE TARIFAS ANTIGAS"/>
      <sheetName val="TABELA DE TARIFAS NOVAS"/>
      <sheetName val="A2 Azul"/>
      <sheetName val="A2 Azul (LIVRE)"/>
      <sheetName val="A3 Azul"/>
      <sheetName val="A3 Azul (LIVRE)"/>
      <sheetName val="A3a Azul"/>
      <sheetName val="A3a Azul (LIVRE)"/>
      <sheetName val="A3a Azul (AES)"/>
      <sheetName val="A3a Verde"/>
      <sheetName val="A3a Verde (LIVRE)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4">
          <cell r="D4">
            <v>0</v>
          </cell>
        </row>
        <row r="5">
          <cell r="D5">
            <v>2.989E-2</v>
          </cell>
        </row>
        <row r="6">
          <cell r="D6">
            <v>6.5000000000000002E-2</v>
          </cell>
        </row>
        <row r="7">
          <cell r="D7">
            <v>9.7949999999999995E-2</v>
          </cell>
        </row>
        <row r="8">
          <cell r="D8">
            <v>0.14199999999999999</v>
          </cell>
        </row>
      </sheetData>
      <sheetData sheetId="1">
        <row r="49">
          <cell r="F49">
            <v>26.16</v>
          </cell>
          <cell r="I49">
            <v>24.04</v>
          </cell>
        </row>
        <row r="50">
          <cell r="G50">
            <v>935.88</v>
          </cell>
          <cell r="J50">
            <v>860.24</v>
          </cell>
        </row>
      </sheetData>
      <sheetData sheetId="2">
        <row r="52">
          <cell r="E52">
            <v>30.44</v>
          </cell>
        </row>
        <row r="53">
          <cell r="F53">
            <v>1240.02</v>
          </cell>
          <cell r="G53">
            <v>422.6</v>
          </cell>
        </row>
        <row r="54">
          <cell r="F54">
            <v>134.33000000000001</v>
          </cell>
          <cell r="G54">
            <v>263.8</v>
          </cell>
        </row>
        <row r="71">
          <cell r="G71">
            <v>396.81</v>
          </cell>
          <cell r="H71">
            <v>277.02999999999997</v>
          </cell>
        </row>
      </sheetData>
      <sheetData sheetId="3">
        <row r="52">
          <cell r="E52">
            <v>31.53</v>
          </cell>
        </row>
        <row r="53">
          <cell r="F53">
            <v>1267.83</v>
          </cell>
          <cell r="G53">
            <v>458.03</v>
          </cell>
        </row>
        <row r="54">
          <cell r="F54">
            <v>121.17</v>
          </cell>
          <cell r="G54">
            <v>290.41000000000003</v>
          </cell>
        </row>
        <row r="71">
          <cell r="G71">
            <v>392.53</v>
          </cell>
          <cell r="H71">
            <v>305.60000000000002</v>
          </cell>
        </row>
      </sheetData>
      <sheetData sheetId="4">
        <row r="2">
          <cell r="F2">
            <v>45145</v>
          </cell>
        </row>
        <row r="4">
          <cell r="C4" t="str">
            <v>TARIFA ANTIGA - REH 3091/2022</v>
          </cell>
          <cell r="D4"/>
          <cell r="E4"/>
          <cell r="F4" t="str">
            <v>TARIFA NOVA - REH 3241/2023</v>
          </cell>
          <cell r="G4"/>
          <cell r="H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>
            <v>45.59</v>
          </cell>
          <cell r="D6">
            <v>0.13433</v>
          </cell>
          <cell r="E6">
            <v>0.42260000000000003</v>
          </cell>
          <cell r="F6">
            <v>47.23</v>
          </cell>
          <cell r="G6">
            <v>0.12117</v>
          </cell>
          <cell r="H6">
            <v>0.45802999999999999</v>
          </cell>
        </row>
        <row r="7">
          <cell r="C7">
            <v>30.44</v>
          </cell>
          <cell r="D7">
            <v>0.13433</v>
          </cell>
          <cell r="E7">
            <v>0.26380000000000003</v>
          </cell>
          <cell r="F7">
            <v>31.53</v>
          </cell>
          <cell r="G7">
            <v>0.12117</v>
          </cell>
          <cell r="H7">
            <v>0.29041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29E0-DCB5-4BFF-AEA0-4CC692F46AF0}">
  <dimension ref="A1:Z51"/>
  <sheetViews>
    <sheetView showGridLines="0" topLeftCell="A17" zoomScale="80" zoomScaleNormal="80" workbookViewId="0">
      <selection activeCell="A51" sqref="A51"/>
    </sheetView>
  </sheetViews>
  <sheetFormatPr defaultColWidth="9.109375" defaultRowHeight="14.4" x14ac:dyDescent="0.3"/>
  <cols>
    <col min="1" max="1" width="5.44140625" style="19" customWidth="1"/>
    <col min="2" max="2" width="12.6640625" style="19" customWidth="1"/>
    <col min="3" max="3" width="13.88671875" style="19" customWidth="1"/>
    <col min="4" max="10" width="12.6640625" style="19" customWidth="1"/>
    <col min="11" max="12" width="13.8867187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27</v>
      </c>
      <c r="E2" s="20" t="s">
        <v>28</v>
      </c>
      <c r="F2" s="21">
        <v>45145</v>
      </c>
      <c r="G2" s="1" t="s">
        <v>8</v>
      </c>
      <c r="I2" s="101" t="s">
        <v>64</v>
      </c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13" t="s">
        <v>31</v>
      </c>
      <c r="C4" s="418" t="s">
        <v>58</v>
      </c>
      <c r="D4" s="418"/>
      <c r="E4" s="418"/>
      <c r="F4" s="418" t="s">
        <v>59</v>
      </c>
      <c r="G4" s="418"/>
      <c r="H4" s="418"/>
      <c r="I4" s="419" t="s">
        <v>32</v>
      </c>
      <c r="J4" s="419"/>
      <c r="K4" s="419"/>
      <c r="M4" s="9" t="s">
        <v>14</v>
      </c>
      <c r="N4" s="10">
        <v>2.989E-2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XXXX/2023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6.5000000000000002E-2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36</v>
      </c>
      <c r="C6" s="31">
        <v>0.39681</v>
      </c>
      <c r="D6" s="31">
        <v>0.27703</v>
      </c>
      <c r="E6" s="31">
        <f t="shared" ref="E6" si="0">C6+D6</f>
        <v>0.67383999999999999</v>
      </c>
      <c r="F6" s="31">
        <v>0.39681</v>
      </c>
      <c r="G6" s="31">
        <v>0.27703</v>
      </c>
      <c r="H6" s="31">
        <f t="shared" ref="H6:H7" si="1">F6+G6</f>
        <v>0.67383999999999999</v>
      </c>
      <c r="I6" s="31">
        <f>((C6*$C$14)+(F6*$D$14))/($D$14+$C$14)</f>
        <v>0.39681000000000005</v>
      </c>
      <c r="J6" s="31">
        <f>((D6*$C$14)+(G6*$D$14))/($D$14+$C$14)</f>
        <v>0.27703</v>
      </c>
      <c r="K6" s="32">
        <f t="shared" ref="K6:K7" si="2">I6+J6</f>
        <v>0.67383999999999999</v>
      </c>
      <c r="M6" s="13" t="s">
        <v>16</v>
      </c>
      <c r="N6" s="14">
        <v>9.7949999999999995E-2</v>
      </c>
      <c r="P6" s="33"/>
      <c r="Q6" s="30" t="str">
        <f>B6</f>
        <v>B1</v>
      </c>
      <c r="R6" s="31">
        <f>'[2]FIO B'!H11/1000</f>
        <v>0.19205</v>
      </c>
      <c r="S6"/>
      <c r="T6"/>
      <c r="U6" s="31">
        <f>'[2]FIO B'!K11/1000</f>
        <v>0.17652000000000001</v>
      </c>
      <c r="V6"/>
      <c r="W6"/>
      <c r="X6" s="31">
        <f>((R6*$C$14)+(U6*$D$14))/($D$14+$C$14)</f>
        <v>0.18503645161290322</v>
      </c>
      <c r="Y6"/>
      <c r="Z6"/>
    </row>
    <row r="7" spans="1:26" x14ac:dyDescent="0.3">
      <c r="B7" s="243" t="s">
        <v>200</v>
      </c>
      <c r="C7" s="32"/>
      <c r="D7" s="32"/>
      <c r="E7" s="32"/>
      <c r="F7" s="32">
        <f>T11</f>
        <v>2.0011000000000001E-4</v>
      </c>
      <c r="G7" s="32">
        <f>U11</f>
        <v>4.0268099999999996E-3</v>
      </c>
      <c r="H7" s="32">
        <f t="shared" si="1"/>
        <v>4.2269199999999995E-3</v>
      </c>
      <c r="I7" s="31">
        <f>((C7*$C$14)+(F7*$D$14))/($D$14+$C$14)</f>
        <v>9.0372258064516122E-5</v>
      </c>
      <c r="J7" s="31">
        <f>((D7*$C$14)+(G7*$D$14))/($D$14+$C$14)</f>
        <v>1.8185593548387096E-3</v>
      </c>
      <c r="K7" s="32">
        <f t="shared" si="2"/>
        <v>1.9089316129032258E-3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4.1554500000000001E-2</v>
      </c>
      <c r="H8" s="83"/>
      <c r="I8" s="83"/>
      <c r="J8" s="31">
        <f>((D8*$C$14)+(G8*$D$14))/($D$14+$C$14)</f>
        <v>1.8766548387096776E-2</v>
      </c>
      <c r="K8" s="84"/>
      <c r="M8" s="7" t="s">
        <v>17</v>
      </c>
      <c r="N8" s="15">
        <v>0.14199999999999999</v>
      </c>
      <c r="P8" s="228" t="s">
        <v>194</v>
      </c>
      <c r="Q8" s="229"/>
      <c r="R8"/>
      <c r="S8"/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/>
      <c r="S9"/>
      <c r="T9"/>
      <c r="U9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45139</v>
      </c>
      <c r="P10" s="235" t="s">
        <v>198</v>
      </c>
      <c r="Q10" s="236"/>
      <c r="R10"/>
      <c r="S10"/>
      <c r="T10"/>
      <c r="U10"/>
      <c r="V10"/>
      <c r="W10"/>
      <c r="X10"/>
      <c r="Y10"/>
      <c r="Z10"/>
    </row>
    <row r="11" spans="1:26" x14ac:dyDescent="0.3">
      <c r="B11" s="38" t="s">
        <v>38</v>
      </c>
      <c r="C11" s="39">
        <v>1182321</v>
      </c>
      <c r="E11" s="1"/>
      <c r="F11" s="1"/>
      <c r="G11" s="1"/>
      <c r="H11" s="40">
        <f>E14</f>
        <v>45158</v>
      </c>
      <c r="K11" s="408" t="s">
        <v>26</v>
      </c>
      <c r="L11" s="408"/>
      <c r="P11" s="239" t="s">
        <v>199</v>
      </c>
      <c r="Q11" s="240"/>
      <c r="R11"/>
      <c r="S11"/>
      <c r="T11" s="242">
        <v>2.0011000000000001E-4</v>
      </c>
      <c r="U11" s="242">
        <v>4.0268099999999996E-3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">
        <v>14</v>
      </c>
      <c r="L12" s="7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45127</v>
      </c>
      <c r="C14" s="18">
        <f>IF((F2-B14-1)&lt;0,0,(F2-B14-1))</f>
        <v>17</v>
      </c>
      <c r="D14" s="18">
        <f>E14-F2+1</f>
        <v>14</v>
      </c>
      <c r="E14" s="17">
        <v>45158</v>
      </c>
      <c r="F14" s="44"/>
      <c r="G14" s="44"/>
      <c r="H14" s="45"/>
      <c r="J14" s="22">
        <f>B14</f>
        <v>45127</v>
      </c>
      <c r="K14" s="23">
        <f>IF((M10-J14-1)&lt;0,0,(M10-J14-1))</f>
        <v>11</v>
      </c>
      <c r="L14" s="23">
        <f>M14-M10+1</f>
        <v>20</v>
      </c>
      <c r="M14" s="22">
        <f>E14</f>
        <v>45158</v>
      </c>
    </row>
    <row r="16" spans="1:26" x14ac:dyDescent="0.3">
      <c r="B16" s="1"/>
      <c r="G16"/>
      <c r="H16" s="3"/>
    </row>
    <row r="17" spans="1:22" x14ac:dyDescent="0.3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</row>
    <row r="18" spans="1:22" x14ac:dyDescent="0.3"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x14ac:dyDescent="0.3">
      <c r="B19" s="415" t="s">
        <v>39</v>
      </c>
      <c r="C19" s="416"/>
      <c r="D19" s="416"/>
      <c r="E19" s="416"/>
      <c r="F19" s="416"/>
      <c r="G19" s="416"/>
      <c r="H19" s="417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3">
      <c r="B20" s="41"/>
      <c r="D20" s="46" t="s">
        <v>40</v>
      </c>
      <c r="E20" s="46" t="s">
        <v>10</v>
      </c>
      <c r="F20" s="46" t="s">
        <v>9</v>
      </c>
      <c r="G20" s="46" t="s">
        <v>34</v>
      </c>
      <c r="H20" s="47" t="s">
        <v>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x14ac:dyDescent="0.3">
      <c r="A21" s="19" t="s">
        <v>8</v>
      </c>
      <c r="B21" s="48" t="s">
        <v>41</v>
      </c>
      <c r="C21" s="49"/>
      <c r="D21" s="50"/>
      <c r="E21" s="50"/>
      <c r="F21" s="50"/>
      <c r="G21" s="50"/>
      <c r="H21" s="51">
        <f>SUM(H23:H39)+SUM(H44:H49)</f>
        <v>254.92055096857669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x14ac:dyDescent="0.3">
      <c r="A22" s="19" t="s">
        <v>8</v>
      </c>
      <c r="B22" s="41"/>
      <c r="D22" s="46"/>
      <c r="E22" s="46"/>
      <c r="F22" s="46"/>
      <c r="G22" s="46"/>
      <c r="H22" s="5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x14ac:dyDescent="0.3">
      <c r="A23" s="19" t="s">
        <v>8</v>
      </c>
      <c r="B23" s="41" t="s">
        <v>42</v>
      </c>
      <c r="D23" s="89">
        <v>2000</v>
      </c>
      <c r="E23" s="53">
        <f>IF(AND($B$14&lt;$F$2,$E$14&lt;$F$2),C6,IF($B$14&lt;$F$2,I6,F6))</f>
        <v>0.39681000000000005</v>
      </c>
      <c r="F23" s="53">
        <f>IF(AND($B$14&lt;$F$2,$E$14&lt;$F$2),D6,IF($B$14&lt;$F$2,J6,G6))</f>
        <v>0.27703</v>
      </c>
      <c r="G23" s="53">
        <f>E23+F23</f>
        <v>0.67383999999999999</v>
      </c>
      <c r="H23" s="54">
        <f>ROUND((D23*E23),2)+ROUND((D23*F23),2)</f>
        <v>1347.6799999999998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3">
      <c r="B24" s="41"/>
      <c r="D24" s="55"/>
      <c r="E24" s="56"/>
      <c r="F24" s="57"/>
      <c r="G24" s="57"/>
      <c r="H24" s="5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3">
      <c r="B25" s="41" t="s">
        <v>43</v>
      </c>
      <c r="D25" s="58">
        <f>IF($K$12=M4,(D23*(K14)/(K14+L14)),0)+IF($L$12=M4,(D23*(L14)/(K14+L14)),0)</f>
        <v>709.67741935483866</v>
      </c>
      <c r="F25" s="59">
        <f>N4</f>
        <v>2.989E-2</v>
      </c>
      <c r="G25" s="59"/>
      <c r="H25" s="54">
        <f>ROUND(D25*(E25+F25),2)</f>
        <v>21.21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x14ac:dyDescent="0.3">
      <c r="B26" s="41" t="s">
        <v>44</v>
      </c>
      <c r="D26" s="58">
        <f>IF($K$12=M5,(D23*(K14)/(K14+L14)),0)+IF($L$12=M5,(D23*(L14)/(K14+L14)),0)</f>
        <v>0</v>
      </c>
      <c r="F26" s="59">
        <f>N5</f>
        <v>6.5000000000000002E-2</v>
      </c>
      <c r="G26" s="59"/>
      <c r="H26" s="54">
        <f>ROUND(D26*(E26+F26),2)</f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x14ac:dyDescent="0.3">
      <c r="B27" s="41" t="s">
        <v>45</v>
      </c>
      <c r="D27" s="58">
        <f>IF($K$12=M6,(D23*(K14)/(K14+L14)),0)+IF($L$12=M6,(D23*(L14)/(K14+L14)),0)</f>
        <v>1290.3225806451612</v>
      </c>
      <c r="F27" s="59">
        <f>N6</f>
        <v>9.7949999999999995E-2</v>
      </c>
      <c r="G27" s="59"/>
      <c r="H27" s="54">
        <f>ROUND(D27*(E27+F27),2)</f>
        <v>126.39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3">
      <c r="B28" s="41" t="s">
        <v>46</v>
      </c>
      <c r="D28" s="58">
        <f>IF($K$12=M8,(D23*(K14)/(K14+L14)),0)+IF($L$12=M8,(D23*(L14)/(K14+L14)),0)</f>
        <v>0</v>
      </c>
      <c r="F28" s="59">
        <f>N8</f>
        <v>0.14199999999999999</v>
      </c>
      <c r="G28" s="59"/>
      <c r="H28" s="54">
        <f>ROUND(D28*(E28+F28),2)</f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3">
      <c r="B29" s="41"/>
      <c r="D29" s="60"/>
      <c r="H29" s="54"/>
      <c r="I29" s="1"/>
      <c r="J29" s="1"/>
      <c r="K29" s="1"/>
      <c r="L29" s="1"/>
      <c r="M29" s="1"/>
      <c r="N29" s="1"/>
      <c r="O29" s="1"/>
      <c r="P29" s="1"/>
    </row>
    <row r="30" spans="1:22" x14ac:dyDescent="0.3">
      <c r="B30" s="41" t="s">
        <v>47</v>
      </c>
      <c r="D30" s="223">
        <v>-1900.0008629307806</v>
      </c>
      <c r="E30" s="53">
        <f>E23*F17</f>
        <v>0.39681000000000005</v>
      </c>
      <c r="F30" s="53">
        <f>F23</f>
        <v>0.27703</v>
      </c>
      <c r="G30" s="53">
        <f>E30+F30</f>
        <v>0.67383999999999999</v>
      </c>
      <c r="H30" s="54">
        <f>ROUND((D30*E30),2)+ROUND((D30*F30),2)</f>
        <v>-1280.3000000000002</v>
      </c>
      <c r="I30" s="1"/>
      <c r="J30" s="1"/>
      <c r="K30" s="1"/>
      <c r="L30" s="1"/>
      <c r="M30" s="1"/>
      <c r="N30" s="1"/>
      <c r="O30" s="1"/>
      <c r="P30" s="1"/>
    </row>
    <row r="31" spans="1:22" x14ac:dyDescent="0.3">
      <c r="B31" s="41"/>
      <c r="D31" s="55"/>
      <c r="E31" s="56"/>
      <c r="F31" s="57"/>
      <c r="G31" s="57"/>
      <c r="H31" s="54"/>
      <c r="I31" s="1"/>
      <c r="J31" s="1"/>
      <c r="K31" s="1"/>
      <c r="L31" s="1"/>
      <c r="M31" s="1"/>
      <c r="N31" s="1"/>
      <c r="O31" s="1"/>
      <c r="P31" s="1"/>
    </row>
    <row r="32" spans="1:22" x14ac:dyDescent="0.3">
      <c r="B32" s="41" t="s">
        <v>43</v>
      </c>
      <c r="D32" s="58">
        <f>IF($K$12=M4,(D30*(K14)/(K14+L14)),0)+IF($L$12=M4,(D30*(L14)/(K14+L14)),0)</f>
        <v>-674.19385458834154</v>
      </c>
      <c r="F32" s="59">
        <f>F25</f>
        <v>2.989E-2</v>
      </c>
      <c r="G32" s="59"/>
      <c r="H32" s="54">
        <f>ROUND(D32*(E32+F32),2)</f>
        <v>-20.149999999999999</v>
      </c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9" t="s">
        <v>8</v>
      </c>
      <c r="B33" s="41" t="s">
        <v>44</v>
      </c>
      <c r="D33" s="58">
        <f>IF($K$12=M5,(D30*(K14)/(K14+L14)),0)+IF($L$12=M5,(D30*(L14)/(K14+L14)),0)</f>
        <v>0</v>
      </c>
      <c r="F33" s="59">
        <f t="shared" ref="F33:F35" si="3">F26</f>
        <v>6.5000000000000002E-2</v>
      </c>
      <c r="G33" s="59"/>
      <c r="H33" s="54">
        <f>ROUND(D33*(E33+F33),2)</f>
        <v>0</v>
      </c>
      <c r="I33" s="1"/>
      <c r="J33" s="1"/>
      <c r="K33" s="1"/>
      <c r="L33" s="1"/>
      <c r="M33" s="1"/>
      <c r="N33" s="1"/>
      <c r="O33" s="1"/>
      <c r="P33" s="1"/>
    </row>
    <row r="34" spans="1:16" x14ac:dyDescent="0.3">
      <c r="B34" s="41" t="s">
        <v>45</v>
      </c>
      <c r="D34" s="58">
        <f>IF($K$12=M6,(D30*(K14)/(K14+L14)),0)+IF($L$12=M6,(D30*(L14)/(K14+L14)),0)</f>
        <v>-1225.8070083424391</v>
      </c>
      <c r="F34" s="59">
        <f t="shared" si="3"/>
        <v>9.7949999999999995E-2</v>
      </c>
      <c r="G34" s="59"/>
      <c r="H34" s="54">
        <f>ROUND(D34*(E34+F34),2)</f>
        <v>-120.07</v>
      </c>
      <c r="I34" s="1"/>
      <c r="J34" s="1"/>
      <c r="K34" s="1"/>
      <c r="L34" s="1"/>
      <c r="M34" s="1"/>
      <c r="N34" s="1"/>
      <c r="O34" s="1"/>
      <c r="P34" s="1"/>
    </row>
    <row r="35" spans="1:16" x14ac:dyDescent="0.3">
      <c r="B35" s="41" t="s">
        <v>46</v>
      </c>
      <c r="D35" s="58">
        <f>IF($K$12=M8,(D30*(K14)/(K14+L14)),0)+IF($L$12=M8,(D30*(L14)/(K14+L14)),0)</f>
        <v>0</v>
      </c>
      <c r="F35" s="59">
        <f t="shared" si="3"/>
        <v>0.14199999999999999</v>
      </c>
      <c r="G35" s="59"/>
      <c r="H35" s="54">
        <f>ROUND(D35*(E35+F35),2)</f>
        <v>0</v>
      </c>
      <c r="J35" s="1"/>
      <c r="K35" s="1"/>
      <c r="L35" s="1"/>
      <c r="M35" s="1"/>
      <c r="N35" s="1"/>
      <c r="O35" s="1"/>
      <c r="P35" s="1"/>
    </row>
    <row r="36" spans="1:16" x14ac:dyDescent="0.3">
      <c r="B36" s="41"/>
      <c r="D36" s="58"/>
      <c r="F36" s="59"/>
      <c r="G36" s="59"/>
      <c r="H36" s="54"/>
      <c r="J36" s="1"/>
      <c r="K36" s="1"/>
      <c r="L36" s="1"/>
      <c r="M36" s="1"/>
      <c r="N36" s="1"/>
      <c r="O36" s="1"/>
      <c r="P36" s="1"/>
    </row>
    <row r="37" spans="1:16" x14ac:dyDescent="0.3">
      <c r="B37" s="119"/>
      <c r="C37" s="120"/>
      <c r="D37" s="121"/>
      <c r="E37" s="122"/>
      <c r="F37" s="123"/>
      <c r="G37" s="122"/>
      <c r="H37" s="124"/>
      <c r="I37" s="1"/>
      <c r="J37" s="1"/>
      <c r="K37" s="1"/>
      <c r="L37" s="1"/>
      <c r="M37" s="1"/>
      <c r="N37" s="1"/>
      <c r="O37" s="1"/>
      <c r="P37" s="1"/>
    </row>
    <row r="38" spans="1:16" x14ac:dyDescent="0.3">
      <c r="B38" s="119"/>
      <c r="C38" s="120"/>
      <c r="D38" s="125"/>
      <c r="E38" s="120"/>
      <c r="F38" s="126"/>
      <c r="G38" s="126"/>
      <c r="H38" s="124"/>
      <c r="I38" s="1"/>
      <c r="J38" s="1"/>
      <c r="K38" s="1"/>
      <c r="L38" s="1"/>
      <c r="M38" s="1"/>
      <c r="N38" s="1"/>
      <c r="O38" s="1"/>
      <c r="P38" s="1"/>
    </row>
    <row r="39" spans="1:16" x14ac:dyDescent="0.3">
      <c r="B39" s="119"/>
      <c r="C39" s="120"/>
      <c r="D39" s="121"/>
      <c r="E39" s="122"/>
      <c r="F39" s="123"/>
      <c r="G39" s="122"/>
      <c r="H39" s="124"/>
      <c r="I39" s="97"/>
      <c r="J39" s="1"/>
      <c r="K39" s="1"/>
      <c r="L39" s="1"/>
      <c r="M39" s="1"/>
      <c r="N39" s="1"/>
      <c r="O39" s="1"/>
      <c r="P39" s="1"/>
    </row>
    <row r="40" spans="1:16" x14ac:dyDescent="0.3">
      <c r="B40" s="61"/>
      <c r="C40" s="24"/>
      <c r="D40" s="24"/>
      <c r="E40" s="24"/>
      <c r="F40" s="24"/>
      <c r="G40" s="24"/>
      <c r="H40" s="62"/>
      <c r="I40"/>
      <c r="J40" s="1"/>
      <c r="K40" s="1"/>
      <c r="L40" s="1"/>
      <c r="M40" s="1"/>
      <c r="N40" s="1"/>
      <c r="O40" s="1"/>
      <c r="P40" s="1"/>
    </row>
    <row r="41" spans="1:16" x14ac:dyDescent="0.3">
      <c r="B41" s="34"/>
      <c r="C41" s="35"/>
      <c r="D41" s="35"/>
      <c r="E41" s="35"/>
      <c r="F41" s="35"/>
      <c r="G41" s="35"/>
      <c r="H41" s="96">
        <f>SUM(H23:H40)</f>
        <v>74.759999999999792</v>
      </c>
      <c r="I41" s="1"/>
      <c r="L41" s="1"/>
      <c r="M41" s="1"/>
      <c r="N41" s="1"/>
      <c r="O41" s="1"/>
      <c r="P41" s="1"/>
    </row>
    <row r="42" spans="1:16" x14ac:dyDescent="0.3">
      <c r="B42" s="95"/>
      <c r="C42" s="1"/>
      <c r="D42" s="1"/>
      <c r="E42" s="1"/>
      <c r="F42" s="1"/>
      <c r="G42" s="1"/>
      <c r="H42" s="43"/>
      <c r="I42" s="1"/>
      <c r="L42" s="1"/>
      <c r="M42" s="1"/>
      <c r="N42" s="1"/>
      <c r="O42" s="1"/>
      <c r="P42" s="1"/>
    </row>
    <row r="43" spans="1:16" x14ac:dyDescent="0.3">
      <c r="B43" s="41"/>
      <c r="D43" s="63" t="s">
        <v>48</v>
      </c>
      <c r="E43" s="64"/>
      <c r="F43" s="64"/>
      <c r="G43" s="64"/>
      <c r="H43" s="65"/>
      <c r="I43" s="66"/>
      <c r="K43" s="67"/>
      <c r="L43" s="1"/>
      <c r="M43" s="1"/>
      <c r="N43" s="1"/>
      <c r="O43" s="1"/>
      <c r="P43" s="1"/>
    </row>
    <row r="44" spans="1:16" x14ac:dyDescent="0.3">
      <c r="B44" s="41" t="s">
        <v>49</v>
      </c>
      <c r="D44" s="68">
        <f>(H23+H25+H26+H27+H28)/(1-E44-E46)</f>
        <v>1559.0449379626732</v>
      </c>
      <c r="E44" s="69">
        <v>7.3000000000000001E-3</v>
      </c>
      <c r="H44" s="70">
        <f>D44*E44</f>
        <v>11.381028047127515</v>
      </c>
      <c r="I44" s="67"/>
      <c r="L44" s="1"/>
      <c r="M44" s="1"/>
      <c r="N44" s="1"/>
      <c r="O44" s="1"/>
      <c r="P44" s="1"/>
    </row>
    <row r="45" spans="1:16" x14ac:dyDescent="0.3">
      <c r="B45" s="41" t="s">
        <v>50</v>
      </c>
      <c r="D45" s="68">
        <f>(H30+H32+H33+H34+H35+H37+H39)/(1-E44-E46)</f>
        <v>-1481.0968616411219</v>
      </c>
      <c r="E45" s="71">
        <f>E44</f>
        <v>7.3000000000000001E-3</v>
      </c>
      <c r="H45" s="70">
        <f t="shared" ref="H45:H47" si="4">D45*E45</f>
        <v>-10.81200708998019</v>
      </c>
      <c r="I45" s="67"/>
      <c r="L45" s="1"/>
      <c r="M45" s="1"/>
      <c r="N45" s="1"/>
      <c r="O45" s="1"/>
      <c r="P45" s="1"/>
    </row>
    <row r="46" spans="1:16" x14ac:dyDescent="0.3">
      <c r="B46" s="41" t="s">
        <v>51</v>
      </c>
      <c r="D46" s="68">
        <f>D44</f>
        <v>1559.0449379626732</v>
      </c>
      <c r="E46" s="69">
        <v>3.3599999999999998E-2</v>
      </c>
      <c r="H46" s="70">
        <f t="shared" si="4"/>
        <v>52.383909915545814</v>
      </c>
      <c r="I46" s="67"/>
      <c r="L46" s="1"/>
      <c r="M46" s="1"/>
      <c r="N46" s="1"/>
      <c r="O46" s="1"/>
      <c r="P46" s="1"/>
    </row>
    <row r="47" spans="1:16" x14ac:dyDescent="0.3">
      <c r="B47" s="41" t="s">
        <v>52</v>
      </c>
      <c r="D47" s="68">
        <f>D45</f>
        <v>-1481.0968616411219</v>
      </c>
      <c r="E47" s="71">
        <f>E46</f>
        <v>3.3599999999999998E-2</v>
      </c>
      <c r="H47" s="70">
        <f t="shared" si="4"/>
        <v>-49.764854551141696</v>
      </c>
      <c r="I47" s="67"/>
      <c r="L47" s="1"/>
      <c r="M47" s="1"/>
      <c r="N47" s="1"/>
      <c r="O47" s="1"/>
      <c r="P47" s="1"/>
    </row>
    <row r="48" spans="1:16" x14ac:dyDescent="0.3">
      <c r="B48" s="41" t="s">
        <v>11</v>
      </c>
      <c r="D48" s="72">
        <f>D44/(1-E48)</f>
        <v>1878.3673951357509</v>
      </c>
      <c r="E48" s="73">
        <v>0.17</v>
      </c>
      <c r="H48" s="70">
        <f>D48*E48</f>
        <v>319.32245717307768</v>
      </c>
      <c r="I48" s="67"/>
      <c r="L48" s="1"/>
      <c r="M48" s="1"/>
      <c r="N48" s="1"/>
      <c r="O48" s="1"/>
      <c r="P48" s="1"/>
    </row>
    <row r="49" spans="2:16" x14ac:dyDescent="0.3">
      <c r="B49" s="74" t="s">
        <v>53</v>
      </c>
      <c r="C49" s="75"/>
      <c r="D49" s="76">
        <f>((D30*F30)+(H32+H33+H34+H35)+(D37*F37)+(D39*F39))/(1-E45-E47)/(1-E49)</f>
        <v>-837.3528383885423</v>
      </c>
      <c r="E49" s="77">
        <f>E48</f>
        <v>0.17</v>
      </c>
      <c r="F49" s="75"/>
      <c r="G49" s="75"/>
      <c r="H49" s="78">
        <f>D49*E49</f>
        <v>-142.3499825260522</v>
      </c>
      <c r="L49" s="1"/>
      <c r="M49" s="1"/>
      <c r="N49" s="1"/>
      <c r="O49" s="1"/>
      <c r="P49" s="1"/>
    </row>
    <row r="50" spans="2:16" x14ac:dyDescent="0.3">
      <c r="L50" s="1"/>
      <c r="M50" s="1"/>
      <c r="N50" s="1"/>
      <c r="O50" s="1"/>
      <c r="P50" s="1"/>
    </row>
    <row r="51" spans="2:16" x14ac:dyDescent="0.3">
      <c r="B51" s="224" t="s">
        <v>193</v>
      </c>
      <c r="C51" s="133"/>
      <c r="D51" s="225">
        <f>D23+D30</f>
        <v>99.999137069219387</v>
      </c>
      <c r="E51" s="226">
        <f>IF(AND($B$13&lt;$F$2,$E$13&lt;$F$2),C7,IF($B$13&lt;$F$2,I7,F7))</f>
        <v>2.0011000000000001E-4</v>
      </c>
      <c r="F51" s="226">
        <f>IF(AND($B$13&lt;$F$2,$E$13&lt;$F$2),D7,IF($B$13&lt;$F$2,J7,G7))</f>
        <v>4.0268099999999996E-3</v>
      </c>
      <c r="G51" s="133"/>
      <c r="H51" s="224">
        <f>D51*(E51+F51)</f>
        <v>0.42268835246062475</v>
      </c>
      <c r="L51" s="1"/>
      <c r="M51" s="1"/>
      <c r="N51" s="1"/>
      <c r="O51" s="1"/>
      <c r="P51" s="1"/>
    </row>
  </sheetData>
  <mergeCells count="10">
    <mergeCell ref="U4:W4"/>
    <mergeCell ref="X4:Z4"/>
    <mergeCell ref="K11:L11"/>
    <mergeCell ref="B19:H19"/>
    <mergeCell ref="B4:B5"/>
    <mergeCell ref="C4:E4"/>
    <mergeCell ref="F4:H4"/>
    <mergeCell ref="I4:K4"/>
    <mergeCell ref="Q4:Q5"/>
    <mergeCell ref="R4:T4"/>
  </mergeCells>
  <conditionalFormatting sqref="K12:L12">
    <cfRule type="cellIs" dxfId="181" priority="1" operator="equal">
      <formula>"Escassez Hídrica"</formula>
    </cfRule>
    <cfRule type="cellIs" dxfId="180" priority="2" operator="equal">
      <formula>"VERDE"</formula>
    </cfRule>
    <cfRule type="cellIs" dxfId="179" priority="3" operator="equal">
      <formula>"BVM2"</formula>
    </cfRule>
    <cfRule type="cellIs" dxfId="178" priority="4" operator="equal">
      <formula>"BVM1"</formula>
    </cfRule>
    <cfRule type="cellIs" dxfId="177" priority="5" operator="equal">
      <formula>"BAM"</formula>
    </cfRule>
  </conditionalFormatting>
  <conditionalFormatting sqref="M3">
    <cfRule type="cellIs" dxfId="176" priority="16" operator="equal">
      <formula>"VERDE"</formula>
    </cfRule>
    <cfRule type="cellIs" dxfId="175" priority="17" operator="equal">
      <formula>"BVM2"</formula>
    </cfRule>
    <cfRule type="cellIs" dxfId="174" priority="18" operator="equal">
      <formula>"BVM1"</formula>
    </cfRule>
    <cfRule type="cellIs" dxfId="173" priority="19" operator="equal">
      <formula>"BAM"</formula>
    </cfRule>
  </conditionalFormatting>
  <conditionalFormatting sqref="M8">
    <cfRule type="containsText" dxfId="172" priority="7" operator="containsText" text="Escassez Hídrica">
      <formula>NOT(ISERROR(SEARCH("Escassez Hídrica",M8)))</formula>
    </cfRule>
    <cfRule type="cellIs" dxfId="171" priority="8" operator="equal">
      <formula>"VERDE"</formula>
    </cfRule>
    <cfRule type="cellIs" dxfId="170" priority="9" operator="equal">
      <formula>"BVM2"</formula>
    </cfRule>
    <cfRule type="cellIs" dxfId="169" priority="10" operator="equal">
      <formula>"BVM1"</formula>
    </cfRule>
    <cfRule type="cellIs" dxfId="168" priority="11" operator="equal">
      <formula>"BAM"</formula>
    </cfRule>
  </conditionalFormatting>
  <dataValidations count="1">
    <dataValidation type="list" allowBlank="1" showInputMessage="1" showErrorMessage="1" sqref="K12:L12" xr:uid="{C841358C-79B9-4B8A-AAF8-F2386ED20957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7D64-C400-4C19-A815-32534E8AE93B}">
  <dimension ref="B2:T45"/>
  <sheetViews>
    <sheetView workbookViewId="0">
      <selection activeCell="A35" sqref="A35:XFD35"/>
    </sheetView>
  </sheetViews>
  <sheetFormatPr defaultColWidth="9.109375" defaultRowHeight="10.199999999999999" x14ac:dyDescent="0.2"/>
  <cols>
    <col min="1" max="1" width="9.109375" style="338"/>
    <col min="2" max="2" width="11.109375" style="337" bestFit="1" customWidth="1"/>
    <col min="3" max="3" width="13.6640625" style="337" bestFit="1" customWidth="1"/>
    <col min="4" max="4" width="16.6640625" style="337" bestFit="1" customWidth="1"/>
    <col min="5" max="5" width="31.6640625" style="337" bestFit="1" customWidth="1"/>
    <col min="6" max="6" width="7" style="337" bestFit="1" customWidth="1"/>
    <col min="7" max="10" width="9.109375" style="337"/>
    <col min="11" max="11" width="13.109375" style="337" customWidth="1"/>
    <col min="12" max="13" width="9.109375" style="338"/>
    <col min="14" max="14" width="25.109375" style="338" bestFit="1" customWidth="1"/>
    <col min="15" max="16" width="9.109375" style="338"/>
    <col min="17" max="17" width="9.44140625" style="338" bestFit="1" customWidth="1"/>
    <col min="18" max="18" width="9.109375" style="338"/>
    <col min="19" max="19" width="9.44140625" style="338" bestFit="1" customWidth="1"/>
    <col min="20" max="16384" width="9.109375" style="338"/>
  </cols>
  <sheetData>
    <row r="2" spans="2:20" x14ac:dyDescent="0.2">
      <c r="B2" s="336" t="s">
        <v>30</v>
      </c>
    </row>
    <row r="3" spans="2:20" x14ac:dyDescent="0.2">
      <c r="K3" s="339"/>
      <c r="L3" s="340"/>
      <c r="M3" s="340"/>
      <c r="N3" s="340"/>
      <c r="O3" s="340"/>
      <c r="P3" s="340"/>
      <c r="Q3" s="340"/>
      <c r="R3" s="340"/>
      <c r="S3" s="340"/>
      <c r="T3" s="340"/>
    </row>
    <row r="4" spans="2:20" x14ac:dyDescent="0.2">
      <c r="B4" s="422" t="s">
        <v>292</v>
      </c>
      <c r="C4" s="422" t="s">
        <v>293</v>
      </c>
      <c r="D4" s="422" t="s">
        <v>294</v>
      </c>
      <c r="E4" s="422" t="s">
        <v>295</v>
      </c>
      <c r="F4" s="422" t="s">
        <v>296</v>
      </c>
      <c r="G4" s="422" t="s">
        <v>297</v>
      </c>
      <c r="H4" s="422"/>
      <c r="I4" s="422"/>
      <c r="J4" s="422"/>
      <c r="K4" s="422"/>
      <c r="L4" s="340"/>
      <c r="M4" s="340"/>
      <c r="N4" s="340"/>
      <c r="O4" s="340"/>
      <c r="P4" s="340"/>
      <c r="Q4" s="340"/>
      <c r="R4" s="340"/>
      <c r="S4" s="340"/>
      <c r="T4" s="340"/>
    </row>
    <row r="5" spans="2:20" x14ac:dyDescent="0.2">
      <c r="B5" s="422"/>
      <c r="C5" s="422"/>
      <c r="D5" s="422"/>
      <c r="E5" s="422"/>
      <c r="F5" s="422"/>
      <c r="G5" s="342" t="s">
        <v>372</v>
      </c>
      <c r="H5" s="342"/>
      <c r="I5" s="338"/>
      <c r="J5" s="423" t="s">
        <v>373</v>
      </c>
      <c r="K5" s="423"/>
      <c r="L5" s="340"/>
      <c r="M5" s="340"/>
      <c r="N5" s="340"/>
      <c r="O5" s="340"/>
      <c r="P5" s="340"/>
      <c r="Q5" s="420"/>
      <c r="R5" s="421"/>
      <c r="S5" s="340"/>
      <c r="T5" s="344"/>
    </row>
    <row r="6" spans="2:20" x14ac:dyDescent="0.2">
      <c r="B6" s="422"/>
      <c r="C6" s="422"/>
      <c r="D6" s="422"/>
      <c r="E6" s="422"/>
      <c r="F6" s="422"/>
      <c r="G6" s="341" t="s">
        <v>298</v>
      </c>
      <c r="H6" s="341" t="s">
        <v>299</v>
      </c>
      <c r="I6" s="338"/>
      <c r="J6" s="341" t="s">
        <v>298</v>
      </c>
      <c r="K6" s="341" t="s">
        <v>299</v>
      </c>
      <c r="L6" s="340"/>
      <c r="M6" s="340"/>
      <c r="N6" s="340"/>
      <c r="O6" s="340"/>
      <c r="P6" s="340"/>
      <c r="Q6" s="343"/>
      <c r="R6" s="343"/>
      <c r="S6" s="343"/>
      <c r="T6" s="343"/>
    </row>
    <row r="7" spans="2:20" x14ac:dyDescent="0.2">
      <c r="B7" s="345" t="s">
        <v>36</v>
      </c>
      <c r="C7" s="345" t="s">
        <v>300</v>
      </c>
      <c r="D7" s="345" t="s">
        <v>301</v>
      </c>
      <c r="E7" s="345" t="s">
        <v>301</v>
      </c>
      <c r="F7" s="345" t="s">
        <v>302</v>
      </c>
      <c r="G7" s="346">
        <v>0</v>
      </c>
      <c r="H7" s="346">
        <v>591.10909360219489</v>
      </c>
      <c r="I7" s="338"/>
      <c r="J7" s="346">
        <v>0</v>
      </c>
      <c r="K7" s="346">
        <v>606.53961736718702</v>
      </c>
      <c r="L7" s="347"/>
      <c r="M7" s="347"/>
      <c r="N7" s="347"/>
      <c r="O7" s="347"/>
      <c r="P7" s="347"/>
      <c r="Q7" s="348"/>
      <c r="S7" s="348"/>
    </row>
    <row r="8" spans="2:20" x14ac:dyDescent="0.2">
      <c r="B8" s="345" t="s">
        <v>36</v>
      </c>
      <c r="C8" s="345" t="s">
        <v>300</v>
      </c>
      <c r="D8" s="345" t="s">
        <v>301</v>
      </c>
      <c r="E8" s="345" t="s">
        <v>301</v>
      </c>
      <c r="F8" s="345" t="s">
        <v>303</v>
      </c>
      <c r="G8" s="346">
        <v>0</v>
      </c>
      <c r="H8" s="346">
        <v>354.66549637373629</v>
      </c>
      <c r="I8" s="338"/>
      <c r="J8" s="346">
        <v>0</v>
      </c>
      <c r="K8" s="346">
        <v>363.923811682451</v>
      </c>
      <c r="L8" s="347"/>
      <c r="M8" s="347"/>
      <c r="N8" s="347"/>
      <c r="O8" s="347"/>
      <c r="P8" s="347"/>
      <c r="Q8" s="348"/>
      <c r="S8" s="348"/>
    </row>
    <row r="9" spans="2:20" x14ac:dyDescent="0.2">
      <c r="B9" s="345" t="s">
        <v>36</v>
      </c>
      <c r="C9" s="345" t="s">
        <v>300</v>
      </c>
      <c r="D9" s="345" t="s">
        <v>301</v>
      </c>
      <c r="E9" s="345" t="s">
        <v>301</v>
      </c>
      <c r="F9" s="345" t="s">
        <v>304</v>
      </c>
      <c r="G9" s="346">
        <v>0</v>
      </c>
      <c r="H9" s="346">
        <v>118.2217986142293</v>
      </c>
      <c r="I9" s="338"/>
      <c r="J9" s="346">
        <v>0</v>
      </c>
      <c r="K9" s="346">
        <v>121.30790284236799</v>
      </c>
      <c r="L9" s="347"/>
      <c r="M9" s="347"/>
      <c r="N9" s="347"/>
      <c r="O9" s="347"/>
      <c r="P9" s="347"/>
      <c r="R9" s="348"/>
      <c r="T9" s="348"/>
    </row>
    <row r="10" spans="2:20" x14ac:dyDescent="0.2">
      <c r="B10" s="345" t="s">
        <v>36</v>
      </c>
      <c r="C10" s="345" t="s">
        <v>305</v>
      </c>
      <c r="D10" s="345" t="s">
        <v>301</v>
      </c>
      <c r="E10" s="345" t="s">
        <v>301</v>
      </c>
      <c r="F10" s="345" t="s">
        <v>306</v>
      </c>
      <c r="G10" s="346">
        <v>0</v>
      </c>
      <c r="H10" s="346">
        <v>203.83072193179135</v>
      </c>
      <c r="I10" s="338"/>
      <c r="J10" s="346">
        <v>0</v>
      </c>
      <c r="K10" s="346">
        <v>209.151592195582</v>
      </c>
      <c r="L10" s="347"/>
      <c r="M10" s="347"/>
      <c r="N10" s="347"/>
      <c r="O10" s="347"/>
      <c r="P10" s="347"/>
      <c r="R10" s="348"/>
      <c r="T10" s="348"/>
    </row>
    <row r="11" spans="2:20" x14ac:dyDescent="0.2">
      <c r="B11" s="345" t="s">
        <v>36</v>
      </c>
      <c r="C11" s="345" t="s">
        <v>307</v>
      </c>
      <c r="D11" s="345" t="s">
        <v>301</v>
      </c>
      <c r="E11" s="345" t="s">
        <v>301</v>
      </c>
      <c r="F11" s="345" t="s">
        <v>306</v>
      </c>
      <c r="G11" s="346">
        <v>0</v>
      </c>
      <c r="H11" s="346">
        <v>203.83072193179135</v>
      </c>
      <c r="I11" s="338"/>
      <c r="J11" s="346">
        <v>0</v>
      </c>
      <c r="K11" s="346">
        <v>209.151592195582</v>
      </c>
      <c r="L11" s="347"/>
      <c r="M11" s="347"/>
      <c r="N11" s="347"/>
      <c r="O11" s="347"/>
      <c r="P11" s="347"/>
      <c r="R11" s="348"/>
      <c r="T11" s="348"/>
    </row>
    <row r="12" spans="2:20" x14ac:dyDescent="0.2">
      <c r="B12" s="345" t="s">
        <v>36</v>
      </c>
      <c r="C12" s="345" t="s">
        <v>305</v>
      </c>
      <c r="D12" s="345" t="s">
        <v>301</v>
      </c>
      <c r="E12" s="345" t="s">
        <v>308</v>
      </c>
      <c r="F12" s="345" t="s">
        <v>306</v>
      </c>
      <c r="G12" s="346">
        <v>0</v>
      </c>
      <c r="H12" s="346">
        <v>203.83072193179135</v>
      </c>
      <c r="I12" s="338"/>
      <c r="J12" s="346">
        <v>0</v>
      </c>
      <c r="K12" s="346">
        <v>209.151592195582</v>
      </c>
      <c r="L12" s="347"/>
      <c r="M12" s="347"/>
      <c r="N12" s="349"/>
      <c r="O12" s="347"/>
      <c r="P12" s="347"/>
      <c r="R12" s="348"/>
      <c r="T12" s="348"/>
    </row>
    <row r="13" spans="2:20" x14ac:dyDescent="0.2">
      <c r="B13" s="345" t="s">
        <v>36</v>
      </c>
      <c r="C13" s="345" t="s">
        <v>307</v>
      </c>
      <c r="D13" s="345" t="s">
        <v>301</v>
      </c>
      <c r="E13" s="345" t="s">
        <v>308</v>
      </c>
      <c r="F13" s="345" t="s">
        <v>306</v>
      </c>
      <c r="G13" s="346">
        <v>0</v>
      </c>
      <c r="H13" s="346">
        <v>203.83072193179135</v>
      </c>
      <c r="I13" s="338"/>
      <c r="J13" s="346">
        <v>0</v>
      </c>
      <c r="K13" s="346">
        <v>209.151592195582</v>
      </c>
      <c r="L13" s="347"/>
      <c r="M13" s="347"/>
      <c r="N13" s="349"/>
      <c r="O13" s="347"/>
      <c r="P13" s="347"/>
      <c r="R13" s="348"/>
      <c r="T13" s="348"/>
    </row>
    <row r="14" spans="2:20" x14ac:dyDescent="0.2">
      <c r="B14" s="345" t="s">
        <v>36</v>
      </c>
      <c r="C14" s="345" t="s">
        <v>305</v>
      </c>
      <c r="D14" s="345" t="s">
        <v>301</v>
      </c>
      <c r="E14" s="345" t="s">
        <v>374</v>
      </c>
      <c r="F14" s="345" t="s">
        <v>306</v>
      </c>
      <c r="G14" s="346">
        <v>0</v>
      </c>
      <c r="H14" s="346">
        <v>203.83072193179135</v>
      </c>
      <c r="I14" s="338"/>
      <c r="J14" s="346">
        <v>0</v>
      </c>
      <c r="K14" s="346">
        <v>209.151592195582</v>
      </c>
      <c r="L14" s="347"/>
      <c r="M14" s="347"/>
      <c r="N14" s="349"/>
      <c r="O14" s="347"/>
      <c r="P14" s="347"/>
      <c r="R14" s="348"/>
      <c r="T14" s="348"/>
    </row>
    <row r="15" spans="2:20" x14ac:dyDescent="0.2">
      <c r="B15" s="345" t="s">
        <v>36</v>
      </c>
      <c r="C15" s="345" t="s">
        <v>307</v>
      </c>
      <c r="D15" s="345" t="s">
        <v>301</v>
      </c>
      <c r="E15" s="345" t="s">
        <v>374</v>
      </c>
      <c r="F15" s="345" t="s">
        <v>306</v>
      </c>
      <c r="G15" s="346">
        <v>0</v>
      </c>
      <c r="H15" s="346">
        <v>203.83072193179135</v>
      </c>
      <c r="I15" s="338"/>
      <c r="J15" s="346">
        <v>0</v>
      </c>
      <c r="K15" s="346">
        <v>209.151592195582</v>
      </c>
      <c r="L15" s="347"/>
      <c r="M15" s="347"/>
      <c r="N15" s="349"/>
      <c r="O15" s="347"/>
      <c r="P15" s="347"/>
      <c r="R15" s="348"/>
      <c r="T15" s="348"/>
    </row>
    <row r="16" spans="2:20" x14ac:dyDescent="0.2">
      <c r="B16" s="345" t="s">
        <v>67</v>
      </c>
      <c r="C16" s="345" t="s">
        <v>300</v>
      </c>
      <c r="D16" s="345" t="s">
        <v>309</v>
      </c>
      <c r="E16" s="345" t="s">
        <v>310</v>
      </c>
      <c r="F16" s="345" t="s">
        <v>302</v>
      </c>
      <c r="G16" s="346">
        <v>0</v>
      </c>
      <c r="H16" s="346">
        <v>693.02445456809062</v>
      </c>
      <c r="I16" s="338"/>
      <c r="J16" s="346">
        <v>0</v>
      </c>
      <c r="K16" s="346">
        <v>711.11541346497802</v>
      </c>
      <c r="L16" s="347"/>
      <c r="M16" s="347"/>
      <c r="N16" s="349"/>
      <c r="O16" s="347"/>
      <c r="P16" s="347"/>
      <c r="R16" s="348"/>
      <c r="T16" s="348"/>
    </row>
    <row r="17" spans="2:20" x14ac:dyDescent="0.2">
      <c r="B17" s="345" t="s">
        <v>67</v>
      </c>
      <c r="C17" s="345" t="s">
        <v>300</v>
      </c>
      <c r="D17" s="345" t="s">
        <v>309</v>
      </c>
      <c r="E17" s="345" t="s">
        <v>310</v>
      </c>
      <c r="F17" s="345" t="s">
        <v>303</v>
      </c>
      <c r="G17" s="346">
        <v>0</v>
      </c>
      <c r="H17" s="346">
        <v>415.81471295327373</v>
      </c>
      <c r="I17" s="338"/>
      <c r="J17" s="346">
        <v>0</v>
      </c>
      <c r="K17" s="346">
        <v>426.66928934112502</v>
      </c>
      <c r="L17" s="347"/>
      <c r="M17" s="347"/>
      <c r="N17" s="349"/>
      <c r="O17" s="347"/>
      <c r="P17" s="347"/>
      <c r="R17" s="348"/>
      <c r="T17" s="348"/>
    </row>
    <row r="18" spans="2:20" x14ac:dyDescent="0.2">
      <c r="B18" s="345" t="s">
        <v>67</v>
      </c>
      <c r="C18" s="345" t="s">
        <v>300</v>
      </c>
      <c r="D18" s="345" t="s">
        <v>309</v>
      </c>
      <c r="E18" s="345" t="s">
        <v>310</v>
      </c>
      <c r="F18" s="345" t="s">
        <v>304</v>
      </c>
      <c r="G18" s="346">
        <v>0</v>
      </c>
      <c r="H18" s="346">
        <v>138.60487080740845</v>
      </c>
      <c r="I18" s="338"/>
      <c r="J18" s="346">
        <v>0</v>
      </c>
      <c r="K18" s="346">
        <v>142.22306206192599</v>
      </c>
      <c r="L18" s="347"/>
      <c r="M18" s="347"/>
      <c r="N18" s="349"/>
      <c r="O18" s="347"/>
      <c r="P18" s="347"/>
      <c r="R18" s="348"/>
      <c r="T18" s="348"/>
    </row>
    <row r="19" spans="2:20" x14ac:dyDescent="0.2">
      <c r="B19" s="345" t="s">
        <v>67</v>
      </c>
      <c r="C19" s="345" t="s">
        <v>305</v>
      </c>
      <c r="D19" s="345" t="s">
        <v>309</v>
      </c>
      <c r="E19" s="345" t="s">
        <v>310</v>
      </c>
      <c r="F19" s="345" t="s">
        <v>306</v>
      </c>
      <c r="G19" s="346">
        <v>0</v>
      </c>
      <c r="H19" s="346">
        <v>203.83072193179135</v>
      </c>
      <c r="I19" s="338"/>
      <c r="J19" s="346">
        <v>0</v>
      </c>
      <c r="K19" s="346">
        <v>209.151592195582</v>
      </c>
      <c r="L19" s="347"/>
      <c r="M19" s="347"/>
      <c r="N19" s="349"/>
      <c r="O19" s="347"/>
      <c r="P19" s="347"/>
      <c r="R19" s="348"/>
      <c r="T19" s="348"/>
    </row>
    <row r="20" spans="2:20" x14ac:dyDescent="0.2">
      <c r="B20" s="345" t="s">
        <v>67</v>
      </c>
      <c r="C20" s="345" t="s">
        <v>307</v>
      </c>
      <c r="D20" s="345" t="s">
        <v>309</v>
      </c>
      <c r="E20" s="345" t="s">
        <v>310</v>
      </c>
      <c r="F20" s="345" t="s">
        <v>306</v>
      </c>
      <c r="G20" s="346">
        <v>0</v>
      </c>
      <c r="H20" s="346">
        <v>203.83072193179135</v>
      </c>
      <c r="I20" s="338"/>
      <c r="J20" s="346">
        <v>0</v>
      </c>
      <c r="K20" s="346">
        <v>209.151592195582</v>
      </c>
      <c r="L20" s="347"/>
      <c r="M20" s="347"/>
      <c r="N20" s="349"/>
      <c r="O20" s="347"/>
      <c r="P20" s="347"/>
      <c r="R20" s="348"/>
      <c r="T20" s="348"/>
    </row>
    <row r="21" spans="2:20" x14ac:dyDescent="0.2">
      <c r="B21" s="345" t="s">
        <v>67</v>
      </c>
      <c r="C21" s="345" t="s">
        <v>300</v>
      </c>
      <c r="D21" s="345" t="s">
        <v>309</v>
      </c>
      <c r="E21" s="345" t="s">
        <v>311</v>
      </c>
      <c r="F21" s="345" t="s">
        <v>302</v>
      </c>
      <c r="G21" s="346">
        <v>0</v>
      </c>
      <c r="H21" s="346">
        <v>693.02445456809062</v>
      </c>
      <c r="I21" s="338"/>
      <c r="J21" s="346">
        <v>0</v>
      </c>
      <c r="K21" s="346">
        <v>711.11541346497802</v>
      </c>
      <c r="L21" s="347"/>
      <c r="M21" s="347"/>
      <c r="N21" s="349"/>
      <c r="O21" s="347"/>
      <c r="P21" s="347"/>
      <c r="R21" s="348"/>
      <c r="T21" s="348"/>
    </row>
    <row r="22" spans="2:20" x14ac:dyDescent="0.2">
      <c r="B22" s="345" t="s">
        <v>67</v>
      </c>
      <c r="C22" s="345" t="s">
        <v>300</v>
      </c>
      <c r="D22" s="345" t="s">
        <v>309</v>
      </c>
      <c r="E22" s="345" t="s">
        <v>311</v>
      </c>
      <c r="F22" s="345" t="s">
        <v>303</v>
      </c>
      <c r="G22" s="346">
        <v>0</v>
      </c>
      <c r="H22" s="346">
        <v>415.81471295327373</v>
      </c>
      <c r="I22" s="338"/>
      <c r="J22" s="346">
        <v>0</v>
      </c>
      <c r="K22" s="346">
        <v>426.66928934112502</v>
      </c>
      <c r="L22" s="347"/>
      <c r="M22" s="347"/>
      <c r="N22" s="349"/>
      <c r="O22" s="347"/>
      <c r="P22" s="347"/>
      <c r="R22" s="348"/>
      <c r="T22" s="348"/>
    </row>
    <row r="23" spans="2:20" x14ac:dyDescent="0.2">
      <c r="B23" s="345" t="s">
        <v>67</v>
      </c>
      <c r="C23" s="345" t="s">
        <v>300</v>
      </c>
      <c r="D23" s="345" t="s">
        <v>309</v>
      </c>
      <c r="E23" s="345" t="s">
        <v>311</v>
      </c>
      <c r="F23" s="345" t="s">
        <v>304</v>
      </c>
      <c r="G23" s="346">
        <v>0</v>
      </c>
      <c r="H23" s="346">
        <v>138.60487080740845</v>
      </c>
      <c r="I23" s="338"/>
      <c r="J23" s="346">
        <v>0</v>
      </c>
      <c r="K23" s="346">
        <v>142.22306206192599</v>
      </c>
      <c r="L23" s="347"/>
      <c r="M23" s="347"/>
      <c r="N23" s="349"/>
      <c r="O23" s="347"/>
      <c r="P23" s="347"/>
      <c r="R23" s="348"/>
      <c r="T23" s="348"/>
    </row>
    <row r="24" spans="2:20" x14ac:dyDescent="0.2">
      <c r="B24" s="345" t="s">
        <v>67</v>
      </c>
      <c r="C24" s="345" t="s">
        <v>305</v>
      </c>
      <c r="D24" s="345" t="s">
        <v>309</v>
      </c>
      <c r="E24" s="345" t="s">
        <v>311</v>
      </c>
      <c r="F24" s="345" t="s">
        <v>306</v>
      </c>
      <c r="G24" s="346">
        <v>0</v>
      </c>
      <c r="H24" s="346">
        <v>203.83072193179135</v>
      </c>
      <c r="I24" s="338"/>
      <c r="J24" s="346">
        <v>0</v>
      </c>
      <c r="K24" s="346">
        <v>209.151592195582</v>
      </c>
      <c r="L24" s="347"/>
      <c r="M24" s="347"/>
      <c r="N24" s="347"/>
      <c r="O24" s="347"/>
      <c r="P24" s="347"/>
      <c r="R24" s="348"/>
      <c r="T24" s="348"/>
    </row>
    <row r="25" spans="2:20" x14ac:dyDescent="0.2">
      <c r="B25" s="345" t="s">
        <v>67</v>
      </c>
      <c r="C25" s="345" t="s">
        <v>307</v>
      </c>
      <c r="D25" s="345" t="s">
        <v>309</v>
      </c>
      <c r="E25" s="345" t="s">
        <v>311</v>
      </c>
      <c r="F25" s="345" t="s">
        <v>306</v>
      </c>
      <c r="G25" s="346">
        <v>0</v>
      </c>
      <c r="H25" s="346">
        <v>203.83072193179135</v>
      </c>
      <c r="I25" s="338"/>
      <c r="J25" s="346">
        <v>0</v>
      </c>
      <c r="K25" s="346">
        <v>209.151592195582</v>
      </c>
      <c r="L25" s="347"/>
      <c r="M25" s="347"/>
      <c r="N25" s="347"/>
      <c r="O25" s="347"/>
      <c r="P25" s="347"/>
      <c r="R25" s="348"/>
      <c r="T25" s="348"/>
    </row>
    <row r="26" spans="2:20" x14ac:dyDescent="0.2">
      <c r="B26" s="345" t="s">
        <v>67</v>
      </c>
      <c r="C26" s="345" t="s">
        <v>300</v>
      </c>
      <c r="D26" s="345" t="s">
        <v>309</v>
      </c>
      <c r="E26" s="345" t="s">
        <v>312</v>
      </c>
      <c r="F26" s="345" t="s">
        <v>302</v>
      </c>
      <c r="G26" s="346">
        <v>0</v>
      </c>
      <c r="H26" s="346">
        <v>693.02445456809062</v>
      </c>
      <c r="I26" s="338"/>
      <c r="J26" s="346">
        <v>0</v>
      </c>
      <c r="K26" s="346">
        <v>711.11541346497802</v>
      </c>
      <c r="L26" s="347"/>
      <c r="M26" s="347"/>
      <c r="N26" s="347"/>
      <c r="O26" s="347"/>
      <c r="P26" s="347"/>
      <c r="R26" s="348"/>
      <c r="T26" s="348"/>
    </row>
    <row r="27" spans="2:20" x14ac:dyDescent="0.2">
      <c r="B27" s="345" t="s">
        <v>67</v>
      </c>
      <c r="C27" s="345" t="s">
        <v>300</v>
      </c>
      <c r="D27" s="345" t="s">
        <v>309</v>
      </c>
      <c r="E27" s="345" t="s">
        <v>312</v>
      </c>
      <c r="F27" s="345" t="s">
        <v>303</v>
      </c>
      <c r="G27" s="346">
        <v>0</v>
      </c>
      <c r="H27" s="346">
        <v>415.81471295327373</v>
      </c>
      <c r="I27" s="338"/>
      <c r="J27" s="346">
        <v>0</v>
      </c>
      <c r="K27" s="346">
        <v>426.66928934112502</v>
      </c>
      <c r="L27" s="349"/>
      <c r="M27" s="347"/>
      <c r="N27" s="349"/>
      <c r="O27" s="347"/>
      <c r="P27" s="347"/>
      <c r="R27" s="348"/>
      <c r="T27" s="348"/>
    </row>
    <row r="28" spans="2:20" x14ac:dyDescent="0.2">
      <c r="B28" s="345" t="s">
        <v>67</v>
      </c>
      <c r="C28" s="345" t="s">
        <v>300</v>
      </c>
      <c r="D28" s="345" t="s">
        <v>309</v>
      </c>
      <c r="E28" s="345" t="s">
        <v>312</v>
      </c>
      <c r="F28" s="345" t="s">
        <v>304</v>
      </c>
      <c r="G28" s="346">
        <v>0</v>
      </c>
      <c r="H28" s="346">
        <v>138.60487080740845</v>
      </c>
      <c r="I28" s="338"/>
      <c r="J28" s="346">
        <v>0</v>
      </c>
      <c r="K28" s="346">
        <v>142.22306206192599</v>
      </c>
      <c r="L28" s="347"/>
      <c r="M28" s="347"/>
      <c r="N28" s="347"/>
      <c r="O28" s="347"/>
      <c r="P28" s="347"/>
      <c r="R28" s="348"/>
      <c r="T28" s="348"/>
    </row>
    <row r="29" spans="2:20" x14ac:dyDescent="0.2">
      <c r="B29" s="345" t="s">
        <v>67</v>
      </c>
      <c r="C29" s="345" t="s">
        <v>305</v>
      </c>
      <c r="D29" s="345" t="s">
        <v>309</v>
      </c>
      <c r="E29" s="345" t="s">
        <v>312</v>
      </c>
      <c r="F29" s="345" t="s">
        <v>306</v>
      </c>
      <c r="G29" s="346">
        <v>0</v>
      </c>
      <c r="H29" s="346">
        <v>203.83072193179135</v>
      </c>
      <c r="I29" s="338"/>
      <c r="J29" s="346">
        <v>0</v>
      </c>
      <c r="K29" s="346">
        <v>209.151592195582</v>
      </c>
      <c r="L29" s="347"/>
      <c r="M29" s="347"/>
      <c r="N29" s="347"/>
      <c r="O29" s="347"/>
      <c r="P29" s="347"/>
      <c r="R29" s="348"/>
      <c r="T29" s="348"/>
    </row>
    <row r="30" spans="2:20" x14ac:dyDescent="0.2">
      <c r="B30" s="345" t="s">
        <v>67</v>
      </c>
      <c r="C30" s="345" t="s">
        <v>307</v>
      </c>
      <c r="D30" s="345" t="s">
        <v>309</v>
      </c>
      <c r="E30" s="345" t="s">
        <v>312</v>
      </c>
      <c r="F30" s="345" t="s">
        <v>306</v>
      </c>
      <c r="G30" s="346">
        <v>0</v>
      </c>
      <c r="H30" s="346">
        <v>203.83072193179135</v>
      </c>
      <c r="I30" s="338"/>
      <c r="J30" s="346">
        <v>0</v>
      </c>
      <c r="K30" s="346">
        <v>209.151592195582</v>
      </c>
      <c r="L30" s="347"/>
      <c r="M30" s="347"/>
      <c r="N30" s="347"/>
      <c r="O30" s="347"/>
      <c r="P30" s="347"/>
      <c r="R30" s="348"/>
      <c r="T30" s="348"/>
    </row>
    <row r="31" spans="2:20" x14ac:dyDescent="0.2">
      <c r="B31" s="345" t="s">
        <v>66</v>
      </c>
      <c r="C31" s="345" t="s">
        <v>300</v>
      </c>
      <c r="D31" s="345" t="s">
        <v>306</v>
      </c>
      <c r="E31" s="345" t="s">
        <v>306</v>
      </c>
      <c r="F31" s="345" t="s">
        <v>302</v>
      </c>
      <c r="G31" s="346">
        <v>0</v>
      </c>
      <c r="H31" s="346">
        <v>693.02445456809062</v>
      </c>
      <c r="I31" s="338"/>
      <c r="J31" s="346">
        <v>0</v>
      </c>
      <c r="K31" s="346">
        <v>711.11541346497802</v>
      </c>
      <c r="L31" s="349"/>
      <c r="M31" s="347"/>
      <c r="N31" s="349"/>
      <c r="O31" s="347"/>
      <c r="P31" s="347"/>
      <c r="R31" s="348"/>
      <c r="T31" s="348"/>
    </row>
    <row r="32" spans="2:20" x14ac:dyDescent="0.2">
      <c r="B32" s="345" t="s">
        <v>66</v>
      </c>
      <c r="C32" s="345" t="s">
        <v>300</v>
      </c>
      <c r="D32" s="345" t="s">
        <v>306</v>
      </c>
      <c r="E32" s="345" t="s">
        <v>306</v>
      </c>
      <c r="F32" s="345" t="s">
        <v>303</v>
      </c>
      <c r="G32" s="346">
        <v>0</v>
      </c>
      <c r="H32" s="346">
        <v>415.81471295327373</v>
      </c>
      <c r="I32" s="338"/>
      <c r="J32" s="346">
        <v>0</v>
      </c>
      <c r="K32" s="346">
        <v>426.66928934112502</v>
      </c>
      <c r="L32" s="347"/>
      <c r="M32" s="347"/>
      <c r="N32" s="347"/>
      <c r="O32" s="347"/>
      <c r="P32" s="347"/>
      <c r="R32" s="348"/>
      <c r="T32" s="348"/>
    </row>
    <row r="33" spans="2:20" x14ac:dyDescent="0.2">
      <c r="B33" s="345" t="s">
        <v>66</v>
      </c>
      <c r="C33" s="345" t="s">
        <v>300</v>
      </c>
      <c r="D33" s="345" t="s">
        <v>306</v>
      </c>
      <c r="E33" s="345" t="s">
        <v>306</v>
      </c>
      <c r="F33" s="345" t="s">
        <v>304</v>
      </c>
      <c r="G33" s="346">
        <v>0</v>
      </c>
      <c r="H33" s="346">
        <v>138.60487080740845</v>
      </c>
      <c r="I33" s="338"/>
      <c r="J33" s="346">
        <v>0</v>
      </c>
      <c r="K33" s="346">
        <v>142.22306206192599</v>
      </c>
      <c r="L33" s="347"/>
      <c r="M33" s="347"/>
      <c r="N33" s="347"/>
      <c r="O33" s="347"/>
      <c r="P33" s="347"/>
      <c r="R33" s="348"/>
      <c r="T33" s="348"/>
    </row>
    <row r="34" spans="2:20" x14ac:dyDescent="0.2">
      <c r="B34" s="345" t="s">
        <v>66</v>
      </c>
      <c r="C34" s="345" t="s">
        <v>305</v>
      </c>
      <c r="D34" s="345" t="s">
        <v>306</v>
      </c>
      <c r="E34" s="345" t="s">
        <v>306</v>
      </c>
      <c r="F34" s="345" t="s">
        <v>306</v>
      </c>
      <c r="G34" s="346">
        <v>0</v>
      </c>
      <c r="H34" s="346">
        <v>203.83072193179135</v>
      </c>
      <c r="I34" s="338"/>
      <c r="J34" s="346">
        <v>0</v>
      </c>
      <c r="K34" s="346">
        <v>209.151592195582</v>
      </c>
      <c r="L34" s="347"/>
      <c r="M34" s="347"/>
      <c r="N34" s="347"/>
      <c r="O34" s="347"/>
      <c r="P34" s="347"/>
      <c r="R34" s="348"/>
      <c r="T34" s="348"/>
    </row>
    <row r="35" spans="2:20" x14ac:dyDescent="0.2">
      <c r="B35" s="345" t="s">
        <v>66</v>
      </c>
      <c r="C35" s="345" t="s">
        <v>307</v>
      </c>
      <c r="D35" s="345" t="s">
        <v>306</v>
      </c>
      <c r="E35" s="345" t="s">
        <v>306</v>
      </c>
      <c r="F35" s="345" t="s">
        <v>306</v>
      </c>
      <c r="G35" s="346">
        <v>0</v>
      </c>
      <c r="H35" s="346">
        <v>203.83072193179135</v>
      </c>
      <c r="I35" s="338"/>
      <c r="J35" s="346">
        <v>0</v>
      </c>
      <c r="K35" s="346">
        <v>209.151592195582</v>
      </c>
      <c r="L35" s="349"/>
      <c r="M35" s="347"/>
      <c r="N35" s="349"/>
      <c r="O35" s="347"/>
      <c r="P35" s="347"/>
      <c r="R35" s="348"/>
      <c r="T35" s="348"/>
    </row>
    <row r="36" spans="2:20" x14ac:dyDescent="0.2">
      <c r="B36" s="345" t="s">
        <v>313</v>
      </c>
      <c r="C36" s="345" t="s">
        <v>307</v>
      </c>
      <c r="D36" s="345" t="s">
        <v>314</v>
      </c>
      <c r="E36" s="345" t="s">
        <v>315</v>
      </c>
      <c r="F36" s="345" t="s">
        <v>306</v>
      </c>
      <c r="G36" s="346">
        <v>0</v>
      </c>
      <c r="H36" s="346">
        <v>112.10689706248526</v>
      </c>
      <c r="I36" s="338"/>
      <c r="J36" s="346">
        <v>0</v>
      </c>
      <c r="K36" s="346">
        <v>115.03337570757</v>
      </c>
      <c r="L36" s="349"/>
      <c r="M36" s="347"/>
      <c r="N36" s="349"/>
      <c r="O36" s="347"/>
      <c r="P36" s="347"/>
      <c r="R36" s="348"/>
      <c r="T36" s="348"/>
    </row>
    <row r="37" spans="2:20" x14ac:dyDescent="0.2">
      <c r="B37" s="345" t="s">
        <v>313</v>
      </c>
      <c r="C37" s="345" t="s">
        <v>307</v>
      </c>
      <c r="D37" s="345" t="s">
        <v>314</v>
      </c>
      <c r="E37" s="345" t="s">
        <v>316</v>
      </c>
      <c r="F37" s="345" t="s">
        <v>306</v>
      </c>
      <c r="G37" s="346">
        <v>0</v>
      </c>
      <c r="H37" s="346">
        <v>122.2984331590748</v>
      </c>
      <c r="I37" s="338"/>
      <c r="J37" s="346">
        <v>0</v>
      </c>
      <c r="K37" s="346">
        <v>125.49095531734901</v>
      </c>
      <c r="L37" s="349"/>
      <c r="M37" s="347"/>
      <c r="N37" s="349"/>
      <c r="O37" s="347"/>
      <c r="P37" s="347"/>
      <c r="R37" s="348"/>
      <c r="T37" s="348"/>
    </row>
    <row r="38" spans="2:20" x14ac:dyDescent="0.2">
      <c r="B38" s="345" t="s">
        <v>317</v>
      </c>
      <c r="C38" s="345" t="s">
        <v>318</v>
      </c>
      <c r="D38" s="345" t="s">
        <v>319</v>
      </c>
      <c r="E38" s="345" t="s">
        <v>306</v>
      </c>
      <c r="F38" s="345" t="s">
        <v>306</v>
      </c>
      <c r="G38" s="346">
        <v>0</v>
      </c>
      <c r="H38" s="350">
        <v>2.9313848411420298</v>
      </c>
      <c r="I38" s="338"/>
      <c r="J38" s="346">
        <v>0</v>
      </c>
      <c r="K38" s="350">
        <v>3.0079067622986302</v>
      </c>
      <c r="L38" s="349"/>
      <c r="M38" s="347"/>
      <c r="N38" s="349"/>
      <c r="O38" s="347"/>
      <c r="P38" s="347"/>
      <c r="R38" s="348"/>
      <c r="T38" s="348"/>
    </row>
    <row r="39" spans="2:20" x14ac:dyDescent="0.2">
      <c r="B39" s="345" t="s">
        <v>317</v>
      </c>
      <c r="C39" s="345" t="s">
        <v>318</v>
      </c>
      <c r="D39" s="345" t="s">
        <v>320</v>
      </c>
      <c r="E39" s="345" t="s">
        <v>306</v>
      </c>
      <c r="F39" s="345" t="s">
        <v>306</v>
      </c>
      <c r="G39" s="346">
        <v>0</v>
      </c>
      <c r="H39" s="350">
        <v>11.6909566839085</v>
      </c>
      <c r="I39" s="338"/>
      <c r="J39" s="346">
        <v>0</v>
      </c>
      <c r="K39" s="350">
        <v>11.996141609836799</v>
      </c>
      <c r="L39" s="347"/>
      <c r="M39" s="347"/>
      <c r="N39" s="347"/>
      <c r="O39" s="347"/>
      <c r="P39" s="347"/>
      <c r="R39" s="348"/>
      <c r="T39" s="348"/>
    </row>
    <row r="40" spans="2:20" x14ac:dyDescent="0.2">
      <c r="K40" s="351"/>
      <c r="L40" s="347"/>
      <c r="M40" s="347"/>
      <c r="N40" s="347"/>
      <c r="O40" s="347"/>
      <c r="P40" s="347"/>
      <c r="R40" s="348"/>
      <c r="T40" s="348"/>
    </row>
    <row r="41" spans="2:20" x14ac:dyDescent="0.2">
      <c r="K41" s="351"/>
      <c r="L41" s="347"/>
      <c r="M41" s="347"/>
      <c r="N41" s="347"/>
      <c r="O41" s="347"/>
      <c r="P41" s="347"/>
      <c r="R41" s="348"/>
      <c r="T41" s="348"/>
    </row>
    <row r="42" spans="2:20" x14ac:dyDescent="0.2">
      <c r="K42" s="351"/>
      <c r="L42" s="349"/>
      <c r="M42" s="349"/>
      <c r="N42" s="349"/>
      <c r="O42" s="347"/>
      <c r="P42" s="347"/>
      <c r="R42" s="348"/>
      <c r="T42" s="348"/>
    </row>
    <row r="43" spans="2:20" x14ac:dyDescent="0.2">
      <c r="K43" s="351"/>
      <c r="L43" s="349"/>
      <c r="M43" s="349"/>
      <c r="N43" s="349"/>
      <c r="O43" s="347"/>
      <c r="P43" s="347"/>
      <c r="R43" s="348"/>
      <c r="T43" s="348"/>
    </row>
    <row r="44" spans="2:20" x14ac:dyDescent="0.2">
      <c r="K44" s="351"/>
      <c r="L44" s="349"/>
      <c r="M44" s="347"/>
      <c r="N44" s="349"/>
      <c r="O44" s="347"/>
      <c r="P44" s="347"/>
      <c r="R44" s="348"/>
      <c r="T44" s="348"/>
    </row>
    <row r="45" spans="2:20" x14ac:dyDescent="0.2">
      <c r="K45" s="351"/>
      <c r="L45" s="349"/>
      <c r="M45" s="347"/>
      <c r="N45" s="347"/>
      <c r="O45" s="347"/>
      <c r="P45" s="347"/>
      <c r="R45" s="348"/>
      <c r="T45" s="348"/>
    </row>
  </sheetData>
  <mergeCells count="8">
    <mergeCell ref="Q5:R5"/>
    <mergeCell ref="B4:B6"/>
    <mergeCell ref="C4:C6"/>
    <mergeCell ref="D4:D6"/>
    <mergeCell ref="E4:E6"/>
    <mergeCell ref="F4:F6"/>
    <mergeCell ref="G4:K4"/>
    <mergeCell ref="J5:K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D7F1-A3CD-4586-8BEA-65DC1E2F046B}">
  <dimension ref="A1:Q91"/>
  <sheetViews>
    <sheetView topLeftCell="A60" workbookViewId="0">
      <selection activeCell="D13" sqref="D13"/>
    </sheetView>
  </sheetViews>
  <sheetFormatPr defaultColWidth="15" defaultRowHeight="14.4" x14ac:dyDescent="0.3"/>
  <cols>
    <col min="1" max="1" width="35.44140625" style="388" bestFit="1" customWidth="1"/>
    <col min="2" max="2" width="16" style="388" bestFit="1" customWidth="1"/>
    <col min="3" max="3" width="17.44140625" style="388" bestFit="1" customWidth="1"/>
    <col min="4" max="4" width="17.6640625" style="388" bestFit="1" customWidth="1"/>
    <col min="5" max="5" width="12.6640625" style="388" bestFit="1" customWidth="1"/>
    <col min="6" max="6" width="8.44140625" style="388" bestFit="1" customWidth="1"/>
    <col min="7" max="7" width="12" style="388" bestFit="1" customWidth="1"/>
    <col min="8" max="8" width="12.109375" style="388" bestFit="1" customWidth="1"/>
    <col min="9" max="9" width="12.44140625" style="388" bestFit="1" customWidth="1"/>
    <col min="10" max="10" width="12.33203125" style="388" bestFit="1" customWidth="1"/>
    <col min="11" max="11" width="8.44140625" style="388" bestFit="1" customWidth="1"/>
    <col min="12" max="12" width="7.6640625" style="388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433" t="s">
        <v>321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5"/>
    </row>
    <row r="2" spans="1:17" ht="15.75" customHeight="1" thickBot="1" x14ac:dyDescent="0.35">
      <c r="A2" s="448" t="s">
        <v>292</v>
      </c>
      <c r="B2" s="448" t="s">
        <v>293</v>
      </c>
      <c r="C2" s="448" t="s">
        <v>322</v>
      </c>
      <c r="D2" s="352" t="s">
        <v>296</v>
      </c>
      <c r="E2" s="451" t="s">
        <v>297</v>
      </c>
      <c r="F2" s="452"/>
      <c r="G2" s="452"/>
      <c r="H2" s="452"/>
      <c r="I2" s="453"/>
      <c r="J2" s="451" t="s">
        <v>323</v>
      </c>
      <c r="K2" s="452"/>
      <c r="L2" s="453"/>
      <c r="N2" s="353" t="s">
        <v>324</v>
      </c>
      <c r="O2" s="353" t="s">
        <v>325</v>
      </c>
      <c r="P2" s="353" t="s">
        <v>326</v>
      </c>
      <c r="Q2" s="353" t="s">
        <v>327</v>
      </c>
    </row>
    <row r="3" spans="1:17" ht="15" thickBot="1" x14ac:dyDescent="0.35">
      <c r="A3" s="449"/>
      <c r="B3" s="449"/>
      <c r="C3" s="449"/>
      <c r="D3" s="354"/>
      <c r="E3" s="451" t="s">
        <v>10</v>
      </c>
      <c r="F3" s="453"/>
      <c r="G3" s="451" t="s">
        <v>328</v>
      </c>
      <c r="H3" s="452"/>
      <c r="I3" s="453"/>
      <c r="J3" s="451" t="s">
        <v>10</v>
      </c>
      <c r="K3" s="453"/>
      <c r="L3" s="354" t="s">
        <v>9</v>
      </c>
      <c r="N3" s="355" t="s">
        <v>329</v>
      </c>
      <c r="O3" s="356" t="s">
        <v>330</v>
      </c>
      <c r="P3" s="356" t="s">
        <v>331</v>
      </c>
      <c r="Q3" s="357">
        <v>2025</v>
      </c>
    </row>
    <row r="4" spans="1:17" ht="15" thickBot="1" x14ac:dyDescent="0.35">
      <c r="A4" s="450"/>
      <c r="B4" s="450"/>
      <c r="C4" s="450"/>
      <c r="D4" s="354"/>
      <c r="E4" s="354" t="s">
        <v>298</v>
      </c>
      <c r="F4" s="354" t="s">
        <v>299</v>
      </c>
      <c r="G4" s="358" t="s">
        <v>332</v>
      </c>
      <c r="H4" s="359" t="s">
        <v>333</v>
      </c>
      <c r="I4" s="360" t="s">
        <v>334</v>
      </c>
      <c r="J4" s="354" t="s">
        <v>298</v>
      </c>
      <c r="K4" s="354" t="s">
        <v>299</v>
      </c>
      <c r="L4" s="354" t="s">
        <v>299</v>
      </c>
      <c r="N4" s="355" t="s">
        <v>335</v>
      </c>
      <c r="O4" s="361" t="s">
        <v>336</v>
      </c>
      <c r="P4" s="361" t="s">
        <v>331</v>
      </c>
      <c r="Q4" s="362">
        <v>2026</v>
      </c>
    </row>
    <row r="5" spans="1:17" ht="15" thickBot="1" x14ac:dyDescent="0.35">
      <c r="A5" s="363"/>
      <c r="B5" s="442" t="s">
        <v>337</v>
      </c>
      <c r="C5" s="442" t="s">
        <v>306</v>
      </c>
      <c r="D5" s="364" t="s">
        <v>302</v>
      </c>
      <c r="E5" s="365"/>
      <c r="F5" s="365"/>
      <c r="G5" s="365"/>
      <c r="H5" s="365"/>
      <c r="I5" s="365"/>
      <c r="J5" s="365"/>
      <c r="K5" s="365"/>
      <c r="L5" s="365"/>
      <c r="M5" s="366"/>
      <c r="N5" s="367"/>
      <c r="O5" s="367"/>
    </row>
    <row r="6" spans="1:17" ht="15" thickBot="1" x14ac:dyDescent="0.35">
      <c r="A6" s="363" t="s">
        <v>338</v>
      </c>
      <c r="B6" s="443"/>
      <c r="C6" s="443"/>
      <c r="D6" s="364" t="s">
        <v>304</v>
      </c>
      <c r="E6" s="365"/>
      <c r="F6" s="365"/>
      <c r="G6" s="365"/>
      <c r="H6" s="365"/>
      <c r="I6" s="365"/>
      <c r="J6" s="365"/>
      <c r="K6" s="365"/>
      <c r="L6" s="365"/>
      <c r="M6" s="366"/>
      <c r="N6" s="367"/>
      <c r="O6" s="367"/>
    </row>
    <row r="7" spans="1:17" ht="15" thickBot="1" x14ac:dyDescent="0.35">
      <c r="A7" s="363"/>
      <c r="B7" s="442" t="s">
        <v>339</v>
      </c>
      <c r="C7" s="442" t="s">
        <v>306</v>
      </c>
      <c r="D7" s="364" t="s">
        <v>302</v>
      </c>
      <c r="E7" s="365"/>
      <c r="F7" s="365"/>
      <c r="G7" s="365"/>
      <c r="H7" s="365"/>
      <c r="I7" s="365"/>
      <c r="J7" s="365"/>
      <c r="K7" s="365"/>
      <c r="L7" s="365"/>
      <c r="M7" s="368"/>
      <c r="N7" s="367"/>
      <c r="O7" s="367"/>
    </row>
    <row r="8" spans="1:17" ht="15" thickBot="1" x14ac:dyDescent="0.35">
      <c r="A8" s="363"/>
      <c r="B8" s="443"/>
      <c r="C8" s="443"/>
      <c r="D8" s="364" t="s">
        <v>304</v>
      </c>
      <c r="E8" s="365"/>
      <c r="F8" s="365"/>
      <c r="G8" s="365"/>
      <c r="H8" s="365"/>
      <c r="I8" s="365"/>
      <c r="J8" s="365"/>
      <c r="K8" s="365"/>
      <c r="L8" s="365"/>
      <c r="M8" s="367"/>
      <c r="N8" s="367"/>
      <c r="O8" s="367"/>
    </row>
    <row r="9" spans="1:17" ht="15.75" customHeight="1" thickBot="1" x14ac:dyDescent="0.35">
      <c r="A9" s="424" t="s">
        <v>340</v>
      </c>
      <c r="B9" s="442" t="s">
        <v>337</v>
      </c>
      <c r="C9" s="442" t="s">
        <v>306</v>
      </c>
      <c r="D9" s="364" t="s">
        <v>302</v>
      </c>
      <c r="E9" s="369"/>
      <c r="F9" s="369"/>
      <c r="G9" s="369"/>
      <c r="H9" s="370"/>
      <c r="I9" s="370"/>
      <c r="J9" s="369"/>
      <c r="K9" s="369"/>
      <c r="L9" s="369"/>
      <c r="M9" s="366"/>
      <c r="N9" s="367"/>
      <c r="O9" s="367"/>
    </row>
    <row r="10" spans="1:17" ht="15" thickBot="1" x14ac:dyDescent="0.35">
      <c r="A10" s="425"/>
      <c r="B10" s="443"/>
      <c r="C10" s="443"/>
      <c r="D10" s="364" t="s">
        <v>304</v>
      </c>
      <c r="E10" s="369"/>
      <c r="F10" s="369"/>
      <c r="G10" s="369"/>
      <c r="H10" s="370"/>
      <c r="I10" s="370"/>
      <c r="J10" s="369"/>
      <c r="K10" s="369"/>
      <c r="L10" s="369"/>
      <c r="M10" s="366"/>
      <c r="N10" s="371"/>
      <c r="O10" s="371"/>
    </row>
    <row r="11" spans="1:17" ht="15" thickBot="1" x14ac:dyDescent="0.35">
      <c r="A11" s="425"/>
      <c r="B11" s="442" t="s">
        <v>339</v>
      </c>
      <c r="C11" s="442" t="s">
        <v>306</v>
      </c>
      <c r="D11" s="364" t="s">
        <v>302</v>
      </c>
      <c r="E11" s="369"/>
      <c r="F11" s="369"/>
      <c r="G11" s="369"/>
      <c r="H11" s="370"/>
      <c r="I11" s="370"/>
      <c r="J11" s="369"/>
      <c r="K11" s="369"/>
      <c r="L11" s="369"/>
      <c r="M11" s="366"/>
      <c r="N11" s="367"/>
      <c r="O11" s="367"/>
    </row>
    <row r="12" spans="1:17" ht="15" thickBot="1" x14ac:dyDescent="0.35">
      <c r="A12" s="425"/>
      <c r="B12" s="443"/>
      <c r="C12" s="443"/>
      <c r="D12" s="364" t="s">
        <v>304</v>
      </c>
      <c r="E12" s="369"/>
      <c r="F12" s="369"/>
      <c r="G12" s="369"/>
      <c r="H12" s="370"/>
      <c r="I12" s="370"/>
      <c r="J12" s="369"/>
      <c r="K12" s="369"/>
      <c r="L12" s="369"/>
      <c r="M12" s="367"/>
    </row>
    <row r="13" spans="1:17" ht="15" thickBot="1" x14ac:dyDescent="0.35">
      <c r="A13" s="425"/>
      <c r="B13" s="442" t="s">
        <v>341</v>
      </c>
      <c r="C13" s="442" t="s">
        <v>342</v>
      </c>
      <c r="D13" s="364" t="s">
        <v>302</v>
      </c>
      <c r="E13" s="372"/>
      <c r="F13" s="372"/>
      <c r="G13" s="372"/>
      <c r="H13" s="370"/>
      <c r="I13" s="370"/>
      <c r="J13" s="372"/>
      <c r="K13" s="372"/>
      <c r="L13" s="372"/>
    </row>
    <row r="14" spans="1:17" ht="15" thickBot="1" x14ac:dyDescent="0.35">
      <c r="A14" s="425"/>
      <c r="B14" s="444"/>
      <c r="C14" s="444"/>
      <c r="D14" s="364" t="s">
        <v>304</v>
      </c>
      <c r="E14" s="372"/>
      <c r="F14" s="372"/>
      <c r="G14" s="372"/>
      <c r="H14" s="370"/>
      <c r="I14" s="370"/>
      <c r="J14" s="372"/>
      <c r="K14" s="372"/>
      <c r="L14" s="372"/>
    </row>
    <row r="15" spans="1:17" ht="15" thickBot="1" x14ac:dyDescent="0.35">
      <c r="A15" s="425"/>
      <c r="B15" s="443"/>
      <c r="C15" s="443"/>
      <c r="D15" s="364" t="s">
        <v>306</v>
      </c>
      <c r="E15" s="372"/>
      <c r="F15" s="372"/>
      <c r="G15" s="372"/>
      <c r="H15" s="370"/>
      <c r="I15" s="370"/>
      <c r="J15" s="372"/>
      <c r="K15" s="372"/>
      <c r="L15" s="372"/>
      <c r="M15" s="373"/>
    </row>
    <row r="16" spans="1:17" ht="15" thickBot="1" x14ac:dyDescent="0.35">
      <c r="A16" s="425"/>
      <c r="B16" s="442" t="s">
        <v>318</v>
      </c>
      <c r="C16" s="345" t="s">
        <v>343</v>
      </c>
      <c r="D16" s="364" t="s">
        <v>306</v>
      </c>
      <c r="E16" s="374"/>
      <c r="F16" s="369"/>
      <c r="G16" s="369"/>
      <c r="H16" s="370"/>
      <c r="I16" s="370"/>
      <c r="J16" s="374"/>
      <c r="K16" s="369"/>
      <c r="L16" s="375"/>
      <c r="M16" s="373"/>
      <c r="N16" s="367"/>
    </row>
    <row r="17" spans="1:15" ht="15" thickBot="1" x14ac:dyDescent="0.35">
      <c r="A17" s="425"/>
      <c r="B17" s="444"/>
      <c r="C17" s="345" t="s">
        <v>344</v>
      </c>
      <c r="D17" s="364" t="s">
        <v>306</v>
      </c>
      <c r="E17" s="374"/>
      <c r="F17" s="369"/>
      <c r="G17" s="369"/>
      <c r="H17" s="370"/>
      <c r="I17" s="370"/>
      <c r="J17" s="372"/>
      <c r="K17" s="369"/>
      <c r="L17" s="369"/>
      <c r="M17" s="367"/>
      <c r="N17" s="367"/>
      <c r="O17" s="367"/>
    </row>
    <row r="18" spans="1:15" ht="15" thickBot="1" x14ac:dyDescent="0.35">
      <c r="A18" s="425"/>
      <c r="B18" s="444"/>
      <c r="C18" s="345" t="s">
        <v>345</v>
      </c>
      <c r="D18" s="364" t="s">
        <v>306</v>
      </c>
      <c r="E18" s="374"/>
      <c r="F18" s="369"/>
      <c r="G18" s="369"/>
      <c r="H18" s="370"/>
      <c r="I18" s="370"/>
      <c r="J18" s="374"/>
      <c r="K18" s="369"/>
      <c r="L18" s="369"/>
      <c r="N18" s="367"/>
      <c r="O18" s="367"/>
    </row>
    <row r="19" spans="1:15" ht="15" thickBot="1" x14ac:dyDescent="0.35">
      <c r="A19" s="425"/>
      <c r="B19" s="444"/>
      <c r="C19" s="345" t="s">
        <v>346</v>
      </c>
      <c r="D19" s="364" t="s">
        <v>306</v>
      </c>
      <c r="E19" s="372"/>
      <c r="F19" s="369"/>
      <c r="G19" s="369"/>
      <c r="H19" s="370"/>
      <c r="I19" s="370"/>
      <c r="J19" s="374"/>
      <c r="K19" s="369"/>
      <c r="L19" s="369"/>
      <c r="N19" s="367"/>
      <c r="O19" s="367"/>
    </row>
    <row r="20" spans="1:15" ht="15" thickBot="1" x14ac:dyDescent="0.35">
      <c r="A20" s="425"/>
      <c r="B20" s="444"/>
      <c r="C20" s="345" t="s">
        <v>347</v>
      </c>
      <c r="D20" s="364" t="s">
        <v>306</v>
      </c>
      <c r="E20" s="372"/>
      <c r="F20" s="369"/>
      <c r="G20" s="369"/>
      <c r="H20" s="370"/>
      <c r="I20" s="370"/>
      <c r="J20" s="374"/>
      <c r="K20" s="369"/>
      <c r="L20" s="369"/>
      <c r="N20" s="367"/>
      <c r="O20" s="367"/>
    </row>
    <row r="21" spans="1:15" ht="15" thickBot="1" x14ac:dyDescent="0.35">
      <c r="A21" s="425"/>
      <c r="B21" s="444"/>
      <c r="C21" s="345" t="s">
        <v>348</v>
      </c>
      <c r="D21" s="364" t="s">
        <v>306</v>
      </c>
      <c r="E21" s="372"/>
      <c r="F21" s="369"/>
      <c r="G21" s="369"/>
      <c r="H21" s="370"/>
      <c r="I21" s="370"/>
      <c r="J21" s="374"/>
      <c r="K21" s="369"/>
      <c r="L21" s="369"/>
      <c r="N21" s="367"/>
      <c r="O21" s="367"/>
    </row>
    <row r="22" spans="1:15" ht="15" thickBot="1" x14ac:dyDescent="0.35">
      <c r="A22" s="425"/>
      <c r="B22" s="444"/>
      <c r="C22" s="345" t="s">
        <v>349</v>
      </c>
      <c r="D22" s="364" t="s">
        <v>306</v>
      </c>
      <c r="E22" s="372"/>
      <c r="F22" s="369"/>
      <c r="G22" s="369"/>
      <c r="H22" s="370"/>
      <c r="I22" s="370"/>
      <c r="J22" s="374"/>
      <c r="K22" s="369"/>
      <c r="L22" s="369"/>
      <c r="N22" s="367"/>
      <c r="O22" s="367"/>
    </row>
    <row r="23" spans="1:15" ht="15" thickBot="1" x14ac:dyDescent="0.35">
      <c r="A23" s="425"/>
      <c r="B23" s="444"/>
      <c r="C23" s="345" t="s">
        <v>350</v>
      </c>
      <c r="D23" s="364" t="s">
        <v>306</v>
      </c>
      <c r="E23" s="372"/>
      <c r="F23" s="369"/>
      <c r="G23" s="369"/>
      <c r="H23" s="370"/>
      <c r="I23" s="370"/>
      <c r="J23" s="374"/>
      <c r="K23" s="369"/>
      <c r="L23" s="369"/>
      <c r="N23" s="367"/>
      <c r="O23" s="367"/>
    </row>
    <row r="24" spans="1:15" ht="15" thickBot="1" x14ac:dyDescent="0.35">
      <c r="A24" s="425"/>
      <c r="B24" s="444"/>
      <c r="C24" s="345" t="s">
        <v>351</v>
      </c>
      <c r="D24" s="364" t="s">
        <v>306</v>
      </c>
      <c r="E24" s="374"/>
      <c r="F24" s="369"/>
      <c r="G24" s="369"/>
      <c r="H24" s="370"/>
      <c r="I24" s="370"/>
      <c r="J24" s="374"/>
      <c r="K24" s="369"/>
      <c r="L24" s="369"/>
      <c r="N24" s="367"/>
      <c r="O24" s="367"/>
    </row>
    <row r="25" spans="1:15" ht="15" thickBot="1" x14ac:dyDescent="0.35">
      <c r="A25" s="425"/>
      <c r="B25" s="444"/>
      <c r="C25" s="345" t="s">
        <v>352</v>
      </c>
      <c r="D25" s="364" t="s">
        <v>306</v>
      </c>
      <c r="E25" s="374"/>
      <c r="F25" s="369"/>
      <c r="G25" s="369"/>
      <c r="H25" s="370"/>
      <c r="I25" s="370"/>
      <c r="J25" s="374"/>
      <c r="K25" s="369"/>
      <c r="L25" s="369"/>
      <c r="N25" s="367"/>
      <c r="O25" s="367"/>
    </row>
    <row r="26" spans="1:15" ht="15" thickBot="1" x14ac:dyDescent="0.35">
      <c r="A26" s="425"/>
      <c r="B26" s="444"/>
      <c r="C26" s="345" t="s">
        <v>353</v>
      </c>
      <c r="D26" s="364" t="s">
        <v>306</v>
      </c>
      <c r="E26" s="372"/>
      <c r="F26" s="369"/>
      <c r="G26" s="369"/>
      <c r="H26" s="370"/>
      <c r="I26" s="370"/>
      <c r="J26" s="374"/>
      <c r="K26" s="369"/>
      <c r="L26" s="369"/>
      <c r="N26" s="367"/>
      <c r="O26" s="367"/>
    </row>
    <row r="27" spans="1:15" ht="15" thickBot="1" x14ac:dyDescent="0.35">
      <c r="A27" s="426"/>
      <c r="B27" s="443"/>
      <c r="C27" s="345" t="s">
        <v>354</v>
      </c>
      <c r="D27" s="364" t="s">
        <v>306</v>
      </c>
      <c r="E27" s="374"/>
      <c r="F27" s="369"/>
      <c r="G27" s="369"/>
      <c r="H27" s="370"/>
      <c r="I27" s="370"/>
      <c r="J27" s="374"/>
      <c r="K27" s="369"/>
      <c r="L27" s="369"/>
      <c r="N27" s="367"/>
      <c r="O27" s="367"/>
    </row>
    <row r="28" spans="1:15" ht="15.75" customHeight="1" thickBot="1" x14ac:dyDescent="0.35">
      <c r="A28" s="424" t="s">
        <v>355</v>
      </c>
      <c r="B28" s="442" t="s">
        <v>337</v>
      </c>
      <c r="C28" s="442" t="s">
        <v>306</v>
      </c>
      <c r="D28" s="364" t="s">
        <v>302</v>
      </c>
      <c r="E28" s="372"/>
      <c r="F28" s="372"/>
      <c r="G28" s="372"/>
      <c r="H28" s="370"/>
      <c r="I28" s="370"/>
      <c r="J28" s="372"/>
      <c r="K28" s="372"/>
      <c r="L28" s="372"/>
      <c r="N28" s="367"/>
      <c r="O28" s="367"/>
    </row>
    <row r="29" spans="1:15" ht="15" thickBot="1" x14ac:dyDescent="0.35">
      <c r="A29" s="425"/>
      <c r="B29" s="443"/>
      <c r="C29" s="443"/>
      <c r="D29" s="364" t="s">
        <v>304</v>
      </c>
      <c r="E29" s="372"/>
      <c r="F29" s="372"/>
      <c r="G29" s="372"/>
      <c r="H29" s="370"/>
      <c r="I29" s="370"/>
      <c r="J29" s="372"/>
      <c r="K29" s="372"/>
      <c r="L29" s="372"/>
      <c r="N29" s="367"/>
      <c r="O29" s="367"/>
    </row>
    <row r="30" spans="1:15" ht="15" thickBot="1" x14ac:dyDescent="0.35">
      <c r="A30" s="425"/>
      <c r="B30" s="442" t="s">
        <v>339</v>
      </c>
      <c r="C30" s="442" t="s">
        <v>306</v>
      </c>
      <c r="D30" s="364" t="s">
        <v>302</v>
      </c>
      <c r="E30" s="372"/>
      <c r="F30" s="372"/>
      <c r="G30" s="369"/>
      <c r="H30" s="370"/>
      <c r="I30" s="370"/>
      <c r="J30" s="372"/>
      <c r="K30" s="372"/>
      <c r="L30" s="369"/>
      <c r="N30" s="367"/>
      <c r="O30" s="367"/>
    </row>
    <row r="31" spans="1:15" ht="15" thickBot="1" x14ac:dyDescent="0.35">
      <c r="A31" s="425"/>
      <c r="B31" s="443"/>
      <c r="C31" s="443"/>
      <c r="D31" s="364" t="s">
        <v>304</v>
      </c>
      <c r="E31" s="372"/>
      <c r="F31" s="372"/>
      <c r="G31" s="369"/>
      <c r="H31" s="370"/>
      <c r="I31" s="370"/>
      <c r="J31" s="372"/>
      <c r="K31" s="372"/>
      <c r="L31" s="369"/>
      <c r="N31" s="367"/>
      <c r="O31" s="367"/>
    </row>
    <row r="32" spans="1:15" ht="15" thickBot="1" x14ac:dyDescent="0.35">
      <c r="A32" s="425"/>
      <c r="B32" s="442" t="s">
        <v>341</v>
      </c>
      <c r="C32" s="442"/>
      <c r="D32" s="364" t="s">
        <v>302</v>
      </c>
      <c r="E32" s="372"/>
      <c r="F32" s="372"/>
      <c r="G32" s="372"/>
      <c r="H32" s="370"/>
      <c r="I32" s="370"/>
      <c r="J32" s="372"/>
      <c r="K32" s="372"/>
      <c r="L32" s="372"/>
      <c r="N32" s="367"/>
      <c r="O32" s="367"/>
    </row>
    <row r="33" spans="1:15" ht="15" thickBot="1" x14ac:dyDescent="0.35">
      <c r="A33" s="425"/>
      <c r="B33" s="444"/>
      <c r="C33" s="444"/>
      <c r="D33" s="364" t="s">
        <v>304</v>
      </c>
      <c r="E33" s="372"/>
      <c r="F33" s="372"/>
      <c r="G33" s="372"/>
      <c r="H33" s="370"/>
      <c r="I33" s="370"/>
      <c r="J33" s="372"/>
      <c r="K33" s="372"/>
      <c r="L33" s="372"/>
      <c r="N33" s="367"/>
      <c r="O33" s="367"/>
    </row>
    <row r="34" spans="1:15" ht="15" thickBot="1" x14ac:dyDescent="0.35">
      <c r="A34" s="425"/>
      <c r="B34" s="443"/>
      <c r="C34" s="443"/>
      <c r="D34" s="364" t="s">
        <v>306</v>
      </c>
      <c r="E34" s="372"/>
      <c r="F34" s="372"/>
      <c r="G34" s="372"/>
      <c r="H34" s="370"/>
      <c r="I34" s="370"/>
      <c r="J34" s="372"/>
      <c r="K34" s="372"/>
      <c r="L34" s="372"/>
      <c r="N34" s="367"/>
      <c r="O34" s="367"/>
    </row>
    <row r="35" spans="1:15" ht="15" thickBot="1" x14ac:dyDescent="0.35">
      <c r="A35" s="426"/>
      <c r="B35" s="364" t="s">
        <v>318</v>
      </c>
      <c r="C35" s="364" t="s">
        <v>306</v>
      </c>
      <c r="D35" s="364" t="s">
        <v>306</v>
      </c>
      <c r="E35" s="372"/>
      <c r="F35" s="372"/>
      <c r="G35" s="372"/>
      <c r="H35" s="370"/>
      <c r="I35" s="370"/>
      <c r="J35" s="372"/>
      <c r="K35" s="372"/>
      <c r="L35" s="372"/>
      <c r="N35" s="367"/>
      <c r="O35" s="367"/>
    </row>
    <row r="36" spans="1:15" ht="15.75" customHeight="1" thickBot="1" x14ac:dyDescent="0.35">
      <c r="A36" s="424" t="s">
        <v>356</v>
      </c>
      <c r="B36" s="442" t="s">
        <v>337</v>
      </c>
      <c r="C36" s="442" t="s">
        <v>306</v>
      </c>
      <c r="D36" s="364" t="s">
        <v>302</v>
      </c>
      <c r="E36" s="372"/>
      <c r="F36" s="372"/>
      <c r="G36" s="372"/>
      <c r="H36" s="370"/>
      <c r="I36" s="370"/>
      <c r="J36" s="372"/>
      <c r="K36" s="372"/>
      <c r="L36" s="372"/>
      <c r="M36" s="366"/>
      <c r="N36" s="367"/>
      <c r="O36" s="367"/>
    </row>
    <row r="37" spans="1:15" ht="15" thickBot="1" x14ac:dyDescent="0.35">
      <c r="A37" s="425"/>
      <c r="B37" s="443"/>
      <c r="C37" s="443"/>
      <c r="D37" s="364" t="s">
        <v>304</v>
      </c>
      <c r="E37" s="372"/>
      <c r="F37" s="372"/>
      <c r="G37" s="372"/>
      <c r="H37" s="370"/>
      <c r="I37" s="370"/>
      <c r="J37" s="372"/>
      <c r="K37" s="372"/>
      <c r="L37" s="372"/>
      <c r="M37" s="366"/>
      <c r="N37" s="367"/>
      <c r="O37" s="367"/>
    </row>
    <row r="38" spans="1:15" ht="15" thickBot="1" x14ac:dyDescent="0.35">
      <c r="A38" s="425"/>
      <c r="B38" s="442" t="s">
        <v>339</v>
      </c>
      <c r="C38" s="442" t="s">
        <v>306</v>
      </c>
      <c r="D38" s="364" t="s">
        <v>302</v>
      </c>
      <c r="E38" s="372"/>
      <c r="F38" s="372"/>
      <c r="G38" s="372"/>
      <c r="H38" s="370"/>
      <c r="I38" s="370"/>
      <c r="J38" s="372"/>
      <c r="K38" s="372"/>
      <c r="L38" s="372"/>
      <c r="M38" s="368"/>
      <c r="N38" s="367"/>
      <c r="O38" s="367"/>
    </row>
    <row r="39" spans="1:15" ht="15" thickBot="1" x14ac:dyDescent="0.35">
      <c r="A39" s="425"/>
      <c r="B39" s="443"/>
      <c r="C39" s="443"/>
      <c r="D39" s="364" t="s">
        <v>304</v>
      </c>
      <c r="E39" s="372"/>
      <c r="F39" s="372"/>
      <c r="G39" s="372"/>
      <c r="H39" s="370"/>
      <c r="I39" s="370"/>
      <c r="J39" s="372"/>
      <c r="K39" s="372"/>
      <c r="L39" s="372"/>
      <c r="M39" s="367"/>
      <c r="N39" s="367"/>
      <c r="O39" s="367"/>
    </row>
    <row r="40" spans="1:15" ht="15" thickBot="1" x14ac:dyDescent="0.35">
      <c r="A40" s="425"/>
      <c r="B40" s="442" t="s">
        <v>13</v>
      </c>
      <c r="C40" s="442" t="s">
        <v>306</v>
      </c>
      <c r="D40" s="364" t="s">
        <v>306</v>
      </c>
      <c r="E40" s="372"/>
      <c r="F40" s="372"/>
      <c r="G40" s="372"/>
      <c r="H40" s="370"/>
      <c r="I40" s="370"/>
      <c r="J40" s="372"/>
      <c r="K40" s="372"/>
      <c r="L40" s="372"/>
      <c r="M40" s="366"/>
      <c r="N40" s="367"/>
      <c r="O40" s="367"/>
    </row>
    <row r="41" spans="1:15" ht="15" thickBot="1" x14ac:dyDescent="0.35">
      <c r="A41" s="425"/>
      <c r="B41" s="444"/>
      <c r="C41" s="444"/>
      <c r="D41" s="364" t="s">
        <v>302</v>
      </c>
      <c r="E41" s="372"/>
      <c r="F41" s="372"/>
      <c r="G41" s="372"/>
      <c r="H41" s="370"/>
      <c r="I41" s="370"/>
      <c r="J41" s="372"/>
      <c r="K41" s="372"/>
      <c r="L41" s="372"/>
      <c r="M41" s="366"/>
      <c r="N41" s="367"/>
      <c r="O41" s="367"/>
    </row>
    <row r="42" spans="1:15" ht="15" thickBot="1" x14ac:dyDescent="0.35">
      <c r="A42" s="425"/>
      <c r="B42" s="443"/>
      <c r="C42" s="443"/>
      <c r="D42" s="364" t="s">
        <v>304</v>
      </c>
      <c r="E42" s="372"/>
      <c r="F42" s="372"/>
      <c r="G42" s="372"/>
      <c r="H42" s="370"/>
      <c r="I42" s="370"/>
      <c r="J42" s="372"/>
      <c r="K42" s="372"/>
      <c r="L42" s="372"/>
      <c r="M42" s="366"/>
      <c r="N42" s="367"/>
      <c r="O42" s="367"/>
    </row>
    <row r="43" spans="1:15" ht="15" thickBot="1" x14ac:dyDescent="0.35">
      <c r="A43" s="425"/>
      <c r="B43" s="442" t="s">
        <v>357</v>
      </c>
      <c r="C43" s="442" t="s">
        <v>306</v>
      </c>
      <c r="D43" s="364" t="s">
        <v>306</v>
      </c>
      <c r="E43" s="372"/>
      <c r="F43" s="372"/>
      <c r="G43" s="372"/>
      <c r="H43" s="370"/>
      <c r="I43" s="370"/>
      <c r="J43" s="372"/>
      <c r="K43" s="372"/>
      <c r="L43" s="372"/>
      <c r="M43" s="367"/>
      <c r="N43" s="367"/>
      <c r="O43" s="367"/>
    </row>
    <row r="44" spans="1:15" ht="15" thickBot="1" x14ac:dyDescent="0.35">
      <c r="A44" s="425"/>
      <c r="B44" s="444"/>
      <c r="C44" s="444"/>
      <c r="D44" s="364" t="s">
        <v>302</v>
      </c>
      <c r="E44" s="372"/>
      <c r="F44" s="372"/>
      <c r="G44" s="372"/>
      <c r="H44" s="370"/>
      <c r="I44" s="370"/>
      <c r="J44" s="372"/>
      <c r="K44" s="372"/>
      <c r="L44" s="372"/>
      <c r="N44" s="367"/>
      <c r="O44" s="367"/>
    </row>
    <row r="45" spans="1:15" ht="15" thickBot="1" x14ac:dyDescent="0.35">
      <c r="A45" s="425"/>
      <c r="B45" s="443"/>
      <c r="C45" s="443"/>
      <c r="D45" s="364" t="s">
        <v>304</v>
      </c>
      <c r="E45" s="372"/>
      <c r="F45" s="372"/>
      <c r="G45" s="372"/>
      <c r="H45" s="370"/>
      <c r="I45" s="370"/>
      <c r="J45" s="372"/>
      <c r="K45" s="372"/>
      <c r="L45" s="372"/>
      <c r="N45" s="367"/>
      <c r="O45" s="367"/>
    </row>
    <row r="46" spans="1:15" ht="15" thickBot="1" x14ac:dyDescent="0.35">
      <c r="A46" s="425"/>
      <c r="B46" s="376" t="s">
        <v>307</v>
      </c>
      <c r="C46" s="376" t="s">
        <v>306</v>
      </c>
      <c r="D46" s="376" t="s">
        <v>306</v>
      </c>
      <c r="E46" s="372"/>
      <c r="F46" s="369"/>
      <c r="G46" s="369"/>
      <c r="H46" s="370"/>
      <c r="I46" s="370"/>
      <c r="J46" s="372"/>
      <c r="K46" s="372"/>
      <c r="L46" s="372"/>
      <c r="N46" s="367"/>
      <c r="O46" s="367"/>
    </row>
    <row r="47" spans="1:15" ht="15" thickBot="1" x14ac:dyDescent="0.35">
      <c r="A47" s="426"/>
      <c r="B47" s="364" t="s">
        <v>318</v>
      </c>
      <c r="C47" s="364" t="s">
        <v>306</v>
      </c>
      <c r="D47" s="364" t="s">
        <v>306</v>
      </c>
      <c r="E47" s="372"/>
      <c r="F47" s="372"/>
      <c r="G47" s="372"/>
      <c r="H47" s="370"/>
      <c r="I47" s="370"/>
      <c r="J47" s="372"/>
      <c r="K47" s="372"/>
      <c r="L47" s="372"/>
      <c r="N47" s="367"/>
      <c r="O47" s="367"/>
    </row>
    <row r="48" spans="1:15" ht="15.75" customHeight="1" thickBot="1" x14ac:dyDescent="0.35">
      <c r="A48" s="424" t="s">
        <v>358</v>
      </c>
      <c r="B48" s="442" t="s">
        <v>337</v>
      </c>
      <c r="C48" s="442" t="s">
        <v>306</v>
      </c>
      <c r="D48" s="364" t="s">
        <v>302</v>
      </c>
      <c r="E48" s="372"/>
      <c r="F48" s="372"/>
      <c r="G48" s="372"/>
      <c r="H48" s="370"/>
      <c r="I48" s="370"/>
      <c r="J48" s="372"/>
      <c r="K48" s="372"/>
      <c r="L48" s="372"/>
      <c r="N48" s="367"/>
      <c r="O48" s="367"/>
    </row>
    <row r="49" spans="1:15" ht="15" thickBot="1" x14ac:dyDescent="0.35">
      <c r="A49" s="425"/>
      <c r="B49" s="443"/>
      <c r="C49" s="443"/>
      <c r="D49" s="364" t="s">
        <v>304</v>
      </c>
      <c r="E49" s="372"/>
      <c r="F49" s="372"/>
      <c r="G49" s="372"/>
      <c r="H49" s="370"/>
      <c r="I49" s="370"/>
      <c r="J49" s="372"/>
      <c r="K49" s="372"/>
      <c r="L49" s="372"/>
      <c r="M49" s="366"/>
      <c r="N49" s="367"/>
      <c r="O49" s="367"/>
    </row>
    <row r="50" spans="1:15" ht="15" thickBot="1" x14ac:dyDescent="0.35">
      <c r="A50" s="425"/>
      <c r="B50" s="442" t="s">
        <v>339</v>
      </c>
      <c r="C50" s="442" t="s">
        <v>306</v>
      </c>
      <c r="D50" s="364" t="s">
        <v>302</v>
      </c>
      <c r="E50" s="372"/>
      <c r="F50" s="372"/>
      <c r="G50" s="372"/>
      <c r="H50" s="370"/>
      <c r="I50" s="370"/>
      <c r="J50" s="372"/>
      <c r="K50" s="372"/>
      <c r="L50" s="372"/>
      <c r="M50" s="366"/>
      <c r="N50" s="367"/>
      <c r="O50" s="367"/>
    </row>
    <row r="51" spans="1:15" ht="15" thickBot="1" x14ac:dyDescent="0.35">
      <c r="A51" s="425"/>
      <c r="B51" s="443"/>
      <c r="C51" s="443"/>
      <c r="D51" s="364" t="s">
        <v>304</v>
      </c>
      <c r="E51" s="372"/>
      <c r="F51" s="372"/>
      <c r="G51" s="372"/>
      <c r="H51" s="370"/>
      <c r="I51" s="370"/>
      <c r="J51" s="372"/>
      <c r="K51" s="372"/>
      <c r="L51" s="372"/>
      <c r="M51" s="368"/>
      <c r="N51" s="367"/>
      <c r="O51" s="367"/>
    </row>
    <row r="52" spans="1:15" ht="15" thickBot="1" x14ac:dyDescent="0.35">
      <c r="A52" s="425"/>
      <c r="B52" s="442" t="s">
        <v>13</v>
      </c>
      <c r="C52" s="442" t="s">
        <v>306</v>
      </c>
      <c r="D52" s="364" t="s">
        <v>306</v>
      </c>
      <c r="E52" s="372"/>
      <c r="F52" s="372"/>
      <c r="G52" s="372"/>
      <c r="H52" s="370"/>
      <c r="I52" s="370"/>
      <c r="J52" s="372"/>
      <c r="K52" s="372"/>
      <c r="L52" s="372"/>
      <c r="M52" s="367"/>
      <c r="N52" s="367"/>
      <c r="O52" s="367"/>
    </row>
    <row r="53" spans="1:15" ht="15" thickBot="1" x14ac:dyDescent="0.35">
      <c r="A53" s="425"/>
      <c r="B53" s="444"/>
      <c r="C53" s="444"/>
      <c r="D53" s="364" t="s">
        <v>302</v>
      </c>
      <c r="E53" s="372"/>
      <c r="F53" s="372"/>
      <c r="G53" s="372"/>
      <c r="H53" s="370"/>
      <c r="I53" s="370"/>
      <c r="J53" s="372"/>
      <c r="K53" s="372"/>
      <c r="L53" s="372"/>
      <c r="M53" s="366"/>
      <c r="N53" s="367"/>
      <c r="O53" s="367"/>
    </row>
    <row r="54" spans="1:15" ht="15" thickBot="1" x14ac:dyDescent="0.35">
      <c r="A54" s="425"/>
      <c r="B54" s="443"/>
      <c r="C54" s="443"/>
      <c r="D54" s="364" t="s">
        <v>304</v>
      </c>
      <c r="E54" s="372"/>
      <c r="F54" s="372"/>
      <c r="G54" s="372"/>
      <c r="H54" s="370"/>
      <c r="I54" s="370"/>
      <c r="J54" s="372"/>
      <c r="K54" s="372"/>
      <c r="L54" s="372"/>
      <c r="M54" s="366"/>
      <c r="N54" s="367"/>
      <c r="O54" s="367"/>
    </row>
    <row r="55" spans="1:15" ht="15" thickBot="1" x14ac:dyDescent="0.35">
      <c r="A55" s="425"/>
      <c r="B55" s="442" t="s">
        <v>357</v>
      </c>
      <c r="C55" s="442" t="s">
        <v>306</v>
      </c>
      <c r="D55" s="364" t="s">
        <v>306</v>
      </c>
      <c r="E55" s="372"/>
      <c r="F55" s="372"/>
      <c r="G55" s="372"/>
      <c r="H55" s="370"/>
      <c r="I55" s="370"/>
      <c r="J55" s="372"/>
      <c r="K55" s="372"/>
      <c r="L55" s="372"/>
      <c r="M55" s="366"/>
      <c r="N55" s="367"/>
      <c r="O55" s="367"/>
    </row>
    <row r="56" spans="1:15" ht="15" thickBot="1" x14ac:dyDescent="0.35">
      <c r="A56" s="425"/>
      <c r="B56" s="444"/>
      <c r="C56" s="444"/>
      <c r="D56" s="364" t="s">
        <v>302</v>
      </c>
      <c r="E56" s="372"/>
      <c r="F56" s="372"/>
      <c r="G56" s="372"/>
      <c r="H56" s="370"/>
      <c r="I56" s="370"/>
      <c r="J56" s="372"/>
      <c r="K56" s="372"/>
      <c r="L56" s="372"/>
      <c r="M56" s="367"/>
      <c r="N56" s="367"/>
      <c r="O56" s="367"/>
    </row>
    <row r="57" spans="1:15" ht="15" thickBot="1" x14ac:dyDescent="0.35">
      <c r="A57" s="425"/>
      <c r="B57" s="443"/>
      <c r="C57" s="443"/>
      <c r="D57" s="364" t="s">
        <v>304</v>
      </c>
      <c r="E57" s="372"/>
      <c r="F57" s="372"/>
      <c r="G57" s="372"/>
      <c r="H57" s="370"/>
      <c r="I57" s="370"/>
      <c r="J57" s="372"/>
      <c r="K57" s="372"/>
      <c r="L57" s="372"/>
      <c r="N57" s="367"/>
      <c r="O57" s="367"/>
    </row>
    <row r="58" spans="1:15" ht="15" thickBot="1" x14ac:dyDescent="0.35">
      <c r="A58" s="425"/>
      <c r="B58" s="364" t="s">
        <v>307</v>
      </c>
      <c r="C58" s="364" t="s">
        <v>306</v>
      </c>
      <c r="D58" s="364" t="s">
        <v>306</v>
      </c>
      <c r="E58" s="372"/>
      <c r="F58" s="372"/>
      <c r="G58" s="372"/>
      <c r="H58" s="370"/>
      <c r="I58" s="370"/>
      <c r="J58" s="372"/>
      <c r="K58" s="372"/>
      <c r="L58" s="372"/>
      <c r="N58" s="367"/>
      <c r="O58" s="367"/>
    </row>
    <row r="59" spans="1:15" ht="15" thickBot="1" x14ac:dyDescent="0.35">
      <c r="A59" s="425"/>
      <c r="B59" s="442" t="s">
        <v>341</v>
      </c>
      <c r="C59" s="445" t="s">
        <v>359</v>
      </c>
      <c r="D59" s="364" t="s">
        <v>302</v>
      </c>
      <c r="E59" s="372"/>
      <c r="F59" s="372"/>
      <c r="G59" s="372"/>
      <c r="H59" s="370"/>
      <c r="I59" s="370"/>
      <c r="J59" s="372"/>
      <c r="K59" s="372"/>
      <c r="L59" s="372"/>
      <c r="N59" s="367"/>
      <c r="O59" s="367"/>
    </row>
    <row r="60" spans="1:15" ht="15" thickBot="1" x14ac:dyDescent="0.35">
      <c r="A60" s="425"/>
      <c r="B60" s="444"/>
      <c r="C60" s="446"/>
      <c r="D60" s="364" t="s">
        <v>304</v>
      </c>
      <c r="E60" s="372"/>
      <c r="F60" s="372"/>
      <c r="G60" s="372"/>
      <c r="H60" s="370"/>
      <c r="I60" s="370"/>
      <c r="J60" s="372"/>
      <c r="K60" s="372"/>
      <c r="L60" s="372"/>
      <c r="N60" s="367"/>
      <c r="O60" s="367"/>
    </row>
    <row r="61" spans="1:15" ht="15" thickBot="1" x14ac:dyDescent="0.35">
      <c r="A61" s="425"/>
      <c r="B61" s="443"/>
      <c r="C61" s="447"/>
      <c r="D61" s="364" t="s">
        <v>306</v>
      </c>
      <c r="E61" s="372"/>
      <c r="F61" s="372"/>
      <c r="G61" s="372"/>
      <c r="H61" s="370"/>
      <c r="I61" s="370"/>
      <c r="J61" s="372"/>
      <c r="K61" s="372"/>
      <c r="L61" s="372"/>
      <c r="N61" s="367"/>
      <c r="O61" s="367"/>
    </row>
    <row r="62" spans="1:15" ht="15" thickBot="1" x14ac:dyDescent="0.35">
      <c r="A62" s="426"/>
      <c r="B62" s="364" t="s">
        <v>318</v>
      </c>
      <c r="C62" s="364" t="s">
        <v>306</v>
      </c>
      <c r="D62" s="364" t="s">
        <v>306</v>
      </c>
      <c r="E62" s="372"/>
      <c r="F62" s="372"/>
      <c r="G62" s="372"/>
      <c r="H62" s="370"/>
      <c r="I62" s="370"/>
      <c r="J62" s="372"/>
      <c r="K62" s="372"/>
      <c r="L62" s="372"/>
      <c r="N62" s="367"/>
      <c r="O62" s="367"/>
    </row>
    <row r="63" spans="1:15" ht="15" thickBot="1" x14ac:dyDescent="0.35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</row>
    <row r="64" spans="1:15" ht="15" thickBot="1" x14ac:dyDescent="0.35">
      <c r="A64" s="433" t="s">
        <v>360</v>
      </c>
      <c r="B64" s="434"/>
      <c r="C64" s="434"/>
      <c r="D64" s="434"/>
      <c r="E64" s="434"/>
      <c r="F64" s="434"/>
      <c r="G64" s="434"/>
      <c r="H64" s="434"/>
      <c r="I64" s="434"/>
      <c r="J64" s="434"/>
      <c r="K64" s="434"/>
      <c r="L64" s="434"/>
      <c r="M64" s="435"/>
    </row>
    <row r="65" spans="1:17" ht="15.75" customHeight="1" thickBot="1" x14ac:dyDescent="0.35">
      <c r="A65" s="436" t="s">
        <v>292</v>
      </c>
      <c r="B65" s="436" t="s">
        <v>293</v>
      </c>
      <c r="C65" s="436" t="s">
        <v>361</v>
      </c>
      <c r="D65" s="436" t="s">
        <v>295</v>
      </c>
      <c r="E65" s="436" t="s">
        <v>296</v>
      </c>
      <c r="F65" s="439" t="s">
        <v>297</v>
      </c>
      <c r="G65" s="440"/>
      <c r="H65" s="440"/>
      <c r="I65" s="440"/>
      <c r="J65" s="441"/>
      <c r="K65" s="439" t="s">
        <v>362</v>
      </c>
      <c r="L65" s="440"/>
      <c r="M65" s="441"/>
    </row>
    <row r="66" spans="1:17" ht="15" thickBot="1" x14ac:dyDescent="0.35">
      <c r="A66" s="437"/>
      <c r="B66" s="437"/>
      <c r="C66" s="437"/>
      <c r="D66" s="437"/>
      <c r="E66" s="437"/>
      <c r="F66" s="430" t="s">
        <v>10</v>
      </c>
      <c r="G66" s="432"/>
      <c r="H66" s="430" t="s">
        <v>9</v>
      </c>
      <c r="I66" s="431"/>
      <c r="J66" s="432"/>
      <c r="K66" s="430" t="s">
        <v>10</v>
      </c>
      <c r="L66" s="432"/>
      <c r="M66" s="378" t="s">
        <v>9</v>
      </c>
    </row>
    <row r="67" spans="1:17" ht="15.75" customHeight="1" thickBot="1" x14ac:dyDescent="0.35">
      <c r="A67" s="438"/>
      <c r="B67" s="438"/>
      <c r="C67" s="438"/>
      <c r="D67" s="438"/>
      <c r="E67" s="438"/>
      <c r="F67" s="379" t="s">
        <v>298</v>
      </c>
      <c r="G67" s="379" t="s">
        <v>299</v>
      </c>
      <c r="H67" s="380" t="s">
        <v>332</v>
      </c>
      <c r="I67" s="381" t="s">
        <v>333</v>
      </c>
      <c r="J67" s="382" t="s">
        <v>334</v>
      </c>
      <c r="K67" s="379" t="s">
        <v>298</v>
      </c>
      <c r="L67" s="379" t="s">
        <v>299</v>
      </c>
      <c r="M67" s="379" t="s">
        <v>299</v>
      </c>
      <c r="O67" s="366"/>
    </row>
    <row r="68" spans="1:17" ht="15" thickBot="1" x14ac:dyDescent="0.35">
      <c r="A68" s="424" t="s">
        <v>36</v>
      </c>
      <c r="B68" s="427" t="s">
        <v>300</v>
      </c>
      <c r="C68" s="427" t="s">
        <v>301</v>
      </c>
      <c r="D68" s="427" t="s">
        <v>301</v>
      </c>
      <c r="E68" s="383" t="s">
        <v>302</v>
      </c>
      <c r="F68" s="384">
        <v>0</v>
      </c>
      <c r="G68" s="372">
        <v>937.61</v>
      </c>
      <c r="H68" s="372">
        <v>484.48</v>
      </c>
      <c r="I68" s="370"/>
      <c r="J68" s="370"/>
      <c r="K68" s="372">
        <v>0</v>
      </c>
      <c r="L68" s="372">
        <v>918.51</v>
      </c>
      <c r="M68" s="372">
        <v>492.47</v>
      </c>
      <c r="O68" s="366"/>
      <c r="P68" s="367"/>
      <c r="Q68" s="385"/>
    </row>
    <row r="69" spans="1:17" ht="15" thickBot="1" x14ac:dyDescent="0.35">
      <c r="A69" s="425"/>
      <c r="B69" s="428"/>
      <c r="C69" s="428"/>
      <c r="D69" s="428"/>
      <c r="E69" s="383" t="s">
        <v>303</v>
      </c>
      <c r="F69" s="384">
        <v>0</v>
      </c>
      <c r="G69" s="372">
        <v>651.29</v>
      </c>
      <c r="H69" s="372">
        <v>305.79000000000002</v>
      </c>
      <c r="I69" s="370"/>
      <c r="J69" s="370"/>
      <c r="K69" s="372">
        <v>0</v>
      </c>
      <c r="L69" s="372">
        <v>634.94000000000005</v>
      </c>
      <c r="M69" s="372">
        <v>316.45999999999998</v>
      </c>
      <c r="O69" s="368"/>
      <c r="P69" s="367"/>
    </row>
    <row r="70" spans="1:17" ht="15" thickBot="1" x14ac:dyDescent="0.35">
      <c r="A70" s="425"/>
      <c r="B70" s="429"/>
      <c r="C70" s="429"/>
      <c r="D70" s="429"/>
      <c r="E70" s="383" t="s">
        <v>304</v>
      </c>
      <c r="F70" s="384">
        <v>0</v>
      </c>
      <c r="G70" s="372">
        <v>364.96</v>
      </c>
      <c r="H70" s="372">
        <v>305.79000000000002</v>
      </c>
      <c r="I70" s="370"/>
      <c r="J70" s="370"/>
      <c r="K70" s="372">
        <v>0</v>
      </c>
      <c r="L70" s="372">
        <v>351.38</v>
      </c>
      <c r="M70" s="372">
        <v>316.45999999999998</v>
      </c>
      <c r="O70" s="367"/>
      <c r="P70" s="367"/>
    </row>
    <row r="71" spans="1:17" ht="15" thickBot="1" x14ac:dyDescent="0.35">
      <c r="A71" s="425"/>
      <c r="B71" s="427" t="s">
        <v>307</v>
      </c>
      <c r="C71" s="427" t="s">
        <v>301</v>
      </c>
      <c r="D71" s="386" t="s">
        <v>301</v>
      </c>
      <c r="E71" s="383" t="s">
        <v>306</v>
      </c>
      <c r="F71" s="387">
        <v>0</v>
      </c>
      <c r="G71" s="372">
        <v>468.63</v>
      </c>
      <c r="H71" s="372">
        <v>320.68</v>
      </c>
      <c r="I71" s="370"/>
      <c r="J71" s="370"/>
      <c r="K71" s="369">
        <v>0</v>
      </c>
      <c r="L71" s="372">
        <v>454.05</v>
      </c>
      <c r="M71" s="372">
        <v>331.12</v>
      </c>
      <c r="O71" s="366"/>
      <c r="P71" s="367"/>
    </row>
    <row r="72" spans="1:17" ht="15" thickBot="1" x14ac:dyDescent="0.35">
      <c r="A72" s="425"/>
      <c r="B72" s="428"/>
      <c r="C72" s="428"/>
      <c r="D72" s="386" t="s">
        <v>363</v>
      </c>
      <c r="E72" s="383" t="s">
        <v>306</v>
      </c>
      <c r="F72" s="387">
        <v>0</v>
      </c>
      <c r="G72" s="372">
        <v>325.43</v>
      </c>
      <c r="H72" s="372">
        <v>282.45</v>
      </c>
      <c r="I72" s="370"/>
      <c r="J72" s="370"/>
      <c r="K72" s="369">
        <v>0</v>
      </c>
      <c r="L72" s="372"/>
      <c r="M72" s="372"/>
      <c r="O72" s="366"/>
      <c r="P72" s="367"/>
    </row>
    <row r="73" spans="1:17" ht="15" thickBot="1" x14ac:dyDescent="0.35">
      <c r="A73" s="426"/>
      <c r="B73" s="429"/>
      <c r="C73" s="429"/>
      <c r="D73" s="394" t="s">
        <v>375</v>
      </c>
      <c r="E73" s="383" t="s">
        <v>306</v>
      </c>
      <c r="F73" s="387"/>
      <c r="G73" s="372">
        <v>340.19</v>
      </c>
      <c r="H73" s="372">
        <v>296.66000000000003</v>
      </c>
      <c r="I73" s="370"/>
      <c r="J73" s="370"/>
      <c r="K73" s="369"/>
      <c r="L73" s="372"/>
      <c r="M73" s="372"/>
      <c r="O73" s="366"/>
      <c r="P73" s="367"/>
    </row>
    <row r="74" spans="1:17" ht="15" thickBot="1" x14ac:dyDescent="0.35">
      <c r="A74" s="424" t="s">
        <v>67</v>
      </c>
      <c r="B74" s="427" t="s">
        <v>300</v>
      </c>
      <c r="C74" s="427" t="s">
        <v>309</v>
      </c>
      <c r="D74" s="427" t="s">
        <v>306</v>
      </c>
      <c r="E74" s="383" t="s">
        <v>302</v>
      </c>
      <c r="F74" s="384">
        <v>0</v>
      </c>
      <c r="G74" s="372">
        <v>1061.03</v>
      </c>
      <c r="H74" s="372">
        <v>484.48</v>
      </c>
      <c r="I74" s="370"/>
      <c r="J74" s="370"/>
      <c r="K74" s="372">
        <v>0</v>
      </c>
      <c r="L74" s="372">
        <v>1040.73</v>
      </c>
      <c r="M74" s="372">
        <v>492.47</v>
      </c>
      <c r="O74" s="366"/>
      <c r="P74" s="367"/>
    </row>
    <row r="75" spans="1:17" ht="15" thickBot="1" x14ac:dyDescent="0.35">
      <c r="A75" s="425"/>
      <c r="B75" s="428"/>
      <c r="C75" s="428"/>
      <c r="D75" s="428"/>
      <c r="E75" s="383" t="s">
        <v>303</v>
      </c>
      <c r="F75" s="384">
        <v>0</v>
      </c>
      <c r="G75" s="372">
        <v>725.34</v>
      </c>
      <c r="H75" s="372">
        <v>305.79000000000002</v>
      </c>
      <c r="I75" s="370"/>
      <c r="J75" s="370"/>
      <c r="K75" s="372">
        <v>0</v>
      </c>
      <c r="L75" s="372">
        <v>708.28</v>
      </c>
      <c r="M75" s="372">
        <v>316.45999999999998</v>
      </c>
      <c r="O75" s="367"/>
      <c r="P75" s="367"/>
    </row>
    <row r="76" spans="1:17" ht="15" thickBot="1" x14ac:dyDescent="0.35">
      <c r="A76" s="425"/>
      <c r="B76" s="429"/>
      <c r="C76" s="429"/>
      <c r="D76" s="429"/>
      <c r="E76" s="383" t="s">
        <v>304</v>
      </c>
      <c r="F76" s="384">
        <v>0</v>
      </c>
      <c r="G76" s="372">
        <v>389.65</v>
      </c>
      <c r="H76" s="372">
        <v>305.79000000000002</v>
      </c>
      <c r="I76" s="370"/>
      <c r="J76" s="370"/>
      <c r="K76" s="372">
        <v>0</v>
      </c>
      <c r="L76" s="372">
        <v>375.82</v>
      </c>
      <c r="M76" s="372">
        <v>316.45999999999998</v>
      </c>
      <c r="O76" s="367"/>
      <c r="P76" s="367"/>
    </row>
    <row r="77" spans="1:17" ht="15.75" customHeight="1" thickBot="1" x14ac:dyDescent="0.35">
      <c r="A77" s="425"/>
      <c r="B77" s="386" t="s">
        <v>307</v>
      </c>
      <c r="C77" s="386" t="s">
        <v>309</v>
      </c>
      <c r="D77" s="386" t="s">
        <v>306</v>
      </c>
      <c r="E77" s="383" t="s">
        <v>306</v>
      </c>
      <c r="F77" s="384">
        <v>0</v>
      </c>
      <c r="G77" s="372">
        <v>468.63</v>
      </c>
      <c r="H77" s="372">
        <v>320.68</v>
      </c>
      <c r="I77" s="370"/>
      <c r="J77" s="370"/>
      <c r="K77" s="372">
        <v>0</v>
      </c>
      <c r="L77" s="372">
        <v>454.05</v>
      </c>
      <c r="M77" s="372">
        <v>331.12</v>
      </c>
      <c r="O77" s="367"/>
      <c r="P77" s="367"/>
    </row>
    <row r="78" spans="1:17" ht="15" thickBot="1" x14ac:dyDescent="0.35">
      <c r="A78" s="425"/>
      <c r="B78" s="427" t="s">
        <v>300</v>
      </c>
      <c r="C78" s="427" t="s">
        <v>309</v>
      </c>
      <c r="D78" s="427" t="s">
        <v>311</v>
      </c>
      <c r="E78" s="383" t="s">
        <v>302</v>
      </c>
      <c r="F78" s="384">
        <v>0</v>
      </c>
      <c r="G78" s="372">
        <v>1061.03</v>
      </c>
      <c r="H78" s="372">
        <v>484.48</v>
      </c>
      <c r="I78" s="370"/>
      <c r="J78" s="370"/>
      <c r="K78" s="372">
        <v>0</v>
      </c>
      <c r="L78" s="372">
        <v>1040.73</v>
      </c>
      <c r="M78" s="372">
        <v>492.47</v>
      </c>
      <c r="O78" s="367"/>
      <c r="P78" s="367"/>
    </row>
    <row r="79" spans="1:17" ht="15" thickBot="1" x14ac:dyDescent="0.35">
      <c r="A79" s="425"/>
      <c r="B79" s="428"/>
      <c r="C79" s="428"/>
      <c r="D79" s="428"/>
      <c r="E79" s="383" t="s">
        <v>303</v>
      </c>
      <c r="F79" s="384">
        <v>0</v>
      </c>
      <c r="G79" s="372">
        <v>725.34</v>
      </c>
      <c r="H79" s="372">
        <v>305.79000000000002</v>
      </c>
      <c r="I79" s="370"/>
      <c r="J79" s="370"/>
      <c r="K79" s="372">
        <v>0</v>
      </c>
      <c r="L79" s="372">
        <v>708.28</v>
      </c>
      <c r="M79" s="372">
        <v>316.45999999999998</v>
      </c>
      <c r="O79" s="367"/>
      <c r="P79" s="367"/>
    </row>
    <row r="80" spans="1:17" ht="15" thickBot="1" x14ac:dyDescent="0.35">
      <c r="A80" s="425"/>
      <c r="B80" s="429"/>
      <c r="C80" s="429"/>
      <c r="D80" s="429"/>
      <c r="E80" s="383" t="s">
        <v>304</v>
      </c>
      <c r="F80" s="384">
        <v>0</v>
      </c>
      <c r="G80" s="372">
        <v>389.65</v>
      </c>
      <c r="H80" s="372">
        <v>305.79000000000002</v>
      </c>
      <c r="I80" s="370"/>
      <c r="J80" s="370"/>
      <c r="K80" s="372">
        <v>0</v>
      </c>
      <c r="L80" s="372">
        <v>375.82</v>
      </c>
      <c r="M80" s="372">
        <v>316.45999999999998</v>
      </c>
      <c r="O80" s="367"/>
      <c r="P80" s="367"/>
    </row>
    <row r="81" spans="1:16" ht="15.75" customHeight="1" thickBot="1" x14ac:dyDescent="0.35">
      <c r="A81" s="425"/>
      <c r="B81" s="386" t="s">
        <v>307</v>
      </c>
      <c r="C81" s="386" t="s">
        <v>309</v>
      </c>
      <c r="D81" s="386" t="s">
        <v>311</v>
      </c>
      <c r="E81" s="383" t="s">
        <v>306</v>
      </c>
      <c r="F81" s="384">
        <v>0</v>
      </c>
      <c r="G81" s="372">
        <v>468.63</v>
      </c>
      <c r="H81" s="372">
        <v>320.68</v>
      </c>
      <c r="I81" s="370"/>
      <c r="J81" s="370"/>
      <c r="K81" s="372">
        <v>0</v>
      </c>
      <c r="L81" s="372">
        <v>454.05</v>
      </c>
      <c r="M81" s="372">
        <v>331.12</v>
      </c>
      <c r="O81" s="366"/>
      <c r="P81" s="367"/>
    </row>
    <row r="82" spans="1:16" ht="15" thickBot="1" x14ac:dyDescent="0.35">
      <c r="A82" s="425"/>
      <c r="B82" s="427" t="s">
        <v>300</v>
      </c>
      <c r="C82" s="427" t="s">
        <v>309</v>
      </c>
      <c r="D82" s="427" t="s">
        <v>312</v>
      </c>
      <c r="E82" s="383" t="s">
        <v>302</v>
      </c>
      <c r="F82" s="384">
        <v>0</v>
      </c>
      <c r="G82" s="372">
        <v>1061.03</v>
      </c>
      <c r="H82" s="372">
        <v>484.48</v>
      </c>
      <c r="I82" s="370"/>
      <c r="J82" s="370"/>
      <c r="K82" s="372">
        <v>0</v>
      </c>
      <c r="L82" s="372">
        <v>1040.73</v>
      </c>
      <c r="M82" s="372">
        <v>492.47</v>
      </c>
      <c r="O82" s="366"/>
      <c r="P82" s="367"/>
    </row>
    <row r="83" spans="1:16" ht="15" thickBot="1" x14ac:dyDescent="0.35">
      <c r="A83" s="425"/>
      <c r="B83" s="428"/>
      <c r="C83" s="428"/>
      <c r="D83" s="428"/>
      <c r="E83" s="383" t="s">
        <v>303</v>
      </c>
      <c r="F83" s="384">
        <v>0</v>
      </c>
      <c r="G83" s="372">
        <v>725.34</v>
      </c>
      <c r="H83" s="372">
        <v>305.79000000000002</v>
      </c>
      <c r="I83" s="370"/>
      <c r="J83" s="370"/>
      <c r="K83" s="372">
        <v>0</v>
      </c>
      <c r="L83" s="372">
        <v>708.28</v>
      </c>
      <c r="M83" s="372">
        <v>316.45999999999998</v>
      </c>
      <c r="O83" s="368"/>
      <c r="P83" s="367"/>
    </row>
    <row r="84" spans="1:16" ht="15" thickBot="1" x14ac:dyDescent="0.35">
      <c r="A84" s="425"/>
      <c r="B84" s="429"/>
      <c r="C84" s="429"/>
      <c r="D84" s="429"/>
      <c r="E84" s="383" t="s">
        <v>304</v>
      </c>
      <c r="F84" s="384">
        <v>0</v>
      </c>
      <c r="G84" s="372">
        <v>389.65</v>
      </c>
      <c r="H84" s="372">
        <v>305.79000000000002</v>
      </c>
      <c r="I84" s="370"/>
      <c r="J84" s="370"/>
      <c r="K84" s="372">
        <v>0</v>
      </c>
      <c r="L84" s="372">
        <v>375.82</v>
      </c>
      <c r="M84" s="372">
        <v>316.45999999999998</v>
      </c>
      <c r="O84" s="367"/>
      <c r="P84" s="367"/>
    </row>
    <row r="85" spans="1:16" ht="21" thickBot="1" x14ac:dyDescent="0.35">
      <c r="A85" s="426"/>
      <c r="B85" s="386" t="s">
        <v>307</v>
      </c>
      <c r="C85" s="386" t="s">
        <v>309</v>
      </c>
      <c r="D85" s="386" t="s">
        <v>312</v>
      </c>
      <c r="E85" s="383" t="s">
        <v>306</v>
      </c>
      <c r="F85" s="384">
        <v>0</v>
      </c>
      <c r="G85" s="372">
        <v>468.63</v>
      </c>
      <c r="H85" s="372">
        <v>320.68</v>
      </c>
      <c r="I85" s="370"/>
      <c r="J85" s="370"/>
      <c r="K85" s="372">
        <v>0</v>
      </c>
      <c r="L85" s="372">
        <v>454.05</v>
      </c>
      <c r="M85" s="372">
        <v>331.12</v>
      </c>
      <c r="O85" s="366"/>
      <c r="P85" s="367"/>
    </row>
    <row r="86" spans="1:16" ht="15" thickBot="1" x14ac:dyDescent="0.35">
      <c r="A86" s="424" t="s">
        <v>66</v>
      </c>
      <c r="B86" s="427" t="s">
        <v>300</v>
      </c>
      <c r="C86" s="427" t="s">
        <v>306</v>
      </c>
      <c r="D86" s="427" t="s">
        <v>306</v>
      </c>
      <c r="E86" s="383" t="s">
        <v>302</v>
      </c>
      <c r="F86" s="384">
        <v>0</v>
      </c>
      <c r="G86" s="372">
        <v>1061.03</v>
      </c>
      <c r="H86" s="372">
        <v>484.48</v>
      </c>
      <c r="I86" s="370"/>
      <c r="J86" s="370"/>
      <c r="K86" s="372">
        <v>0</v>
      </c>
      <c r="L86" s="372">
        <v>1040.73</v>
      </c>
      <c r="M86" s="372">
        <v>492.47</v>
      </c>
      <c r="O86" s="366"/>
      <c r="P86" s="367"/>
    </row>
    <row r="87" spans="1:16" ht="15" thickBot="1" x14ac:dyDescent="0.35">
      <c r="A87" s="425"/>
      <c r="B87" s="428"/>
      <c r="C87" s="428"/>
      <c r="D87" s="428"/>
      <c r="E87" s="383" t="s">
        <v>303</v>
      </c>
      <c r="F87" s="384">
        <v>0</v>
      </c>
      <c r="G87" s="372">
        <v>725.34</v>
      </c>
      <c r="H87" s="372">
        <v>305.79000000000002</v>
      </c>
      <c r="I87" s="370"/>
      <c r="J87" s="370"/>
      <c r="K87" s="372">
        <v>0</v>
      </c>
      <c r="L87" s="372">
        <v>708.28</v>
      </c>
      <c r="M87" s="372">
        <v>316.45999999999998</v>
      </c>
      <c r="O87" s="366"/>
      <c r="P87" s="367"/>
    </row>
    <row r="88" spans="1:16" ht="15" thickBot="1" x14ac:dyDescent="0.35">
      <c r="A88" s="425"/>
      <c r="B88" s="429"/>
      <c r="C88" s="429"/>
      <c r="D88" s="429"/>
      <c r="E88" s="383" t="s">
        <v>304</v>
      </c>
      <c r="F88" s="384">
        <v>0</v>
      </c>
      <c r="G88" s="372">
        <v>389.65</v>
      </c>
      <c r="H88" s="372">
        <v>305.79000000000002</v>
      </c>
      <c r="I88" s="370"/>
      <c r="J88" s="370"/>
      <c r="K88" s="372">
        <v>0</v>
      </c>
      <c r="L88" s="372">
        <v>375.82</v>
      </c>
      <c r="M88" s="372">
        <v>316.45999999999998</v>
      </c>
      <c r="O88" s="367"/>
      <c r="P88" s="367"/>
    </row>
    <row r="89" spans="1:16" ht="15" thickBot="1" x14ac:dyDescent="0.35">
      <c r="A89" s="426"/>
      <c r="B89" s="386" t="s">
        <v>307</v>
      </c>
      <c r="C89" s="386" t="s">
        <v>306</v>
      </c>
      <c r="D89" s="386" t="s">
        <v>306</v>
      </c>
      <c r="E89" s="383" t="s">
        <v>306</v>
      </c>
      <c r="F89" s="384">
        <v>0</v>
      </c>
      <c r="G89" s="372">
        <v>468.63</v>
      </c>
      <c r="H89" s="372">
        <v>320.68</v>
      </c>
      <c r="I89" s="370"/>
      <c r="J89" s="370"/>
      <c r="K89" s="372">
        <v>0</v>
      </c>
      <c r="L89" s="372">
        <v>454.05</v>
      </c>
      <c r="M89" s="372">
        <v>331.12</v>
      </c>
      <c r="O89" s="367"/>
      <c r="P89" s="367"/>
    </row>
    <row r="90" spans="1:16" ht="21" thickBot="1" x14ac:dyDescent="0.35">
      <c r="A90" s="424" t="s">
        <v>313</v>
      </c>
      <c r="B90" s="427" t="s">
        <v>307</v>
      </c>
      <c r="C90" s="427" t="s">
        <v>314</v>
      </c>
      <c r="D90" s="386" t="s">
        <v>364</v>
      </c>
      <c r="E90" s="383" t="s">
        <v>306</v>
      </c>
      <c r="F90" s="384">
        <v>0</v>
      </c>
      <c r="G90" s="372">
        <v>257.75</v>
      </c>
      <c r="H90" s="372">
        <v>176.38</v>
      </c>
      <c r="I90" s="370"/>
      <c r="J90" s="370"/>
      <c r="K90" s="372">
        <v>0</v>
      </c>
      <c r="L90" s="372">
        <v>249.73</v>
      </c>
      <c r="M90" s="372">
        <v>182.12</v>
      </c>
      <c r="O90" s="367"/>
      <c r="P90" s="367"/>
    </row>
    <row r="91" spans="1:16" ht="21" thickBot="1" x14ac:dyDescent="0.35">
      <c r="A91" s="426"/>
      <c r="B91" s="429"/>
      <c r="C91" s="429"/>
      <c r="D91" s="386" t="s">
        <v>365</v>
      </c>
      <c r="E91" s="383" t="s">
        <v>306</v>
      </c>
      <c r="F91" s="384">
        <v>0</v>
      </c>
      <c r="G91" s="372">
        <v>281.18</v>
      </c>
      <c r="H91" s="372">
        <v>192.41</v>
      </c>
      <c r="I91" s="370"/>
      <c r="J91" s="370"/>
      <c r="K91" s="372">
        <v>0</v>
      </c>
      <c r="L91" s="372">
        <v>272.43</v>
      </c>
      <c r="M91" s="372">
        <v>198.67</v>
      </c>
      <c r="O91" s="367"/>
      <c r="P91" s="367"/>
    </row>
  </sheetData>
  <mergeCells count="82"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B5:B6"/>
    <mergeCell ref="C5:C6"/>
    <mergeCell ref="B7:B8"/>
    <mergeCell ref="C7:C8"/>
    <mergeCell ref="A9:A27"/>
    <mergeCell ref="B9:B10"/>
    <mergeCell ref="C9:C10"/>
    <mergeCell ref="B11:B12"/>
    <mergeCell ref="C11:C12"/>
    <mergeCell ref="B13:B15"/>
    <mergeCell ref="C13:C15"/>
    <mergeCell ref="B16:B27"/>
    <mergeCell ref="A28:A35"/>
    <mergeCell ref="B28:B29"/>
    <mergeCell ref="C28:C29"/>
    <mergeCell ref="B30:B31"/>
    <mergeCell ref="C30:C31"/>
    <mergeCell ref="B32:B34"/>
    <mergeCell ref="C32:C34"/>
    <mergeCell ref="C59:C61"/>
    <mergeCell ref="A48:A62"/>
    <mergeCell ref="B48:B49"/>
    <mergeCell ref="C48:C49"/>
    <mergeCell ref="B50:B51"/>
    <mergeCell ref="C50:C51"/>
    <mergeCell ref="B52:B54"/>
    <mergeCell ref="C52:C54"/>
    <mergeCell ref="B55:B57"/>
    <mergeCell ref="C55:C57"/>
    <mergeCell ref="B59:B61"/>
    <mergeCell ref="A36:A47"/>
    <mergeCell ref="B36:B37"/>
    <mergeCell ref="C36:C37"/>
    <mergeCell ref="B38:B39"/>
    <mergeCell ref="C38:C39"/>
    <mergeCell ref="B40:B42"/>
    <mergeCell ref="C40:C42"/>
    <mergeCell ref="B43:B45"/>
    <mergeCell ref="C43:C45"/>
    <mergeCell ref="H66:J66"/>
    <mergeCell ref="A64:M64"/>
    <mergeCell ref="A65:A67"/>
    <mergeCell ref="B65:B67"/>
    <mergeCell ref="C65:C67"/>
    <mergeCell ref="D65:D67"/>
    <mergeCell ref="E65:E67"/>
    <mergeCell ref="F65:J65"/>
    <mergeCell ref="K65:M65"/>
    <mergeCell ref="F66:G66"/>
    <mergeCell ref="K66:L66"/>
    <mergeCell ref="A68:A73"/>
    <mergeCell ref="B71:B73"/>
    <mergeCell ref="C71:C73"/>
    <mergeCell ref="D82:D84"/>
    <mergeCell ref="B68:B70"/>
    <mergeCell ref="C68:C70"/>
    <mergeCell ref="D68:D70"/>
    <mergeCell ref="A74:A85"/>
    <mergeCell ref="B74:B76"/>
    <mergeCell ref="C74:C76"/>
    <mergeCell ref="D74:D76"/>
    <mergeCell ref="B78:B80"/>
    <mergeCell ref="C78:C80"/>
    <mergeCell ref="D78:D80"/>
    <mergeCell ref="B82:B84"/>
    <mergeCell ref="C82:C84"/>
    <mergeCell ref="A86:A89"/>
    <mergeCell ref="B86:B88"/>
    <mergeCell ref="C86:C88"/>
    <mergeCell ref="D86:D88"/>
    <mergeCell ref="A90:A91"/>
    <mergeCell ref="B90:B91"/>
    <mergeCell ref="C90:C9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046E-4ECF-46D2-B959-9AF715940B21}">
  <dimension ref="A1:Q93"/>
  <sheetViews>
    <sheetView topLeftCell="A63" workbookViewId="0">
      <selection activeCell="D13" sqref="D13"/>
    </sheetView>
  </sheetViews>
  <sheetFormatPr defaultColWidth="15" defaultRowHeight="14.4" x14ac:dyDescent="0.3"/>
  <cols>
    <col min="1" max="1" width="35.44140625" style="388" bestFit="1" customWidth="1"/>
    <col min="2" max="2" width="16" style="388" bestFit="1" customWidth="1"/>
    <col min="3" max="3" width="17.44140625" style="388" bestFit="1" customWidth="1"/>
    <col min="4" max="4" width="17.6640625" style="388" bestFit="1" customWidth="1"/>
    <col min="5" max="5" width="12.6640625" style="388" bestFit="1" customWidth="1"/>
    <col min="6" max="6" width="8.44140625" style="388" bestFit="1" customWidth="1"/>
    <col min="7" max="7" width="12" style="388" bestFit="1" customWidth="1"/>
    <col min="8" max="8" width="12.109375" style="388" bestFit="1" customWidth="1"/>
    <col min="9" max="9" width="12.44140625" style="388" bestFit="1" customWidth="1"/>
    <col min="10" max="10" width="12.33203125" style="388" bestFit="1" customWidth="1"/>
    <col min="11" max="11" width="8.44140625" style="388" bestFit="1" customWidth="1"/>
    <col min="12" max="12" width="7.6640625" style="388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433" t="s">
        <v>321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5"/>
    </row>
    <row r="2" spans="1:17" ht="15.75" customHeight="1" thickBot="1" x14ac:dyDescent="0.35">
      <c r="A2" s="448" t="s">
        <v>292</v>
      </c>
      <c r="B2" s="448" t="s">
        <v>293</v>
      </c>
      <c r="C2" s="448" t="s">
        <v>322</v>
      </c>
      <c r="D2" s="352" t="s">
        <v>296</v>
      </c>
      <c r="E2" s="451" t="s">
        <v>297</v>
      </c>
      <c r="F2" s="452"/>
      <c r="G2" s="452"/>
      <c r="H2" s="452"/>
      <c r="I2" s="453"/>
      <c r="J2" s="451" t="s">
        <v>323</v>
      </c>
      <c r="K2" s="452"/>
      <c r="L2" s="453"/>
      <c r="N2" s="353" t="s">
        <v>324</v>
      </c>
      <c r="O2" s="353" t="s">
        <v>325</v>
      </c>
      <c r="P2" s="353" t="s">
        <v>326</v>
      </c>
      <c r="Q2" s="353" t="s">
        <v>327</v>
      </c>
    </row>
    <row r="3" spans="1:17" ht="15" thickBot="1" x14ac:dyDescent="0.35">
      <c r="A3" s="449"/>
      <c r="B3" s="449"/>
      <c r="C3" s="449"/>
      <c r="D3" s="354"/>
      <c r="E3" s="451" t="s">
        <v>10</v>
      </c>
      <c r="F3" s="453"/>
      <c r="G3" s="451" t="s">
        <v>328</v>
      </c>
      <c r="H3" s="452"/>
      <c r="I3" s="453"/>
      <c r="J3" s="451" t="s">
        <v>10</v>
      </c>
      <c r="K3" s="453"/>
      <c r="L3" s="354" t="s">
        <v>9</v>
      </c>
      <c r="N3" s="355" t="s">
        <v>329</v>
      </c>
      <c r="O3" s="356" t="s">
        <v>330</v>
      </c>
      <c r="P3" s="356" t="s">
        <v>331</v>
      </c>
      <c r="Q3" s="357">
        <v>2026</v>
      </c>
    </row>
    <row r="4" spans="1:17" ht="15" thickBot="1" x14ac:dyDescent="0.35">
      <c r="A4" s="450"/>
      <c r="B4" s="450"/>
      <c r="C4" s="450"/>
      <c r="D4" s="354"/>
      <c r="E4" s="354" t="s">
        <v>298</v>
      </c>
      <c r="F4" s="354" t="s">
        <v>299</v>
      </c>
      <c r="G4" s="358" t="s">
        <v>332</v>
      </c>
      <c r="H4" s="359" t="s">
        <v>333</v>
      </c>
      <c r="I4" s="360" t="s">
        <v>334</v>
      </c>
      <c r="J4" s="354" t="s">
        <v>298</v>
      </c>
      <c r="K4" s="354" t="s">
        <v>299</v>
      </c>
      <c r="L4" s="354" t="s">
        <v>299</v>
      </c>
      <c r="N4" s="355" t="s">
        <v>335</v>
      </c>
      <c r="O4" s="361" t="s">
        <v>366</v>
      </c>
      <c r="P4" s="361" t="s">
        <v>367</v>
      </c>
      <c r="Q4" s="362">
        <v>9999</v>
      </c>
    </row>
    <row r="5" spans="1:17" ht="15" thickBot="1" x14ac:dyDescent="0.35">
      <c r="A5" s="363"/>
      <c r="B5" s="442" t="s">
        <v>337</v>
      </c>
      <c r="C5" s="442" t="s">
        <v>306</v>
      </c>
      <c r="D5" s="364" t="s">
        <v>302</v>
      </c>
      <c r="E5" s="365"/>
      <c r="F5" s="365"/>
      <c r="G5" s="365"/>
      <c r="H5" s="365"/>
      <c r="I5" s="365"/>
      <c r="J5" s="365"/>
      <c r="K5" s="365"/>
      <c r="L5" s="365"/>
      <c r="M5" s="366"/>
      <c r="N5" s="367"/>
      <c r="O5" s="367"/>
    </row>
    <row r="6" spans="1:17" ht="15" thickBot="1" x14ac:dyDescent="0.35">
      <c r="A6" s="363" t="s">
        <v>338</v>
      </c>
      <c r="B6" s="443"/>
      <c r="C6" s="443"/>
      <c r="D6" s="364" t="s">
        <v>304</v>
      </c>
      <c r="E6" s="365"/>
      <c r="F6" s="365"/>
      <c r="G6" s="365"/>
      <c r="H6" s="365"/>
      <c r="I6" s="365"/>
      <c r="J6" s="365"/>
      <c r="K6" s="365"/>
      <c r="L6" s="365"/>
      <c r="M6" s="366"/>
      <c r="N6" s="367"/>
      <c r="O6" s="367"/>
    </row>
    <row r="7" spans="1:17" ht="15" thickBot="1" x14ac:dyDescent="0.35">
      <c r="A7" s="363"/>
      <c r="B7" s="442" t="s">
        <v>339</v>
      </c>
      <c r="C7" s="442" t="s">
        <v>306</v>
      </c>
      <c r="D7" s="364" t="s">
        <v>302</v>
      </c>
      <c r="E7" s="365"/>
      <c r="F7" s="365"/>
      <c r="G7" s="365"/>
      <c r="H7" s="365"/>
      <c r="I7" s="365"/>
      <c r="J7" s="365"/>
      <c r="K7" s="365"/>
      <c r="L7" s="365"/>
      <c r="M7" s="368"/>
      <c r="N7" s="367"/>
      <c r="O7" s="367"/>
    </row>
    <row r="8" spans="1:17" ht="15" thickBot="1" x14ac:dyDescent="0.35">
      <c r="A8" s="363"/>
      <c r="B8" s="443"/>
      <c r="C8" s="443"/>
      <c r="D8" s="364" t="s">
        <v>304</v>
      </c>
      <c r="E8" s="365"/>
      <c r="F8" s="365"/>
      <c r="G8" s="365"/>
      <c r="H8" s="365"/>
      <c r="I8" s="365"/>
      <c r="J8" s="365"/>
      <c r="K8" s="365"/>
      <c r="L8" s="365"/>
      <c r="M8" s="367"/>
      <c r="N8" s="367"/>
      <c r="O8" s="367"/>
    </row>
    <row r="9" spans="1:17" ht="15.75" customHeight="1" thickBot="1" x14ac:dyDescent="0.35">
      <c r="A9" s="424" t="s">
        <v>340</v>
      </c>
      <c r="B9" s="442" t="s">
        <v>337</v>
      </c>
      <c r="C9" s="442" t="s">
        <v>306</v>
      </c>
      <c r="D9" s="364" t="s">
        <v>302</v>
      </c>
      <c r="E9" s="369"/>
      <c r="F9" s="369"/>
      <c r="G9" s="369"/>
      <c r="H9" s="370"/>
      <c r="I9" s="370"/>
      <c r="J9" s="369"/>
      <c r="K9" s="369"/>
      <c r="L9" s="369"/>
      <c r="M9" s="366"/>
      <c r="N9" s="367"/>
      <c r="O9" s="367"/>
    </row>
    <row r="10" spans="1:17" ht="15" thickBot="1" x14ac:dyDescent="0.35">
      <c r="A10" s="425"/>
      <c r="B10" s="443"/>
      <c r="C10" s="443"/>
      <c r="D10" s="364" t="s">
        <v>304</v>
      </c>
      <c r="E10" s="369"/>
      <c r="F10" s="369"/>
      <c r="G10" s="369"/>
      <c r="H10" s="370"/>
      <c r="I10" s="370"/>
      <c r="J10" s="369"/>
      <c r="K10" s="369"/>
      <c r="L10" s="369"/>
      <c r="M10" s="366"/>
      <c r="N10" s="371"/>
      <c r="O10" s="371"/>
    </row>
    <row r="11" spans="1:17" ht="15" thickBot="1" x14ac:dyDescent="0.35">
      <c r="A11" s="425"/>
      <c r="B11" s="442" t="s">
        <v>339</v>
      </c>
      <c r="C11" s="442" t="s">
        <v>306</v>
      </c>
      <c r="D11" s="364" t="s">
        <v>302</v>
      </c>
      <c r="E11" s="369"/>
      <c r="F11" s="369"/>
      <c r="G11" s="369"/>
      <c r="H11" s="370"/>
      <c r="I11" s="370"/>
      <c r="J11" s="369"/>
      <c r="K11" s="369"/>
      <c r="L11" s="369"/>
      <c r="M11" s="366"/>
      <c r="N11" s="367"/>
      <c r="O11" s="367"/>
    </row>
    <row r="12" spans="1:17" ht="15" thickBot="1" x14ac:dyDescent="0.35">
      <c r="A12" s="425"/>
      <c r="B12" s="443"/>
      <c r="C12" s="443"/>
      <c r="D12" s="364" t="s">
        <v>304</v>
      </c>
      <c r="E12" s="369"/>
      <c r="F12" s="369"/>
      <c r="G12" s="369"/>
      <c r="H12" s="370"/>
      <c r="I12" s="370"/>
      <c r="J12" s="369"/>
      <c r="K12" s="369"/>
      <c r="L12" s="369"/>
      <c r="M12" s="367"/>
    </row>
    <row r="13" spans="1:17" ht="15" thickBot="1" x14ac:dyDescent="0.35">
      <c r="A13" s="425"/>
      <c r="B13" s="442" t="s">
        <v>341</v>
      </c>
      <c r="C13" s="442" t="s">
        <v>342</v>
      </c>
      <c r="D13" s="364" t="s">
        <v>302</v>
      </c>
      <c r="E13" s="372"/>
      <c r="F13" s="372"/>
      <c r="G13" s="372"/>
      <c r="H13" s="370"/>
      <c r="I13" s="370"/>
      <c r="J13" s="372"/>
      <c r="K13" s="372"/>
      <c r="L13" s="372"/>
    </row>
    <row r="14" spans="1:17" ht="15" thickBot="1" x14ac:dyDescent="0.35">
      <c r="A14" s="425"/>
      <c r="B14" s="444"/>
      <c r="C14" s="444"/>
      <c r="D14" s="364" t="s">
        <v>304</v>
      </c>
      <c r="E14" s="372"/>
      <c r="F14" s="372"/>
      <c r="G14" s="372"/>
      <c r="H14" s="370"/>
      <c r="I14" s="370"/>
      <c r="J14" s="372"/>
      <c r="K14" s="372"/>
      <c r="L14" s="372"/>
    </row>
    <row r="15" spans="1:17" ht="15" thickBot="1" x14ac:dyDescent="0.35">
      <c r="A15" s="425"/>
      <c r="B15" s="443"/>
      <c r="C15" s="443"/>
      <c r="D15" s="364" t="s">
        <v>306</v>
      </c>
      <c r="E15" s="372"/>
      <c r="F15" s="372"/>
      <c r="G15" s="372"/>
      <c r="H15" s="370"/>
      <c r="I15" s="370"/>
      <c r="J15" s="372"/>
      <c r="K15" s="372"/>
      <c r="L15" s="372"/>
      <c r="M15" s="373"/>
    </row>
    <row r="16" spans="1:17" ht="15" thickBot="1" x14ac:dyDescent="0.35">
      <c r="A16" s="425"/>
      <c r="B16" s="442" t="s">
        <v>318</v>
      </c>
      <c r="C16" s="345" t="s">
        <v>343</v>
      </c>
      <c r="D16" s="364" t="s">
        <v>306</v>
      </c>
      <c r="E16" s="374"/>
      <c r="F16" s="369"/>
      <c r="G16" s="369"/>
      <c r="H16" s="370"/>
      <c r="I16" s="370"/>
      <c r="J16" s="374"/>
      <c r="K16" s="369"/>
      <c r="L16" s="375"/>
      <c r="M16" s="373"/>
      <c r="N16" s="367"/>
    </row>
    <row r="17" spans="1:15" ht="15" thickBot="1" x14ac:dyDescent="0.35">
      <c r="A17" s="425"/>
      <c r="B17" s="444"/>
      <c r="C17" s="345" t="s">
        <v>344</v>
      </c>
      <c r="D17" s="364" t="s">
        <v>306</v>
      </c>
      <c r="E17" s="374"/>
      <c r="F17" s="369"/>
      <c r="G17" s="369"/>
      <c r="H17" s="370"/>
      <c r="I17" s="370"/>
      <c r="J17" s="372"/>
      <c r="K17" s="369"/>
      <c r="L17" s="369"/>
      <c r="M17" s="367"/>
      <c r="N17" s="367"/>
      <c r="O17" s="367"/>
    </row>
    <row r="18" spans="1:15" ht="15" thickBot="1" x14ac:dyDescent="0.35">
      <c r="A18" s="425"/>
      <c r="B18" s="444"/>
      <c r="C18" s="345" t="s">
        <v>345</v>
      </c>
      <c r="D18" s="364" t="s">
        <v>306</v>
      </c>
      <c r="E18" s="374"/>
      <c r="F18" s="369"/>
      <c r="G18" s="369"/>
      <c r="H18" s="370"/>
      <c r="I18" s="370"/>
      <c r="J18" s="374"/>
      <c r="K18" s="369"/>
      <c r="L18" s="369"/>
      <c r="N18" s="367"/>
      <c r="O18" s="367"/>
    </row>
    <row r="19" spans="1:15" ht="15" thickBot="1" x14ac:dyDescent="0.35">
      <c r="A19" s="425"/>
      <c r="B19" s="444"/>
      <c r="C19" s="345" t="s">
        <v>346</v>
      </c>
      <c r="D19" s="364" t="s">
        <v>306</v>
      </c>
      <c r="E19" s="372"/>
      <c r="F19" s="369"/>
      <c r="G19" s="369"/>
      <c r="H19" s="370"/>
      <c r="I19" s="370"/>
      <c r="J19" s="374"/>
      <c r="K19" s="369"/>
      <c r="L19" s="369"/>
      <c r="N19" s="367"/>
      <c r="O19" s="367"/>
    </row>
    <row r="20" spans="1:15" ht="15" thickBot="1" x14ac:dyDescent="0.35">
      <c r="A20" s="425"/>
      <c r="B20" s="444"/>
      <c r="C20" s="345" t="s">
        <v>347</v>
      </c>
      <c r="D20" s="364" t="s">
        <v>306</v>
      </c>
      <c r="E20" s="372"/>
      <c r="F20" s="369"/>
      <c r="G20" s="369"/>
      <c r="H20" s="370"/>
      <c r="I20" s="370"/>
      <c r="J20" s="374"/>
      <c r="K20" s="369"/>
      <c r="L20" s="369"/>
      <c r="N20" s="367"/>
      <c r="O20" s="367"/>
    </row>
    <row r="21" spans="1:15" ht="15" thickBot="1" x14ac:dyDescent="0.35">
      <c r="A21" s="425"/>
      <c r="B21" s="444"/>
      <c r="C21" s="345" t="s">
        <v>348</v>
      </c>
      <c r="D21" s="364" t="s">
        <v>306</v>
      </c>
      <c r="E21" s="372"/>
      <c r="F21" s="369"/>
      <c r="G21" s="369"/>
      <c r="H21" s="370"/>
      <c r="I21" s="370"/>
      <c r="J21" s="374"/>
      <c r="K21" s="369"/>
      <c r="L21" s="369"/>
      <c r="N21" s="367"/>
      <c r="O21" s="367"/>
    </row>
    <row r="22" spans="1:15" ht="15" thickBot="1" x14ac:dyDescent="0.35">
      <c r="A22" s="425"/>
      <c r="B22" s="444"/>
      <c r="C22" s="345" t="s">
        <v>349</v>
      </c>
      <c r="D22" s="364" t="s">
        <v>306</v>
      </c>
      <c r="E22" s="372"/>
      <c r="F22" s="369"/>
      <c r="G22" s="369"/>
      <c r="H22" s="370"/>
      <c r="I22" s="370"/>
      <c r="J22" s="374"/>
      <c r="K22" s="369"/>
      <c r="L22" s="369"/>
      <c r="N22" s="367"/>
      <c r="O22" s="367"/>
    </row>
    <row r="23" spans="1:15" ht="15" thickBot="1" x14ac:dyDescent="0.35">
      <c r="A23" s="425"/>
      <c r="B23" s="444"/>
      <c r="C23" s="345" t="s">
        <v>350</v>
      </c>
      <c r="D23" s="364" t="s">
        <v>306</v>
      </c>
      <c r="E23" s="372"/>
      <c r="F23" s="369"/>
      <c r="G23" s="369"/>
      <c r="H23" s="370"/>
      <c r="I23" s="370"/>
      <c r="J23" s="374"/>
      <c r="K23" s="369"/>
      <c r="L23" s="369"/>
      <c r="N23" s="367"/>
      <c r="O23" s="367"/>
    </row>
    <row r="24" spans="1:15" ht="15" thickBot="1" x14ac:dyDescent="0.35">
      <c r="A24" s="425"/>
      <c r="B24" s="444"/>
      <c r="C24" s="345" t="s">
        <v>351</v>
      </c>
      <c r="D24" s="364" t="s">
        <v>306</v>
      </c>
      <c r="E24" s="374"/>
      <c r="F24" s="369"/>
      <c r="G24" s="369"/>
      <c r="H24" s="370"/>
      <c r="I24" s="370"/>
      <c r="J24" s="374"/>
      <c r="K24" s="369"/>
      <c r="L24" s="369"/>
      <c r="N24" s="367"/>
      <c r="O24" s="367"/>
    </row>
    <row r="25" spans="1:15" ht="15" thickBot="1" x14ac:dyDescent="0.35">
      <c r="A25" s="425"/>
      <c r="B25" s="444"/>
      <c r="C25" s="345" t="s">
        <v>352</v>
      </c>
      <c r="D25" s="364" t="s">
        <v>306</v>
      </c>
      <c r="E25" s="374"/>
      <c r="F25" s="369"/>
      <c r="G25" s="369"/>
      <c r="H25" s="370"/>
      <c r="I25" s="370"/>
      <c r="J25" s="374"/>
      <c r="K25" s="369"/>
      <c r="L25" s="369"/>
      <c r="N25" s="367"/>
      <c r="O25" s="367"/>
    </row>
    <row r="26" spans="1:15" ht="15" thickBot="1" x14ac:dyDescent="0.35">
      <c r="A26" s="425"/>
      <c r="B26" s="444"/>
      <c r="C26" s="345" t="s">
        <v>368</v>
      </c>
      <c r="D26" s="364" t="s">
        <v>306</v>
      </c>
      <c r="E26" s="372"/>
      <c r="F26" s="369"/>
      <c r="G26" s="369"/>
      <c r="H26" s="370"/>
      <c r="I26" s="370"/>
      <c r="J26" s="374"/>
      <c r="K26" s="369"/>
      <c r="L26" s="369"/>
      <c r="N26" s="367"/>
      <c r="O26" s="367"/>
    </row>
    <row r="27" spans="1:15" ht="15" thickBot="1" x14ac:dyDescent="0.35">
      <c r="A27" s="425"/>
      <c r="B27" s="444"/>
      <c r="C27" s="345" t="s">
        <v>353</v>
      </c>
      <c r="D27" s="364" t="s">
        <v>306</v>
      </c>
      <c r="E27" s="374"/>
      <c r="F27" s="369"/>
      <c r="G27" s="369"/>
      <c r="H27" s="370"/>
      <c r="I27" s="370"/>
      <c r="J27" s="374"/>
      <c r="K27" s="369"/>
      <c r="L27" s="369"/>
      <c r="N27" s="367"/>
      <c r="O27" s="367"/>
    </row>
    <row r="28" spans="1:15" ht="15" thickBot="1" x14ac:dyDescent="0.35">
      <c r="A28" s="425"/>
      <c r="B28" s="444"/>
      <c r="C28" s="345" t="s">
        <v>369</v>
      </c>
      <c r="D28" s="364" t="s">
        <v>306</v>
      </c>
      <c r="E28" s="374"/>
      <c r="F28" s="369"/>
      <c r="G28" s="369"/>
      <c r="H28" s="370"/>
      <c r="I28" s="370"/>
      <c r="J28" s="374"/>
      <c r="K28" s="369"/>
      <c r="L28" s="369"/>
      <c r="N28" s="367"/>
      <c r="O28" s="367"/>
    </row>
    <row r="29" spans="1:15" ht="15" thickBot="1" x14ac:dyDescent="0.35">
      <c r="A29" s="426"/>
      <c r="B29" s="443"/>
      <c r="C29" s="345" t="s">
        <v>354</v>
      </c>
      <c r="D29" s="364" t="s">
        <v>306</v>
      </c>
      <c r="E29" s="374"/>
      <c r="F29" s="369"/>
      <c r="G29" s="369"/>
      <c r="H29" s="370"/>
      <c r="I29" s="370"/>
      <c r="J29" s="374"/>
      <c r="K29" s="369"/>
      <c r="L29" s="369"/>
      <c r="N29" s="367"/>
      <c r="O29" s="367"/>
    </row>
    <row r="30" spans="1:15" ht="15.75" customHeight="1" thickBot="1" x14ac:dyDescent="0.35">
      <c r="A30" s="424" t="s">
        <v>355</v>
      </c>
      <c r="B30" s="442" t="s">
        <v>337</v>
      </c>
      <c r="C30" s="442" t="s">
        <v>306</v>
      </c>
      <c r="D30" s="364" t="s">
        <v>302</v>
      </c>
      <c r="E30" s="372"/>
      <c r="F30" s="372"/>
      <c r="G30" s="372"/>
      <c r="H30" s="370"/>
      <c r="I30" s="370"/>
      <c r="J30" s="372"/>
      <c r="K30" s="372"/>
      <c r="L30" s="372"/>
      <c r="N30" s="367"/>
      <c r="O30" s="367"/>
    </row>
    <row r="31" spans="1:15" ht="15" thickBot="1" x14ac:dyDescent="0.35">
      <c r="A31" s="425"/>
      <c r="B31" s="443"/>
      <c r="C31" s="443"/>
      <c r="D31" s="364" t="s">
        <v>304</v>
      </c>
      <c r="E31" s="372"/>
      <c r="F31" s="372"/>
      <c r="G31" s="372"/>
      <c r="H31" s="370"/>
      <c r="I31" s="370"/>
      <c r="J31" s="372"/>
      <c r="K31" s="372"/>
      <c r="L31" s="372"/>
      <c r="N31" s="367"/>
      <c r="O31" s="367"/>
    </row>
    <row r="32" spans="1:15" ht="15" thickBot="1" x14ac:dyDescent="0.35">
      <c r="A32" s="425"/>
      <c r="B32" s="442" t="s">
        <v>339</v>
      </c>
      <c r="C32" s="442" t="s">
        <v>306</v>
      </c>
      <c r="D32" s="364" t="s">
        <v>302</v>
      </c>
      <c r="E32" s="372"/>
      <c r="F32" s="372"/>
      <c r="G32" s="369"/>
      <c r="H32" s="370"/>
      <c r="I32" s="370"/>
      <c r="J32" s="372"/>
      <c r="K32" s="372"/>
      <c r="L32" s="369"/>
      <c r="N32" s="367"/>
      <c r="O32" s="367"/>
    </row>
    <row r="33" spans="1:15" ht="15" thickBot="1" x14ac:dyDescent="0.35">
      <c r="A33" s="425"/>
      <c r="B33" s="443"/>
      <c r="C33" s="443"/>
      <c r="D33" s="364" t="s">
        <v>304</v>
      </c>
      <c r="E33" s="372"/>
      <c r="F33" s="372"/>
      <c r="G33" s="369"/>
      <c r="H33" s="370"/>
      <c r="I33" s="370"/>
      <c r="J33" s="372"/>
      <c r="K33" s="372"/>
      <c r="L33" s="369"/>
      <c r="N33" s="367"/>
      <c r="O33" s="367"/>
    </row>
    <row r="34" spans="1:15" ht="15" thickBot="1" x14ac:dyDescent="0.35">
      <c r="A34" s="425"/>
      <c r="B34" s="442" t="s">
        <v>341</v>
      </c>
      <c r="C34" s="442"/>
      <c r="D34" s="364" t="s">
        <v>302</v>
      </c>
      <c r="E34" s="372"/>
      <c r="F34" s="372"/>
      <c r="G34" s="372"/>
      <c r="H34" s="370"/>
      <c r="I34" s="370"/>
      <c r="J34" s="372"/>
      <c r="K34" s="372"/>
      <c r="L34" s="372"/>
      <c r="N34" s="367"/>
      <c r="O34" s="367"/>
    </row>
    <row r="35" spans="1:15" ht="15" thickBot="1" x14ac:dyDescent="0.35">
      <c r="A35" s="425"/>
      <c r="B35" s="444"/>
      <c r="C35" s="444"/>
      <c r="D35" s="364" t="s">
        <v>304</v>
      </c>
      <c r="E35" s="372"/>
      <c r="F35" s="372"/>
      <c r="G35" s="372"/>
      <c r="H35" s="370"/>
      <c r="I35" s="370"/>
      <c r="J35" s="372"/>
      <c r="K35" s="372"/>
      <c r="L35" s="372"/>
      <c r="N35" s="367"/>
      <c r="O35" s="367"/>
    </row>
    <row r="36" spans="1:15" ht="15" thickBot="1" x14ac:dyDescent="0.35">
      <c r="A36" s="425"/>
      <c r="B36" s="443"/>
      <c r="C36" s="443"/>
      <c r="D36" s="364" t="s">
        <v>306</v>
      </c>
      <c r="E36" s="372"/>
      <c r="F36" s="372"/>
      <c r="G36" s="372"/>
      <c r="H36" s="370"/>
      <c r="I36" s="370"/>
      <c r="J36" s="372"/>
      <c r="K36" s="372"/>
      <c r="L36" s="372"/>
      <c r="N36" s="367"/>
      <c r="O36" s="367"/>
    </row>
    <row r="37" spans="1:15" ht="15" thickBot="1" x14ac:dyDescent="0.35">
      <c r="A37" s="426"/>
      <c r="B37" s="364" t="s">
        <v>318</v>
      </c>
      <c r="C37" s="364" t="s">
        <v>306</v>
      </c>
      <c r="D37" s="364" t="s">
        <v>306</v>
      </c>
      <c r="E37" s="372"/>
      <c r="F37" s="372"/>
      <c r="G37" s="372"/>
      <c r="H37" s="370"/>
      <c r="I37" s="370"/>
      <c r="J37" s="372"/>
      <c r="K37" s="372"/>
      <c r="L37" s="372"/>
      <c r="N37" s="367"/>
      <c r="O37" s="367"/>
    </row>
    <row r="38" spans="1:15" ht="15.75" customHeight="1" thickBot="1" x14ac:dyDescent="0.35">
      <c r="A38" s="424" t="s">
        <v>356</v>
      </c>
      <c r="B38" s="442" t="s">
        <v>337</v>
      </c>
      <c r="C38" s="442" t="s">
        <v>306</v>
      </c>
      <c r="D38" s="364" t="s">
        <v>302</v>
      </c>
      <c r="E38" s="372"/>
      <c r="F38" s="372"/>
      <c r="G38" s="372"/>
      <c r="H38" s="370"/>
      <c r="I38" s="370"/>
      <c r="J38" s="372"/>
      <c r="K38" s="372"/>
      <c r="L38" s="372"/>
      <c r="M38" s="366"/>
      <c r="N38" s="367"/>
      <c r="O38" s="367"/>
    </row>
    <row r="39" spans="1:15" ht="15" thickBot="1" x14ac:dyDescent="0.35">
      <c r="A39" s="425"/>
      <c r="B39" s="443"/>
      <c r="C39" s="443"/>
      <c r="D39" s="364" t="s">
        <v>304</v>
      </c>
      <c r="E39" s="372"/>
      <c r="F39" s="372"/>
      <c r="G39" s="372"/>
      <c r="H39" s="370"/>
      <c r="I39" s="370"/>
      <c r="J39" s="372"/>
      <c r="K39" s="372"/>
      <c r="L39" s="372"/>
      <c r="M39" s="366"/>
      <c r="N39" s="367"/>
      <c r="O39" s="367"/>
    </row>
    <row r="40" spans="1:15" ht="15" thickBot="1" x14ac:dyDescent="0.35">
      <c r="A40" s="425"/>
      <c r="B40" s="442" t="s">
        <v>339</v>
      </c>
      <c r="C40" s="442" t="s">
        <v>306</v>
      </c>
      <c r="D40" s="364" t="s">
        <v>302</v>
      </c>
      <c r="E40" s="372"/>
      <c r="F40" s="372"/>
      <c r="G40" s="372"/>
      <c r="H40" s="370"/>
      <c r="I40" s="370"/>
      <c r="J40" s="372"/>
      <c r="K40" s="372"/>
      <c r="L40" s="372"/>
      <c r="M40" s="368"/>
      <c r="N40" s="367"/>
      <c r="O40" s="367"/>
    </row>
    <row r="41" spans="1:15" ht="15" thickBot="1" x14ac:dyDescent="0.35">
      <c r="A41" s="425"/>
      <c r="B41" s="443"/>
      <c r="C41" s="443"/>
      <c r="D41" s="364" t="s">
        <v>304</v>
      </c>
      <c r="E41" s="372"/>
      <c r="F41" s="372"/>
      <c r="G41" s="372"/>
      <c r="H41" s="370"/>
      <c r="I41" s="370"/>
      <c r="J41" s="372"/>
      <c r="K41" s="372"/>
      <c r="L41" s="372"/>
      <c r="M41" s="367"/>
      <c r="N41" s="367"/>
      <c r="O41" s="367"/>
    </row>
    <row r="42" spans="1:15" ht="15" thickBot="1" x14ac:dyDescent="0.35">
      <c r="A42" s="425"/>
      <c r="B42" s="442" t="s">
        <v>13</v>
      </c>
      <c r="C42" s="442" t="s">
        <v>306</v>
      </c>
      <c r="D42" s="364" t="s">
        <v>306</v>
      </c>
      <c r="E42" s="372"/>
      <c r="F42" s="372"/>
      <c r="G42" s="372"/>
      <c r="H42" s="370"/>
      <c r="I42" s="370"/>
      <c r="J42" s="372"/>
      <c r="K42" s="372"/>
      <c r="L42" s="372"/>
      <c r="M42" s="366"/>
      <c r="N42" s="367"/>
      <c r="O42" s="367"/>
    </row>
    <row r="43" spans="1:15" ht="15" thickBot="1" x14ac:dyDescent="0.35">
      <c r="A43" s="425"/>
      <c r="B43" s="444"/>
      <c r="C43" s="444"/>
      <c r="D43" s="364" t="s">
        <v>302</v>
      </c>
      <c r="E43" s="372"/>
      <c r="F43" s="372"/>
      <c r="G43" s="372"/>
      <c r="H43" s="370"/>
      <c r="I43" s="370"/>
      <c r="J43" s="372"/>
      <c r="K43" s="372"/>
      <c r="L43" s="372"/>
      <c r="M43" s="366"/>
      <c r="N43" s="367"/>
      <c r="O43" s="367"/>
    </row>
    <row r="44" spans="1:15" ht="15" thickBot="1" x14ac:dyDescent="0.35">
      <c r="A44" s="425"/>
      <c r="B44" s="443"/>
      <c r="C44" s="443"/>
      <c r="D44" s="364" t="s">
        <v>304</v>
      </c>
      <c r="E44" s="372"/>
      <c r="F44" s="372"/>
      <c r="G44" s="372"/>
      <c r="H44" s="370"/>
      <c r="I44" s="370"/>
      <c r="J44" s="372"/>
      <c r="K44" s="372"/>
      <c r="L44" s="372"/>
      <c r="M44" s="366"/>
      <c r="N44" s="367"/>
      <c r="O44" s="367"/>
    </row>
    <row r="45" spans="1:15" ht="15" thickBot="1" x14ac:dyDescent="0.35">
      <c r="A45" s="425"/>
      <c r="B45" s="442" t="s">
        <v>357</v>
      </c>
      <c r="C45" s="442" t="s">
        <v>306</v>
      </c>
      <c r="D45" s="364" t="s">
        <v>306</v>
      </c>
      <c r="E45" s="372"/>
      <c r="F45" s="372"/>
      <c r="G45" s="372"/>
      <c r="H45" s="370"/>
      <c r="I45" s="370"/>
      <c r="J45" s="372"/>
      <c r="K45" s="372"/>
      <c r="L45" s="372"/>
      <c r="M45" s="367"/>
      <c r="N45" s="367"/>
      <c r="O45" s="367"/>
    </row>
    <row r="46" spans="1:15" ht="15" thickBot="1" x14ac:dyDescent="0.35">
      <c r="A46" s="425"/>
      <c r="B46" s="444"/>
      <c r="C46" s="444"/>
      <c r="D46" s="364" t="s">
        <v>302</v>
      </c>
      <c r="E46" s="372"/>
      <c r="F46" s="372"/>
      <c r="G46" s="372"/>
      <c r="H46" s="370"/>
      <c r="I46" s="370"/>
      <c r="J46" s="372"/>
      <c r="K46" s="372"/>
      <c r="L46" s="372"/>
      <c r="N46" s="367"/>
      <c r="O46" s="367"/>
    </row>
    <row r="47" spans="1:15" ht="15" thickBot="1" x14ac:dyDescent="0.35">
      <c r="A47" s="425"/>
      <c r="B47" s="443"/>
      <c r="C47" s="443"/>
      <c r="D47" s="364" t="s">
        <v>304</v>
      </c>
      <c r="E47" s="372"/>
      <c r="F47" s="372"/>
      <c r="G47" s="372"/>
      <c r="H47" s="370"/>
      <c r="I47" s="370"/>
      <c r="J47" s="372"/>
      <c r="K47" s="372"/>
      <c r="L47" s="372"/>
      <c r="N47" s="367"/>
      <c r="O47" s="367"/>
    </row>
    <row r="48" spans="1:15" ht="15" thickBot="1" x14ac:dyDescent="0.35">
      <c r="A48" s="425"/>
      <c r="B48" s="376" t="s">
        <v>307</v>
      </c>
      <c r="C48" s="376" t="s">
        <v>306</v>
      </c>
      <c r="D48" s="376" t="s">
        <v>306</v>
      </c>
      <c r="E48" s="372"/>
      <c r="F48" s="369"/>
      <c r="G48" s="369"/>
      <c r="H48" s="370"/>
      <c r="I48" s="370"/>
      <c r="J48" s="372"/>
      <c r="K48" s="372"/>
      <c r="L48" s="372"/>
      <c r="N48" s="367"/>
      <c r="O48" s="367"/>
    </row>
    <row r="49" spans="1:15" ht="15" thickBot="1" x14ac:dyDescent="0.35">
      <c r="A49" s="426"/>
      <c r="B49" s="364" t="s">
        <v>318</v>
      </c>
      <c r="C49" s="364" t="s">
        <v>306</v>
      </c>
      <c r="D49" s="364" t="s">
        <v>306</v>
      </c>
      <c r="E49" s="372"/>
      <c r="F49" s="372"/>
      <c r="G49" s="372"/>
      <c r="H49" s="370"/>
      <c r="I49" s="370"/>
      <c r="J49" s="372"/>
      <c r="K49" s="372"/>
      <c r="L49" s="372"/>
      <c r="N49" s="367"/>
      <c r="O49" s="367"/>
    </row>
    <row r="50" spans="1:15" ht="15.75" customHeight="1" thickBot="1" x14ac:dyDescent="0.35">
      <c r="A50" s="424" t="s">
        <v>358</v>
      </c>
      <c r="B50" s="442" t="s">
        <v>337</v>
      </c>
      <c r="C50" s="442" t="s">
        <v>306</v>
      </c>
      <c r="D50" s="364" t="s">
        <v>302</v>
      </c>
      <c r="E50" s="372"/>
      <c r="F50" s="372"/>
      <c r="G50" s="372"/>
      <c r="H50" s="370"/>
      <c r="I50" s="370"/>
      <c r="J50" s="372"/>
      <c r="K50" s="372"/>
      <c r="L50" s="372"/>
      <c r="N50" s="367"/>
      <c r="O50" s="367"/>
    </row>
    <row r="51" spans="1:15" ht="15" thickBot="1" x14ac:dyDescent="0.35">
      <c r="A51" s="425"/>
      <c r="B51" s="443"/>
      <c r="C51" s="443"/>
      <c r="D51" s="364" t="s">
        <v>304</v>
      </c>
      <c r="E51" s="372"/>
      <c r="F51" s="372"/>
      <c r="G51" s="372"/>
      <c r="H51" s="370"/>
      <c r="I51" s="370"/>
      <c r="J51" s="372"/>
      <c r="K51" s="372"/>
      <c r="L51" s="372"/>
      <c r="M51" s="366"/>
      <c r="N51" s="367"/>
      <c r="O51" s="367"/>
    </row>
    <row r="52" spans="1:15" ht="15" thickBot="1" x14ac:dyDescent="0.35">
      <c r="A52" s="425"/>
      <c r="B52" s="442" t="s">
        <v>339</v>
      </c>
      <c r="C52" s="442" t="s">
        <v>306</v>
      </c>
      <c r="D52" s="364" t="s">
        <v>302</v>
      </c>
      <c r="E52" s="372"/>
      <c r="F52" s="372"/>
      <c r="G52" s="372"/>
      <c r="H52" s="370"/>
      <c r="I52" s="370"/>
      <c r="J52" s="372"/>
      <c r="K52" s="372"/>
      <c r="L52" s="372"/>
      <c r="M52" s="366"/>
      <c r="N52" s="367"/>
      <c r="O52" s="367"/>
    </row>
    <row r="53" spans="1:15" ht="15" thickBot="1" x14ac:dyDescent="0.35">
      <c r="A53" s="425"/>
      <c r="B53" s="443"/>
      <c r="C53" s="443"/>
      <c r="D53" s="364" t="s">
        <v>304</v>
      </c>
      <c r="E53" s="372"/>
      <c r="F53" s="372"/>
      <c r="G53" s="372"/>
      <c r="H53" s="370"/>
      <c r="I53" s="370"/>
      <c r="J53" s="372"/>
      <c r="K53" s="372"/>
      <c r="L53" s="372"/>
      <c r="M53" s="368"/>
      <c r="N53" s="367"/>
      <c r="O53" s="367"/>
    </row>
    <row r="54" spans="1:15" ht="15" thickBot="1" x14ac:dyDescent="0.35">
      <c r="A54" s="425"/>
      <c r="B54" s="442" t="s">
        <v>13</v>
      </c>
      <c r="C54" s="442" t="s">
        <v>306</v>
      </c>
      <c r="D54" s="364" t="s">
        <v>306</v>
      </c>
      <c r="E54" s="372"/>
      <c r="F54" s="372"/>
      <c r="G54" s="372"/>
      <c r="H54" s="370"/>
      <c r="I54" s="370"/>
      <c r="J54" s="372"/>
      <c r="K54" s="372"/>
      <c r="L54" s="372"/>
      <c r="M54" s="367"/>
      <c r="N54" s="367"/>
      <c r="O54" s="367"/>
    </row>
    <row r="55" spans="1:15" ht="15" thickBot="1" x14ac:dyDescent="0.35">
      <c r="A55" s="425"/>
      <c r="B55" s="444"/>
      <c r="C55" s="444"/>
      <c r="D55" s="364" t="s">
        <v>302</v>
      </c>
      <c r="E55" s="372"/>
      <c r="F55" s="372"/>
      <c r="G55" s="372"/>
      <c r="H55" s="370"/>
      <c r="I55" s="370"/>
      <c r="J55" s="372"/>
      <c r="K55" s="372"/>
      <c r="L55" s="372"/>
      <c r="M55" s="366"/>
      <c r="N55" s="367"/>
      <c r="O55" s="367"/>
    </row>
    <row r="56" spans="1:15" ht="15" thickBot="1" x14ac:dyDescent="0.35">
      <c r="A56" s="425"/>
      <c r="B56" s="443"/>
      <c r="C56" s="443"/>
      <c r="D56" s="364" t="s">
        <v>304</v>
      </c>
      <c r="E56" s="372"/>
      <c r="F56" s="372"/>
      <c r="G56" s="372"/>
      <c r="H56" s="370"/>
      <c r="I56" s="370"/>
      <c r="J56" s="372"/>
      <c r="K56" s="372"/>
      <c r="L56" s="372"/>
      <c r="M56" s="366"/>
      <c r="N56" s="367"/>
      <c r="O56" s="367"/>
    </row>
    <row r="57" spans="1:15" ht="15" thickBot="1" x14ac:dyDescent="0.35">
      <c r="A57" s="425"/>
      <c r="B57" s="442" t="s">
        <v>357</v>
      </c>
      <c r="C57" s="442" t="s">
        <v>306</v>
      </c>
      <c r="D57" s="364" t="s">
        <v>306</v>
      </c>
      <c r="E57" s="372"/>
      <c r="F57" s="372"/>
      <c r="G57" s="372"/>
      <c r="H57" s="370"/>
      <c r="I57" s="370"/>
      <c r="J57" s="372"/>
      <c r="K57" s="372"/>
      <c r="L57" s="372"/>
      <c r="M57" s="366"/>
      <c r="N57" s="367"/>
      <c r="O57" s="367"/>
    </row>
    <row r="58" spans="1:15" ht="15" thickBot="1" x14ac:dyDescent="0.35">
      <c r="A58" s="425"/>
      <c r="B58" s="444"/>
      <c r="C58" s="444"/>
      <c r="D58" s="364" t="s">
        <v>302</v>
      </c>
      <c r="E58" s="372"/>
      <c r="F58" s="372"/>
      <c r="G58" s="372"/>
      <c r="H58" s="370"/>
      <c r="I58" s="370"/>
      <c r="J58" s="372"/>
      <c r="K58" s="372"/>
      <c r="L58" s="372"/>
      <c r="M58" s="367"/>
      <c r="N58" s="367"/>
      <c r="O58" s="367"/>
    </row>
    <row r="59" spans="1:15" ht="15" thickBot="1" x14ac:dyDescent="0.35">
      <c r="A59" s="425"/>
      <c r="B59" s="443"/>
      <c r="C59" s="443"/>
      <c r="D59" s="364" t="s">
        <v>304</v>
      </c>
      <c r="E59" s="372"/>
      <c r="F59" s="372"/>
      <c r="G59" s="372"/>
      <c r="H59" s="370"/>
      <c r="I59" s="370"/>
      <c r="J59" s="372"/>
      <c r="K59" s="372"/>
      <c r="L59" s="372"/>
      <c r="N59" s="367"/>
      <c r="O59" s="367"/>
    </row>
    <row r="60" spans="1:15" ht="15" thickBot="1" x14ac:dyDescent="0.35">
      <c r="A60" s="425"/>
      <c r="B60" s="364" t="s">
        <v>307</v>
      </c>
      <c r="C60" s="364" t="s">
        <v>306</v>
      </c>
      <c r="D60" s="364" t="s">
        <v>306</v>
      </c>
      <c r="E60" s="372"/>
      <c r="F60" s="372"/>
      <c r="G60" s="372"/>
      <c r="H60" s="370"/>
      <c r="I60" s="370"/>
      <c r="J60" s="372"/>
      <c r="K60" s="372"/>
      <c r="L60" s="372"/>
      <c r="N60" s="367"/>
      <c r="O60" s="367"/>
    </row>
    <row r="61" spans="1:15" ht="15" thickBot="1" x14ac:dyDescent="0.35">
      <c r="A61" s="425"/>
      <c r="B61" s="442" t="s">
        <v>341</v>
      </c>
      <c r="C61" s="445" t="s">
        <v>359</v>
      </c>
      <c r="D61" s="364" t="s">
        <v>302</v>
      </c>
      <c r="E61" s="372"/>
      <c r="F61" s="372"/>
      <c r="G61" s="372"/>
      <c r="H61" s="370"/>
      <c r="I61" s="370"/>
      <c r="J61" s="372"/>
      <c r="K61" s="372"/>
      <c r="L61" s="372"/>
      <c r="N61" s="367"/>
      <c r="O61" s="367"/>
    </row>
    <row r="62" spans="1:15" ht="15" thickBot="1" x14ac:dyDescent="0.35">
      <c r="A62" s="425"/>
      <c r="B62" s="444"/>
      <c r="C62" s="446"/>
      <c r="D62" s="364" t="s">
        <v>304</v>
      </c>
      <c r="E62" s="372"/>
      <c r="F62" s="372"/>
      <c r="G62" s="372"/>
      <c r="H62" s="370"/>
      <c r="I62" s="370"/>
      <c r="J62" s="372"/>
      <c r="K62" s="372"/>
      <c r="L62" s="372"/>
      <c r="N62" s="367"/>
      <c r="O62" s="367"/>
    </row>
    <row r="63" spans="1:15" ht="15" thickBot="1" x14ac:dyDescent="0.35">
      <c r="A63" s="425"/>
      <c r="B63" s="443"/>
      <c r="C63" s="447"/>
      <c r="D63" s="364" t="s">
        <v>306</v>
      </c>
      <c r="E63" s="372"/>
      <c r="F63" s="372"/>
      <c r="G63" s="372"/>
      <c r="H63" s="370"/>
      <c r="I63" s="370"/>
      <c r="J63" s="372"/>
      <c r="K63" s="372"/>
      <c r="L63" s="372"/>
      <c r="N63" s="367"/>
      <c r="O63" s="367"/>
    </row>
    <row r="64" spans="1:15" ht="15" thickBot="1" x14ac:dyDescent="0.35">
      <c r="A64" s="426"/>
      <c r="B64" s="364" t="s">
        <v>318</v>
      </c>
      <c r="C64" s="364" t="s">
        <v>306</v>
      </c>
      <c r="D64" s="364" t="s">
        <v>306</v>
      </c>
      <c r="E64" s="372"/>
      <c r="F64" s="372"/>
      <c r="G64" s="372"/>
      <c r="H64" s="370"/>
      <c r="I64" s="370"/>
      <c r="J64" s="372"/>
      <c r="K64" s="372"/>
      <c r="L64" s="372"/>
      <c r="N64" s="367"/>
      <c r="O64" s="367"/>
    </row>
    <row r="65" spans="1:17" ht="15" thickBot="1" x14ac:dyDescent="0.35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</row>
    <row r="66" spans="1:17" ht="15" thickBot="1" x14ac:dyDescent="0.35">
      <c r="A66" s="433" t="s">
        <v>360</v>
      </c>
      <c r="B66" s="434"/>
      <c r="C66" s="434"/>
      <c r="D66" s="434"/>
      <c r="E66" s="434"/>
      <c r="F66" s="434"/>
      <c r="G66" s="434"/>
      <c r="H66" s="434"/>
      <c r="I66" s="434"/>
      <c r="J66" s="434"/>
      <c r="K66" s="434"/>
      <c r="L66" s="434"/>
      <c r="M66" s="435"/>
    </row>
    <row r="67" spans="1:17" ht="15.75" customHeight="1" thickBot="1" x14ac:dyDescent="0.35">
      <c r="A67" s="436" t="s">
        <v>292</v>
      </c>
      <c r="B67" s="436" t="s">
        <v>293</v>
      </c>
      <c r="C67" s="436" t="s">
        <v>361</v>
      </c>
      <c r="D67" s="436" t="s">
        <v>295</v>
      </c>
      <c r="E67" s="436" t="s">
        <v>296</v>
      </c>
      <c r="F67" s="439" t="s">
        <v>297</v>
      </c>
      <c r="G67" s="440"/>
      <c r="H67" s="440"/>
      <c r="I67" s="440"/>
      <c r="J67" s="441"/>
      <c r="K67" s="439" t="s">
        <v>362</v>
      </c>
      <c r="L67" s="440"/>
      <c r="M67" s="441"/>
    </row>
    <row r="68" spans="1:17" ht="15" thickBot="1" x14ac:dyDescent="0.35">
      <c r="A68" s="437"/>
      <c r="B68" s="437"/>
      <c r="C68" s="437"/>
      <c r="D68" s="437"/>
      <c r="E68" s="437"/>
      <c r="F68" s="430" t="s">
        <v>10</v>
      </c>
      <c r="G68" s="432"/>
      <c r="H68" s="430" t="s">
        <v>9</v>
      </c>
      <c r="I68" s="431"/>
      <c r="J68" s="432"/>
      <c r="K68" s="430" t="s">
        <v>10</v>
      </c>
      <c r="L68" s="432"/>
      <c r="M68" s="378" t="s">
        <v>9</v>
      </c>
    </row>
    <row r="69" spans="1:17" ht="15.75" customHeight="1" thickBot="1" x14ac:dyDescent="0.35">
      <c r="A69" s="438"/>
      <c r="B69" s="438"/>
      <c r="C69" s="438"/>
      <c r="D69" s="438"/>
      <c r="E69" s="438"/>
      <c r="F69" s="379" t="s">
        <v>298</v>
      </c>
      <c r="G69" s="379" t="s">
        <v>299</v>
      </c>
      <c r="H69" s="380" t="s">
        <v>332</v>
      </c>
      <c r="I69" s="381" t="s">
        <v>333</v>
      </c>
      <c r="J69" s="382" t="s">
        <v>334</v>
      </c>
      <c r="K69" s="379" t="s">
        <v>298</v>
      </c>
      <c r="L69" s="379" t="s">
        <v>299</v>
      </c>
      <c r="M69" s="379" t="s">
        <v>299</v>
      </c>
      <c r="O69" s="366"/>
    </row>
    <row r="70" spans="1:17" ht="15" thickBot="1" x14ac:dyDescent="0.35">
      <c r="A70" s="424" t="s">
        <v>36</v>
      </c>
      <c r="B70" s="427" t="s">
        <v>300</v>
      </c>
      <c r="C70" s="427" t="s">
        <v>301</v>
      </c>
      <c r="D70" s="427" t="s">
        <v>301</v>
      </c>
      <c r="E70" s="383" t="s">
        <v>302</v>
      </c>
      <c r="F70" s="384">
        <v>0</v>
      </c>
      <c r="G70" s="372">
        <v>999.02</v>
      </c>
      <c r="H70" s="372">
        <v>516.91</v>
      </c>
      <c r="I70" s="370"/>
      <c r="J70" s="370"/>
      <c r="K70" s="372">
        <v>0</v>
      </c>
      <c r="L70" s="372">
        <v>956.95</v>
      </c>
      <c r="M70" s="372">
        <v>478.38</v>
      </c>
      <c r="O70" s="366"/>
      <c r="P70" s="367"/>
      <c r="Q70" s="385"/>
    </row>
    <row r="71" spans="1:17" ht="15" thickBot="1" x14ac:dyDescent="0.35">
      <c r="A71" s="425"/>
      <c r="B71" s="428"/>
      <c r="C71" s="428"/>
      <c r="D71" s="428"/>
      <c r="E71" s="383" t="s">
        <v>303</v>
      </c>
      <c r="F71" s="384">
        <v>0</v>
      </c>
      <c r="G71" s="372">
        <v>698.21</v>
      </c>
      <c r="H71" s="372">
        <v>321.07</v>
      </c>
      <c r="I71" s="370"/>
      <c r="J71" s="370"/>
      <c r="K71" s="372">
        <v>0</v>
      </c>
      <c r="L71" s="372">
        <v>662.46</v>
      </c>
      <c r="M71" s="372">
        <v>299.92</v>
      </c>
      <c r="O71" s="368"/>
      <c r="P71" s="367"/>
    </row>
    <row r="72" spans="1:17" ht="15" thickBot="1" x14ac:dyDescent="0.35">
      <c r="A72" s="425"/>
      <c r="B72" s="429"/>
      <c r="C72" s="429"/>
      <c r="D72" s="429"/>
      <c r="E72" s="383" t="s">
        <v>304</v>
      </c>
      <c r="F72" s="384">
        <v>0</v>
      </c>
      <c r="G72" s="372">
        <v>397.41</v>
      </c>
      <c r="H72" s="372">
        <v>321.07</v>
      </c>
      <c r="I72" s="370"/>
      <c r="J72" s="370"/>
      <c r="K72" s="372">
        <v>0</v>
      </c>
      <c r="L72" s="372">
        <v>367.97</v>
      </c>
      <c r="M72" s="372">
        <v>299.92</v>
      </c>
      <c r="O72" s="367"/>
      <c r="P72" s="367"/>
    </row>
    <row r="73" spans="1:17" ht="15" thickBot="1" x14ac:dyDescent="0.35">
      <c r="A73" s="425"/>
      <c r="B73" s="427" t="s">
        <v>307</v>
      </c>
      <c r="C73" s="427" t="s">
        <v>301</v>
      </c>
      <c r="D73" s="386" t="s">
        <v>301</v>
      </c>
      <c r="E73" s="383" t="s">
        <v>306</v>
      </c>
      <c r="F73" s="387">
        <v>0</v>
      </c>
      <c r="G73" s="372">
        <v>506.32</v>
      </c>
      <c r="H73" s="372">
        <v>337.39</v>
      </c>
      <c r="I73" s="370"/>
      <c r="J73" s="370"/>
      <c r="K73" s="369">
        <v>0</v>
      </c>
      <c r="L73" s="372">
        <v>474.59</v>
      </c>
      <c r="M73" s="372">
        <v>314.79000000000002</v>
      </c>
      <c r="O73" s="366"/>
      <c r="P73" s="367"/>
    </row>
    <row r="74" spans="1:17" ht="15" thickBot="1" x14ac:dyDescent="0.35">
      <c r="A74" s="425"/>
      <c r="B74" s="428"/>
      <c r="C74" s="428"/>
      <c r="D74" s="386" t="s">
        <v>363</v>
      </c>
      <c r="E74" s="383" t="s">
        <v>306</v>
      </c>
      <c r="F74" s="387">
        <v>0</v>
      </c>
      <c r="G74" s="372">
        <v>348.95</v>
      </c>
      <c r="H74" s="372">
        <v>325.32</v>
      </c>
      <c r="I74" s="370"/>
      <c r="J74" s="370"/>
      <c r="K74" s="369">
        <v>0</v>
      </c>
      <c r="L74" s="372">
        <v>334.57</v>
      </c>
      <c r="M74" s="372">
        <v>303.57</v>
      </c>
      <c r="O74" s="366"/>
      <c r="P74" s="367"/>
    </row>
    <row r="75" spans="1:17" ht="15" thickBot="1" x14ac:dyDescent="0.35">
      <c r="A75" s="426"/>
      <c r="B75" s="429"/>
      <c r="C75" s="429"/>
      <c r="D75" s="394" t="s">
        <v>375</v>
      </c>
      <c r="E75" s="383" t="s">
        <v>306</v>
      </c>
      <c r="F75" s="387">
        <v>0</v>
      </c>
      <c r="G75" s="372">
        <v>356.42</v>
      </c>
      <c r="H75" s="372">
        <v>337.59</v>
      </c>
      <c r="I75" s="370"/>
      <c r="J75" s="370"/>
      <c r="K75" s="369"/>
      <c r="L75" s="372">
        <v>343.39</v>
      </c>
      <c r="M75" s="372">
        <v>314.79000000000002</v>
      </c>
      <c r="O75" s="366"/>
      <c r="P75" s="367"/>
    </row>
    <row r="76" spans="1:17" ht="15" thickBot="1" x14ac:dyDescent="0.35">
      <c r="A76" s="424" t="s">
        <v>67</v>
      </c>
      <c r="B76" s="427" t="s">
        <v>300</v>
      </c>
      <c r="C76" s="427" t="s">
        <v>309</v>
      </c>
      <c r="D76" s="427" t="s">
        <v>306</v>
      </c>
      <c r="E76" s="383" t="s">
        <v>302</v>
      </c>
      <c r="F76" s="384">
        <v>0</v>
      </c>
      <c r="G76" s="372">
        <v>1128.67</v>
      </c>
      <c r="H76" s="372">
        <v>516.91</v>
      </c>
      <c r="I76" s="370"/>
      <c r="J76" s="370"/>
      <c r="K76" s="372">
        <v>0</v>
      </c>
      <c r="L76" s="372">
        <v>1083.8800000000001</v>
      </c>
      <c r="M76" s="372">
        <v>478.38</v>
      </c>
      <c r="O76" s="366"/>
      <c r="P76" s="367"/>
    </row>
    <row r="77" spans="1:17" ht="15" thickBot="1" x14ac:dyDescent="0.35">
      <c r="A77" s="425"/>
      <c r="B77" s="428"/>
      <c r="C77" s="428"/>
      <c r="D77" s="428"/>
      <c r="E77" s="383" t="s">
        <v>303</v>
      </c>
      <c r="F77" s="384">
        <v>0</v>
      </c>
      <c r="G77" s="372">
        <v>776.01</v>
      </c>
      <c r="H77" s="372">
        <v>321.07</v>
      </c>
      <c r="I77" s="370"/>
      <c r="J77" s="370"/>
      <c r="K77" s="372">
        <v>0</v>
      </c>
      <c r="L77" s="372">
        <v>738.62</v>
      </c>
      <c r="M77" s="372">
        <v>299.92</v>
      </c>
      <c r="O77" s="367"/>
      <c r="P77" s="367"/>
    </row>
    <row r="78" spans="1:17" ht="15" thickBot="1" x14ac:dyDescent="0.35">
      <c r="A78" s="425"/>
      <c r="B78" s="429"/>
      <c r="C78" s="429"/>
      <c r="D78" s="429"/>
      <c r="E78" s="383" t="s">
        <v>304</v>
      </c>
      <c r="F78" s="384">
        <v>0</v>
      </c>
      <c r="G78" s="372">
        <v>423.34</v>
      </c>
      <c r="H78" s="372">
        <v>321.07</v>
      </c>
      <c r="I78" s="370"/>
      <c r="J78" s="370"/>
      <c r="K78" s="372">
        <v>0</v>
      </c>
      <c r="L78" s="372">
        <v>393.35</v>
      </c>
      <c r="M78" s="372">
        <v>299.92</v>
      </c>
      <c r="O78" s="367"/>
      <c r="P78" s="367"/>
    </row>
    <row r="79" spans="1:17" ht="15.75" customHeight="1" thickBot="1" x14ac:dyDescent="0.35">
      <c r="A79" s="425"/>
      <c r="B79" s="386" t="s">
        <v>307</v>
      </c>
      <c r="C79" s="386" t="s">
        <v>309</v>
      </c>
      <c r="D79" s="386" t="s">
        <v>306</v>
      </c>
      <c r="E79" s="383" t="s">
        <v>306</v>
      </c>
      <c r="F79" s="384">
        <v>0</v>
      </c>
      <c r="G79" s="372">
        <v>506.32</v>
      </c>
      <c r="H79" s="372">
        <v>337.39</v>
      </c>
      <c r="I79" s="370"/>
      <c r="J79" s="370"/>
      <c r="K79" s="372">
        <v>0</v>
      </c>
      <c r="L79" s="372">
        <v>474.59</v>
      </c>
      <c r="M79" s="372">
        <v>314.79000000000002</v>
      </c>
      <c r="O79" s="367"/>
      <c r="P79" s="367"/>
    </row>
    <row r="80" spans="1:17" ht="15" thickBot="1" x14ac:dyDescent="0.35">
      <c r="A80" s="425"/>
      <c r="B80" s="427" t="s">
        <v>300</v>
      </c>
      <c r="C80" s="427" t="s">
        <v>309</v>
      </c>
      <c r="D80" s="427" t="s">
        <v>311</v>
      </c>
      <c r="E80" s="383" t="s">
        <v>302</v>
      </c>
      <c r="F80" s="384">
        <v>0</v>
      </c>
      <c r="G80" s="372">
        <v>1128.67</v>
      </c>
      <c r="H80" s="372">
        <v>516.91</v>
      </c>
      <c r="I80" s="370"/>
      <c r="J80" s="370"/>
      <c r="K80" s="372">
        <v>0</v>
      </c>
      <c r="L80" s="372">
        <v>1083.8800000000001</v>
      </c>
      <c r="M80" s="372">
        <v>478.38</v>
      </c>
      <c r="O80" s="367"/>
      <c r="P80" s="367"/>
    </row>
    <row r="81" spans="1:16" ht="15" thickBot="1" x14ac:dyDescent="0.35">
      <c r="A81" s="425"/>
      <c r="B81" s="428"/>
      <c r="C81" s="428"/>
      <c r="D81" s="428"/>
      <c r="E81" s="383" t="s">
        <v>303</v>
      </c>
      <c r="F81" s="384">
        <v>0</v>
      </c>
      <c r="G81" s="372">
        <v>776.01</v>
      </c>
      <c r="H81" s="372">
        <v>321.07</v>
      </c>
      <c r="I81" s="370"/>
      <c r="J81" s="370"/>
      <c r="K81" s="372">
        <v>0</v>
      </c>
      <c r="L81" s="372">
        <v>738.62</v>
      </c>
      <c r="M81" s="372">
        <v>299.92</v>
      </c>
      <c r="O81" s="367"/>
      <c r="P81" s="367"/>
    </row>
    <row r="82" spans="1:16" ht="15" thickBot="1" x14ac:dyDescent="0.35">
      <c r="A82" s="425"/>
      <c r="B82" s="429"/>
      <c r="C82" s="429"/>
      <c r="D82" s="429"/>
      <c r="E82" s="383" t="s">
        <v>304</v>
      </c>
      <c r="F82" s="384">
        <v>0</v>
      </c>
      <c r="G82" s="372">
        <v>423.34</v>
      </c>
      <c r="H82" s="372">
        <v>321.07</v>
      </c>
      <c r="I82" s="370"/>
      <c r="J82" s="370"/>
      <c r="K82" s="372">
        <v>0</v>
      </c>
      <c r="L82" s="372">
        <v>393.35</v>
      </c>
      <c r="M82" s="372">
        <v>299.92</v>
      </c>
      <c r="O82" s="367"/>
      <c r="P82" s="367"/>
    </row>
    <row r="83" spans="1:16" ht="15.75" customHeight="1" thickBot="1" x14ac:dyDescent="0.35">
      <c r="A83" s="425"/>
      <c r="B83" s="386" t="s">
        <v>307</v>
      </c>
      <c r="C83" s="386" t="s">
        <v>309</v>
      </c>
      <c r="D83" s="386" t="s">
        <v>311</v>
      </c>
      <c r="E83" s="383" t="s">
        <v>306</v>
      </c>
      <c r="F83" s="384">
        <v>0</v>
      </c>
      <c r="G83" s="372">
        <v>506.32</v>
      </c>
      <c r="H83" s="372">
        <v>337.39</v>
      </c>
      <c r="I83" s="370"/>
      <c r="J83" s="370"/>
      <c r="K83" s="372">
        <v>0</v>
      </c>
      <c r="L83" s="372">
        <v>474.59</v>
      </c>
      <c r="M83" s="372">
        <v>314.79000000000002</v>
      </c>
      <c r="O83" s="366"/>
      <c r="P83" s="367"/>
    </row>
    <row r="84" spans="1:16" ht="15" thickBot="1" x14ac:dyDescent="0.35">
      <c r="A84" s="425"/>
      <c r="B84" s="427" t="s">
        <v>300</v>
      </c>
      <c r="C84" s="427" t="s">
        <v>309</v>
      </c>
      <c r="D84" s="427" t="s">
        <v>312</v>
      </c>
      <c r="E84" s="383" t="s">
        <v>302</v>
      </c>
      <c r="F84" s="384">
        <v>0</v>
      </c>
      <c r="G84" s="372">
        <v>1128.67</v>
      </c>
      <c r="H84" s="372">
        <v>516.91</v>
      </c>
      <c r="I84" s="370"/>
      <c r="J84" s="370"/>
      <c r="K84" s="372">
        <v>0</v>
      </c>
      <c r="L84" s="372">
        <v>1083.8800000000001</v>
      </c>
      <c r="M84" s="372">
        <v>478.38</v>
      </c>
      <c r="O84" s="366"/>
      <c r="P84" s="367"/>
    </row>
    <row r="85" spans="1:16" ht="15" thickBot="1" x14ac:dyDescent="0.35">
      <c r="A85" s="425"/>
      <c r="B85" s="428"/>
      <c r="C85" s="428"/>
      <c r="D85" s="428"/>
      <c r="E85" s="383" t="s">
        <v>303</v>
      </c>
      <c r="F85" s="384">
        <v>0</v>
      </c>
      <c r="G85" s="372">
        <v>776.01</v>
      </c>
      <c r="H85" s="372">
        <v>321.07</v>
      </c>
      <c r="I85" s="370"/>
      <c r="J85" s="370"/>
      <c r="K85" s="372">
        <v>0</v>
      </c>
      <c r="L85" s="372">
        <v>738.62</v>
      </c>
      <c r="M85" s="372">
        <v>299.92</v>
      </c>
      <c r="O85" s="368"/>
      <c r="P85" s="367"/>
    </row>
    <row r="86" spans="1:16" ht="15" thickBot="1" x14ac:dyDescent="0.35">
      <c r="A86" s="425"/>
      <c r="B86" s="429"/>
      <c r="C86" s="429"/>
      <c r="D86" s="429"/>
      <c r="E86" s="383" t="s">
        <v>304</v>
      </c>
      <c r="F86" s="384">
        <v>0</v>
      </c>
      <c r="G86" s="372">
        <v>423.34</v>
      </c>
      <c r="H86" s="372">
        <v>321.07</v>
      </c>
      <c r="I86" s="370"/>
      <c r="J86" s="370"/>
      <c r="K86" s="372">
        <v>0</v>
      </c>
      <c r="L86" s="372">
        <v>393.35</v>
      </c>
      <c r="M86" s="372">
        <v>299.92</v>
      </c>
      <c r="O86" s="367"/>
      <c r="P86" s="367"/>
    </row>
    <row r="87" spans="1:16" ht="21" thickBot="1" x14ac:dyDescent="0.35">
      <c r="A87" s="426"/>
      <c r="B87" s="386" t="s">
        <v>307</v>
      </c>
      <c r="C87" s="386" t="s">
        <v>309</v>
      </c>
      <c r="D87" s="386" t="s">
        <v>312</v>
      </c>
      <c r="E87" s="383" t="s">
        <v>306</v>
      </c>
      <c r="F87" s="384">
        <v>0</v>
      </c>
      <c r="G87" s="372">
        <v>506.32</v>
      </c>
      <c r="H87" s="372">
        <v>337.39</v>
      </c>
      <c r="I87" s="370"/>
      <c r="J87" s="370"/>
      <c r="K87" s="372">
        <v>0</v>
      </c>
      <c r="L87" s="372">
        <v>474.59</v>
      </c>
      <c r="M87" s="372">
        <v>314.79000000000002</v>
      </c>
      <c r="O87" s="366"/>
      <c r="P87" s="367"/>
    </row>
    <row r="88" spans="1:16" ht="15" thickBot="1" x14ac:dyDescent="0.35">
      <c r="A88" s="424" t="s">
        <v>66</v>
      </c>
      <c r="B88" s="427" t="s">
        <v>300</v>
      </c>
      <c r="C88" s="427" t="s">
        <v>306</v>
      </c>
      <c r="D88" s="427" t="s">
        <v>306</v>
      </c>
      <c r="E88" s="383" t="s">
        <v>302</v>
      </c>
      <c r="F88" s="384">
        <v>0</v>
      </c>
      <c r="G88" s="372">
        <v>1128.67</v>
      </c>
      <c r="H88" s="372">
        <v>516.91</v>
      </c>
      <c r="I88" s="370"/>
      <c r="J88" s="370"/>
      <c r="K88" s="372">
        <v>0</v>
      </c>
      <c r="L88" s="372">
        <v>1083.8800000000001</v>
      </c>
      <c r="M88" s="372">
        <v>478.38</v>
      </c>
      <c r="O88" s="366"/>
      <c r="P88" s="367"/>
    </row>
    <row r="89" spans="1:16" ht="15" thickBot="1" x14ac:dyDescent="0.35">
      <c r="A89" s="425"/>
      <c r="B89" s="428"/>
      <c r="C89" s="428"/>
      <c r="D89" s="428"/>
      <c r="E89" s="383" t="s">
        <v>303</v>
      </c>
      <c r="F89" s="384">
        <v>0</v>
      </c>
      <c r="G89" s="372">
        <v>776.01</v>
      </c>
      <c r="H89" s="372">
        <v>321.07</v>
      </c>
      <c r="I89" s="370"/>
      <c r="J89" s="370"/>
      <c r="K89" s="372">
        <v>0</v>
      </c>
      <c r="L89" s="372">
        <v>738.62</v>
      </c>
      <c r="M89" s="372">
        <v>299.92</v>
      </c>
      <c r="O89" s="366"/>
      <c r="P89" s="367"/>
    </row>
    <row r="90" spans="1:16" ht="15" thickBot="1" x14ac:dyDescent="0.35">
      <c r="A90" s="425"/>
      <c r="B90" s="429"/>
      <c r="C90" s="429"/>
      <c r="D90" s="429"/>
      <c r="E90" s="383" t="s">
        <v>304</v>
      </c>
      <c r="F90" s="384">
        <v>0</v>
      </c>
      <c r="G90" s="372">
        <v>423.34</v>
      </c>
      <c r="H90" s="372">
        <v>321.07</v>
      </c>
      <c r="I90" s="370"/>
      <c r="J90" s="370"/>
      <c r="K90" s="372">
        <v>0</v>
      </c>
      <c r="L90" s="372">
        <v>393.35</v>
      </c>
      <c r="M90" s="372">
        <v>299.92</v>
      </c>
      <c r="O90" s="367"/>
      <c r="P90" s="367"/>
    </row>
    <row r="91" spans="1:16" ht="15" thickBot="1" x14ac:dyDescent="0.35">
      <c r="A91" s="426"/>
      <c r="B91" s="386" t="s">
        <v>307</v>
      </c>
      <c r="C91" s="386" t="s">
        <v>306</v>
      </c>
      <c r="D91" s="386" t="s">
        <v>306</v>
      </c>
      <c r="E91" s="383" t="s">
        <v>306</v>
      </c>
      <c r="F91" s="384">
        <v>0</v>
      </c>
      <c r="G91" s="372">
        <v>506.32</v>
      </c>
      <c r="H91" s="372">
        <v>337.39</v>
      </c>
      <c r="I91" s="370"/>
      <c r="J91" s="370"/>
      <c r="K91" s="372">
        <v>0</v>
      </c>
      <c r="L91" s="372">
        <v>474.59</v>
      </c>
      <c r="M91" s="372">
        <v>314.79000000000002</v>
      </c>
      <c r="O91" s="367"/>
      <c r="P91" s="367"/>
    </row>
    <row r="92" spans="1:16" ht="21" thickBot="1" x14ac:dyDescent="0.35">
      <c r="A92" s="424" t="s">
        <v>313</v>
      </c>
      <c r="B92" s="427" t="s">
        <v>307</v>
      </c>
      <c r="C92" s="427" t="s">
        <v>314</v>
      </c>
      <c r="D92" s="386" t="s">
        <v>364</v>
      </c>
      <c r="E92" s="383" t="s">
        <v>306</v>
      </c>
      <c r="F92" s="384">
        <v>0</v>
      </c>
      <c r="G92" s="372">
        <v>278.48</v>
      </c>
      <c r="H92" s="372">
        <v>185.56</v>
      </c>
      <c r="I92" s="370"/>
      <c r="J92" s="370"/>
      <c r="K92" s="372">
        <v>0</v>
      </c>
      <c r="L92" s="372">
        <v>261.02999999999997</v>
      </c>
      <c r="M92" s="372">
        <v>173.13</v>
      </c>
      <c r="O92" s="367"/>
      <c r="P92" s="367"/>
    </row>
    <row r="93" spans="1:16" ht="21" thickBot="1" x14ac:dyDescent="0.35">
      <c r="A93" s="426"/>
      <c r="B93" s="429"/>
      <c r="C93" s="429"/>
      <c r="D93" s="386" t="s">
        <v>365</v>
      </c>
      <c r="E93" s="383" t="s">
        <v>306</v>
      </c>
      <c r="F93" s="384">
        <v>0</v>
      </c>
      <c r="G93" s="372">
        <v>303.79000000000002</v>
      </c>
      <c r="H93" s="372">
        <v>202.43</v>
      </c>
      <c r="I93" s="370"/>
      <c r="J93" s="370"/>
      <c r="K93" s="372">
        <v>0</v>
      </c>
      <c r="L93" s="372">
        <v>284.76</v>
      </c>
      <c r="M93" s="372">
        <v>188.87</v>
      </c>
      <c r="O93" s="367"/>
      <c r="P93" s="367"/>
    </row>
  </sheetData>
  <mergeCells count="82"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B5:B6"/>
    <mergeCell ref="C5:C6"/>
    <mergeCell ref="B7:B8"/>
    <mergeCell ref="C7:C8"/>
    <mergeCell ref="A9:A29"/>
    <mergeCell ref="B9:B10"/>
    <mergeCell ref="C9:C10"/>
    <mergeCell ref="B11:B12"/>
    <mergeCell ref="C11:C12"/>
    <mergeCell ref="B13:B15"/>
    <mergeCell ref="C13:C15"/>
    <mergeCell ref="B16:B29"/>
    <mergeCell ref="A30:A37"/>
    <mergeCell ref="B30:B31"/>
    <mergeCell ref="C30:C31"/>
    <mergeCell ref="B32:B33"/>
    <mergeCell ref="C32:C33"/>
    <mergeCell ref="B34:B36"/>
    <mergeCell ref="C34:C36"/>
    <mergeCell ref="C61:C63"/>
    <mergeCell ref="A50:A64"/>
    <mergeCell ref="B50:B51"/>
    <mergeCell ref="C50:C51"/>
    <mergeCell ref="B52:B53"/>
    <mergeCell ref="C52:C53"/>
    <mergeCell ref="B54:B56"/>
    <mergeCell ref="C54:C56"/>
    <mergeCell ref="B57:B59"/>
    <mergeCell ref="C57:C59"/>
    <mergeCell ref="B61:B63"/>
    <mergeCell ref="A38:A49"/>
    <mergeCell ref="B38:B39"/>
    <mergeCell ref="C38:C39"/>
    <mergeCell ref="B40:B41"/>
    <mergeCell ref="C40:C41"/>
    <mergeCell ref="B42:B44"/>
    <mergeCell ref="C42:C44"/>
    <mergeCell ref="B45:B47"/>
    <mergeCell ref="C45:C47"/>
    <mergeCell ref="H68:J68"/>
    <mergeCell ref="A66:M66"/>
    <mergeCell ref="A67:A69"/>
    <mergeCell ref="B67:B69"/>
    <mergeCell ref="C67:C69"/>
    <mergeCell ref="D67:D69"/>
    <mergeCell ref="E67:E69"/>
    <mergeCell ref="F67:J67"/>
    <mergeCell ref="K67:M67"/>
    <mergeCell ref="F68:G68"/>
    <mergeCell ref="K68:L68"/>
    <mergeCell ref="A70:A75"/>
    <mergeCell ref="B73:B75"/>
    <mergeCell ref="C73:C75"/>
    <mergeCell ref="D84:D86"/>
    <mergeCell ref="B70:B72"/>
    <mergeCell ref="C70:C72"/>
    <mergeCell ref="D70:D72"/>
    <mergeCell ref="A76:A87"/>
    <mergeCell ref="B76:B78"/>
    <mergeCell ref="C76:C78"/>
    <mergeCell ref="D76:D78"/>
    <mergeCell ref="B80:B82"/>
    <mergeCell ref="C80:C82"/>
    <mergeCell ref="D80:D82"/>
    <mergeCell ref="B84:B86"/>
    <mergeCell ref="C84:C86"/>
    <mergeCell ref="A88:A91"/>
    <mergeCell ref="B88:B90"/>
    <mergeCell ref="C88:C90"/>
    <mergeCell ref="D88:D90"/>
    <mergeCell ref="A92:A93"/>
    <mergeCell ref="B92:B93"/>
    <mergeCell ref="C92:C9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79CB-811F-47A2-AACE-228C48A2F2B1}">
  <dimension ref="A1:Z78"/>
  <sheetViews>
    <sheetView showGridLines="0" topLeftCell="A17" zoomScale="90" zoomScaleNormal="90" workbookViewId="0">
      <selection activeCell="D32" sqref="D32"/>
    </sheetView>
  </sheetViews>
  <sheetFormatPr defaultColWidth="9.109375" defaultRowHeight="14.4" x14ac:dyDescent="0.3"/>
  <cols>
    <col min="1" max="1" width="5.44140625" style="19" customWidth="1"/>
    <col min="2" max="2" width="20" style="19" customWidth="1"/>
    <col min="3" max="3" width="13.88671875" style="19" customWidth="1"/>
    <col min="4" max="4" width="15" style="19" customWidth="1"/>
    <col min="5" max="5" width="12.6640625" style="19" customWidth="1"/>
    <col min="6" max="6" width="12.5546875" style="19" customWidth="1"/>
    <col min="7" max="10" width="12.6640625" style="19" customWidth="1"/>
    <col min="11" max="12" width="13.88671875" style="19" customWidth="1"/>
    <col min="13" max="16" width="12.6640625" style="19" customWidth="1"/>
    <col min="17" max="17" width="14" style="19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27</v>
      </c>
      <c r="E2" s="20" t="s">
        <v>28</v>
      </c>
      <c r="F2" s="21">
        <v>46241</v>
      </c>
      <c r="G2" s="329" t="s">
        <v>290</v>
      </c>
      <c r="H2" s="330">
        <v>45658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A3" s="19" t="s">
        <v>8</v>
      </c>
      <c r="M3" s="7" t="s">
        <v>13</v>
      </c>
      <c r="N3" s="8">
        <v>0</v>
      </c>
    </row>
    <row r="4" spans="1:26" ht="15" customHeight="1" x14ac:dyDescent="0.3">
      <c r="B4" s="413" t="s">
        <v>31</v>
      </c>
      <c r="C4" s="418" t="s">
        <v>370</v>
      </c>
      <c r="D4" s="418"/>
      <c r="E4" s="418"/>
      <c r="F4" s="418" t="s">
        <v>371</v>
      </c>
      <c r="G4" s="418"/>
      <c r="H4" s="418"/>
      <c r="I4" s="419" t="s">
        <v>32</v>
      </c>
      <c r="J4" s="419"/>
      <c r="K4" s="419"/>
      <c r="M4" s="9" t="s">
        <v>14</v>
      </c>
      <c r="N4" s="10">
        <f>[3]BANDEIRA!$D$5</f>
        <v>1.8849999999999999E-2</v>
      </c>
      <c r="Q4" s="413" t="s">
        <v>31</v>
      </c>
      <c r="R4" s="405" t="str">
        <f>C4</f>
        <v>TARIFA ANTIGA - REH 3370/2024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[3]BANDEIRA!$D$6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36</v>
      </c>
      <c r="C6" s="31">
        <f>'TABELA DE TARIFAS ANTIGAS'!G71/1000</f>
        <v>0.46862999999999999</v>
      </c>
      <c r="D6" s="31">
        <f>'TABELA DE TARIFAS ANTIGAS'!H71/1000</f>
        <v>0.32068000000000002</v>
      </c>
      <c r="E6" s="31">
        <f t="shared" ref="E6" si="0">C6+D6</f>
        <v>0.78930999999999996</v>
      </c>
      <c r="F6" s="31">
        <f>'TABELA DE TARIFAS NOVAS'!G73/1000</f>
        <v>0.50631999999999999</v>
      </c>
      <c r="G6" s="31">
        <f>'TABELA DE TARIFAS NOVAS'!H73/1000</f>
        <v>0.33738999999999997</v>
      </c>
      <c r="H6" s="31">
        <f t="shared" ref="H6:H7" si="1">F6+G6</f>
        <v>0.84370999999999996</v>
      </c>
      <c r="I6" s="31">
        <f>((C6*$C$14)+(F6*$D$14))/($D$14+$C$14)</f>
        <v>0.49100843750000001</v>
      </c>
      <c r="J6" s="31">
        <f>((D6*$C$14)+(G6*$D$14))/($D$14+$C$14)</f>
        <v>0.3306015625</v>
      </c>
      <c r="K6" s="32">
        <f t="shared" ref="K6:K7" si="2">I6+J6</f>
        <v>0.82160999999999995</v>
      </c>
      <c r="M6" s="13" t="s">
        <v>16</v>
      </c>
      <c r="N6" s="14">
        <f>[3]BANDEIRA!$D$7</f>
        <v>7.8770000000000007E-2</v>
      </c>
      <c r="P6" s="33"/>
      <c r="Q6" s="30" t="str">
        <f>B6</f>
        <v>B1</v>
      </c>
      <c r="R6" s="31">
        <f>'FIO B'!H11/1000</f>
        <v>0.20383072193179136</v>
      </c>
      <c r="S6"/>
      <c r="T6"/>
      <c r="U6" s="31">
        <f>'FIO B'!K11/1000</f>
        <v>0.20915159219558199</v>
      </c>
      <c r="V6"/>
      <c r="W6"/>
      <c r="X6" s="31">
        <f>((R6*$C$14)+(U6*$D$14))/($D$14+$C$14)</f>
        <v>0.20698998865091706</v>
      </c>
      <c r="Y6"/>
      <c r="Z6"/>
    </row>
    <row r="7" spans="1:26" x14ac:dyDescent="0.3">
      <c r="B7" s="243" t="s">
        <v>200</v>
      </c>
      <c r="C7" s="278">
        <v>1.8774721494831901E-4</v>
      </c>
      <c r="D7" s="277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si="1"/>
        <v>-3.4764051714327999E-4</v>
      </c>
      <c r="I7" s="31">
        <f>((C7*$C$14)+(F7*$D$14))/($D$14+$C$14)</f>
        <v>1.8563466231698788E-4</v>
      </c>
      <c r="J7" s="31">
        <f>((D7*$C$14)+(G7*$D$14))/($D$14+$C$14)</f>
        <v>-2.1045457770112975E-3</v>
      </c>
      <c r="K7" s="32">
        <f t="shared" si="2"/>
        <v>-1.9189111146943097E-3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3.0048796874999995E-2</v>
      </c>
      <c r="K8" s="84"/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5" t="s">
        <v>198</v>
      </c>
      <c r="Q10" s="236"/>
      <c r="R10" s="237"/>
      <c r="S10" s="237"/>
      <c r="T10" s="238"/>
      <c r="U10" s="277">
        <v>0</v>
      </c>
      <c r="V10"/>
      <c r="W10"/>
      <c r="X10"/>
      <c r="Y10"/>
      <c r="Z10"/>
    </row>
    <row r="11" spans="1:26" x14ac:dyDescent="0.3">
      <c r="B11" s="334" t="s">
        <v>38</v>
      </c>
      <c r="C11" s="395">
        <v>1280804</v>
      </c>
      <c r="E11" s="1"/>
      <c r="F11" s="1"/>
      <c r="G11" s="1"/>
      <c r="H11" s="40">
        <f>E14</f>
        <v>46259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0.184189231569235/1000</f>
        <v>1.84189231569235E-4</v>
      </c>
      <c r="U11" s="277">
        <f>-0.531829748712515/1000</f>
        <v>-5.3182974871251499E-4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">
        <v>14</v>
      </c>
      <c r="L12" s="7" t="s">
        <v>14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46227</v>
      </c>
      <c r="C14" s="18">
        <f>IF((F2-B14-1)&lt;0,0,(F2-B14-1))</f>
        <v>13</v>
      </c>
      <c r="D14" s="18">
        <f>E14-F2+1</f>
        <v>19</v>
      </c>
      <c r="E14" s="17">
        <v>46259</v>
      </c>
      <c r="F14" s="44"/>
      <c r="G14" s="44"/>
      <c r="H14" s="45"/>
      <c r="J14" s="22">
        <f>B14</f>
        <v>46227</v>
      </c>
      <c r="K14" s="23">
        <f>IF((M10-J14-1)&lt;0,0,(M10-J14-1))</f>
        <v>7</v>
      </c>
      <c r="L14" s="23">
        <f>M14-M10+1</f>
        <v>25</v>
      </c>
      <c r="M14" s="22">
        <f>E14</f>
        <v>46259</v>
      </c>
      <c r="O14" s="315" t="s">
        <v>278</v>
      </c>
      <c r="P14" s="316"/>
      <c r="Q14" s="317">
        <v>1025310412</v>
      </c>
    </row>
    <row r="16" spans="1:26" ht="42" customHeight="1" x14ac:dyDescent="0.3">
      <c r="B16" s="288" t="s">
        <v>245</v>
      </c>
      <c r="C16" s="288" t="s">
        <v>246</v>
      </c>
      <c r="D16" s="288" t="s">
        <v>247</v>
      </c>
      <c r="E16" s="289" t="s">
        <v>248</v>
      </c>
      <c r="F16" s="289" t="s">
        <v>249</v>
      </c>
      <c r="G16" s="289" t="s">
        <v>250</v>
      </c>
      <c r="H16" s="289" t="s">
        <v>251</v>
      </c>
      <c r="I16" s="289" t="s">
        <v>252</v>
      </c>
      <c r="J16" s="289" t="s">
        <v>253</v>
      </c>
      <c r="K16" s="290" t="s">
        <v>254</v>
      </c>
      <c r="L16" s="288" t="s">
        <v>255</v>
      </c>
      <c r="M16" s="289" t="s">
        <v>256</v>
      </c>
      <c r="N16" s="289" t="s">
        <v>257</v>
      </c>
      <c r="O16" s="289" t="s">
        <v>258</v>
      </c>
      <c r="P16" s="409" t="s">
        <v>379</v>
      </c>
      <c r="Q16" s="410"/>
      <c r="R16" s="410"/>
      <c r="S16" s="410"/>
    </row>
    <row r="17" spans="2:20" x14ac:dyDescent="0.3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3"/>
      <c r="N17" s="293"/>
      <c r="O17" s="293"/>
      <c r="R17" s="26" t="s">
        <v>105</v>
      </c>
      <c r="S17" s="26" t="s">
        <v>106</v>
      </c>
    </row>
    <row r="18" spans="2:20" x14ac:dyDescent="0.3">
      <c r="B18" s="293" t="s">
        <v>259</v>
      </c>
      <c r="C18" s="294" t="s">
        <v>2</v>
      </c>
      <c r="D18" s="295">
        <v>149</v>
      </c>
      <c r="E18" s="296">
        <f>(ROUND(D18*K18,2)+ROUND(G18,2)+ROUND(J18,2))/ROUND(D18,4)</f>
        <v>0.63046979865771813</v>
      </c>
      <c r="F18" s="297">
        <f>ROUND(D18*E18,2)</f>
        <v>93.94</v>
      </c>
      <c r="G18" s="297">
        <f>((D18*K18)/(1-$N$18-$N$20))*($N$18+$N$20)</f>
        <v>4.8108151640933068</v>
      </c>
      <c r="H18" s="298">
        <f>((D18*K18)/(1-$N$18-$N$20)/(1-$I$18))</f>
        <v>93.941051026016027</v>
      </c>
      <c r="I18" s="299">
        <v>0.17</v>
      </c>
      <c r="J18" s="298">
        <f>(H18*$I$18)</f>
        <v>15.969978674422725</v>
      </c>
      <c r="K18" s="296">
        <f>IF(AND($B$14&lt;$F$2,$E$14&lt;$F$2),C6,IF($B$14&lt;$F$2,I6,F6))</f>
        <v>0.49100843750000001</v>
      </c>
      <c r="L18" s="47" t="s">
        <v>92</v>
      </c>
      <c r="M18" s="297">
        <f>D71</f>
        <v>133.46477672386229</v>
      </c>
      <c r="N18" s="300">
        <v>1.0999999999999999E-2</v>
      </c>
      <c r="O18" s="301">
        <f>ROUND(M18*N18,2)</f>
        <v>1.47</v>
      </c>
      <c r="R18" s="258">
        <f>IF(AND($B$14&lt;$F$2,$E$14&lt;$F$2),R6,IF($B$14&lt;$F$2,X6,U6))</f>
        <v>0.20698998865091706</v>
      </c>
      <c r="S18" s="137">
        <f>D18*R18</f>
        <v>30.84150830898664</v>
      </c>
    </row>
    <row r="19" spans="2:20" x14ac:dyDescent="0.3">
      <c r="B19" s="293" t="s">
        <v>260</v>
      </c>
      <c r="C19" s="294" t="s">
        <v>2</v>
      </c>
      <c r="D19" s="302">
        <f>D18</f>
        <v>149</v>
      </c>
      <c r="E19" s="296">
        <f>(ROUND(D19*K19,2)+ROUND(G19,2)+ROUND(J19,2))/ROUND(D19,4)</f>
        <v>0.42449664429530204</v>
      </c>
      <c r="F19" s="297">
        <f>ROUND(D19*E19,2)</f>
        <v>63.25</v>
      </c>
      <c r="G19" s="297">
        <f>((D19*K19)/(1-$N$18-$N$20))*($N$18+$N$20)</f>
        <v>3.2391765368552172</v>
      </c>
      <c r="H19" s="298">
        <f>ROUND((D19*K19)/(1-$N$18-$N$20)/(1-$I$18),8)</f>
        <v>63.251577529999999</v>
      </c>
      <c r="I19" s="293"/>
      <c r="J19" s="298">
        <f t="shared" ref="J19:J23" si="3">(H19*$I$18)</f>
        <v>10.7527681801</v>
      </c>
      <c r="K19" s="296">
        <f>IF(AND($B$14&lt;$F$2,$E$14&lt;$F$2),D6,IF($B$14&lt;$F$2,J6,G6))</f>
        <v>0.3306015625</v>
      </c>
      <c r="L19" s="47" t="s">
        <v>261</v>
      </c>
      <c r="M19" s="297">
        <f>D72</f>
        <v>-43.887882340402854</v>
      </c>
      <c r="N19" s="300">
        <f>N18</f>
        <v>1.0999999999999999E-2</v>
      </c>
      <c r="O19" s="301">
        <f>ROUND(M19*N19,2)</f>
        <v>-0.48</v>
      </c>
    </row>
    <row r="20" spans="2:20" x14ac:dyDescent="0.3">
      <c r="B20" s="293" t="s">
        <v>43</v>
      </c>
      <c r="C20" s="294" t="s">
        <v>2</v>
      </c>
      <c r="D20" s="302">
        <f>IF($K$12=M4,($D$18*($K$14)/($L$14+$K$14)),0)+IF($L$12=M4,($D$18*($L$14)/($L$14+$K$14)),0)</f>
        <v>149</v>
      </c>
      <c r="E20" s="296">
        <f>IFERROR((ROUND(D20*K20,2)+ROUND(G20,2)+ROUND(J20,2))/ROUND(D20,4), 0)</f>
        <v>2.4161073825503355E-2</v>
      </c>
      <c r="F20" s="297">
        <f t="shared" ref="F20:F23" si="4">ROUND(D20*E20,2)</f>
        <v>3.6</v>
      </c>
      <c r="G20" s="297">
        <f t="shared" ref="G20:G23" si="5">((D20*K20)/(1-$N$18-$N$20))*($N$18+$N$20)</f>
        <v>0.18468901737184268</v>
      </c>
      <c r="H20" s="298">
        <f t="shared" ref="H20:H23" si="6">ROUND((D20*K20)/(1-$N$18-$N$20)/(1-$I$18),8)</f>
        <v>3.6064325500000001</v>
      </c>
      <c r="I20" s="293"/>
      <c r="J20" s="298">
        <f t="shared" si="3"/>
        <v>0.61309353350000007</v>
      </c>
      <c r="K20" s="296">
        <f>N4</f>
        <v>1.8849999999999999E-2</v>
      </c>
      <c r="L20" s="47" t="s">
        <v>51</v>
      </c>
      <c r="M20" s="297">
        <f>M18</f>
        <v>133.46477672386229</v>
      </c>
      <c r="N20" s="300">
        <v>5.0700000000000002E-2</v>
      </c>
      <c r="O20" s="301">
        <f>ROUND(M20*N20,2)</f>
        <v>6.77</v>
      </c>
      <c r="R20" s="303"/>
    </row>
    <row r="21" spans="2:20" x14ac:dyDescent="0.3">
      <c r="B21" s="293" t="s">
        <v>262</v>
      </c>
      <c r="C21" s="294" t="s">
        <v>2</v>
      </c>
      <c r="D21" s="302">
        <f t="shared" ref="D21:D22" si="7">IF($K$12=M5,($D$18*($K$14)/($L$14+$K$14)),0)+IF($L$12=M5,($D$18*($L$14)/($L$14+$K$14)),0)</f>
        <v>0</v>
      </c>
      <c r="E21" s="296">
        <f t="shared" ref="E21:E23" si="8">IFERROR((ROUND(D21*K21,2)+ROUND(G21,2)+ROUND(J21,2))/ROUND(D21,4), 0)</f>
        <v>0</v>
      </c>
      <c r="F21" s="297">
        <f t="shared" si="4"/>
        <v>0</v>
      </c>
      <c r="G21" s="297">
        <f t="shared" si="5"/>
        <v>0</v>
      </c>
      <c r="H21" s="298">
        <f t="shared" si="6"/>
        <v>0</v>
      </c>
      <c r="I21" s="293"/>
      <c r="J21" s="298">
        <f t="shared" si="3"/>
        <v>0</v>
      </c>
      <c r="K21" s="296">
        <f>N5</f>
        <v>4.4630000000000003E-2</v>
      </c>
      <c r="L21" s="47" t="s">
        <v>263</v>
      </c>
      <c r="M21" s="297">
        <f>M19</f>
        <v>-43.887882340402854</v>
      </c>
      <c r="N21" s="300">
        <f>N20</f>
        <v>5.0700000000000002E-2</v>
      </c>
      <c r="O21" s="301">
        <f>ROUND(M21*N21,2)</f>
        <v>-2.23</v>
      </c>
    </row>
    <row r="22" spans="2:20" x14ac:dyDescent="0.3">
      <c r="B22" s="293" t="s">
        <v>264</v>
      </c>
      <c r="C22" s="294" t="s">
        <v>2</v>
      </c>
      <c r="D22" s="302">
        <f t="shared" si="7"/>
        <v>0</v>
      </c>
      <c r="E22" s="296">
        <f t="shared" si="8"/>
        <v>0</v>
      </c>
      <c r="F22" s="297">
        <f t="shared" si="4"/>
        <v>0</v>
      </c>
      <c r="G22" s="297">
        <f t="shared" si="5"/>
        <v>0</v>
      </c>
      <c r="H22" s="298">
        <f t="shared" si="6"/>
        <v>0</v>
      </c>
      <c r="I22" s="293"/>
      <c r="J22" s="298">
        <f t="shared" si="3"/>
        <v>0</v>
      </c>
      <c r="K22" s="296">
        <f>N6</f>
        <v>7.8770000000000007E-2</v>
      </c>
      <c r="L22" s="47"/>
      <c r="M22" s="297"/>
      <c r="N22" s="297"/>
      <c r="O22" s="297"/>
    </row>
    <row r="23" spans="2:20" x14ac:dyDescent="0.3">
      <c r="B23" s="293" t="s">
        <v>265</v>
      </c>
      <c r="C23" s="294" t="s">
        <v>2</v>
      </c>
      <c r="D23" s="302">
        <f>IF($K$12=M8,($D$18*($K$14)/($L$14+$K$14)),0)+IF($L$12=M8,($D$18*($L$14)/($L$14+$K$14)),0)</f>
        <v>0</v>
      </c>
      <c r="E23" s="296">
        <f t="shared" si="8"/>
        <v>0</v>
      </c>
      <c r="F23" s="297">
        <f t="shared" si="4"/>
        <v>0</v>
      </c>
      <c r="G23" s="297">
        <f t="shared" si="5"/>
        <v>0</v>
      </c>
      <c r="H23" s="298">
        <f t="shared" si="6"/>
        <v>0</v>
      </c>
      <c r="I23" s="293"/>
      <c r="J23" s="298">
        <f t="shared" si="3"/>
        <v>0</v>
      </c>
      <c r="K23" s="296">
        <f>N8</f>
        <v>0.14199999999999999</v>
      </c>
      <c r="L23" s="47"/>
      <c r="M23" s="297"/>
      <c r="N23" s="297"/>
      <c r="O23" s="297"/>
    </row>
    <row r="24" spans="2:20" x14ac:dyDescent="0.3">
      <c r="B24" s="293"/>
      <c r="C24" s="294"/>
      <c r="D24" s="302"/>
      <c r="E24" s="296"/>
      <c r="F24" s="297"/>
      <c r="G24" s="297"/>
      <c r="H24" s="298"/>
      <c r="I24" s="293"/>
      <c r="J24" s="298"/>
      <c r="K24" s="296"/>
      <c r="L24" s="47"/>
      <c r="M24" s="297"/>
      <c r="N24" s="297"/>
      <c r="O24" s="297"/>
    </row>
    <row r="25" spans="2:20" x14ac:dyDescent="0.3">
      <c r="B25" s="293" t="s">
        <v>266</v>
      </c>
      <c r="C25" s="294" t="s">
        <v>2</v>
      </c>
      <c r="D25" s="295">
        <v>-57.503</v>
      </c>
      <c r="E25" s="296">
        <f t="shared" ref="E25:E26" si="9">IFERROR((ROUND(D25*K25,2)+ROUND(G25,2)+ROUND(J25,2))/ROUND(D25,4),0)</f>
        <v>0.39093612507173542</v>
      </c>
      <c r="F25" s="297">
        <f>ROUND(D25*E25,2)</f>
        <v>-22.48</v>
      </c>
      <c r="G25" s="297">
        <f>((D25*K25)/(1-$N$19-$N$21))*($N$19+$N$21)</f>
        <v>-1.3865930602217356</v>
      </c>
      <c r="H25" s="298">
        <v>0</v>
      </c>
      <c r="I25" s="299">
        <v>0</v>
      </c>
      <c r="J25" s="298">
        <f>H25*$I$25</f>
        <v>0</v>
      </c>
      <c r="K25" s="389">
        <f>E57</f>
        <v>0.36670351394140621</v>
      </c>
      <c r="L25" s="47"/>
      <c r="M25" s="297"/>
      <c r="N25" s="297"/>
      <c r="O25" s="297"/>
    </row>
    <row r="26" spans="2:20" x14ac:dyDescent="0.3">
      <c r="B26" s="293" t="s">
        <v>267</v>
      </c>
      <c r="C26" s="294" t="s">
        <v>2</v>
      </c>
      <c r="D26" s="295">
        <f>D25</f>
        <v>-57.503</v>
      </c>
      <c r="E26" s="296">
        <f t="shared" si="9"/>
        <v>0.42449959132567006</v>
      </c>
      <c r="F26" s="297">
        <f>ROUND(D26*E26,2)</f>
        <v>-24.41</v>
      </c>
      <c r="G26" s="297">
        <f t="shared" ref="G26:G30" si="10">((D26*K26)/(1-$N$19-$N$21))*($N$19+$N$21)</f>
        <v>-1.2500830093878226</v>
      </c>
      <c r="H26" s="298">
        <f>ROUND((D26*K26)/(1-$N$19-$N$21)/(1-$I$26),8)</f>
        <v>-24.410439350000001</v>
      </c>
      <c r="I26" s="299">
        <f>I18</f>
        <v>0.17</v>
      </c>
      <c r="J26" s="298">
        <f>H26*$I$26</f>
        <v>-4.1497746895000001</v>
      </c>
      <c r="K26" s="296">
        <f>F57</f>
        <v>0.3306015625</v>
      </c>
      <c r="L26" s="47"/>
      <c r="M26" s="297"/>
      <c r="N26" s="297"/>
      <c r="O26" s="297"/>
    </row>
    <row r="27" spans="2:20" x14ac:dyDescent="0.3">
      <c r="B27" s="293" t="s">
        <v>268</v>
      </c>
      <c r="C27" s="294" t="s">
        <v>2</v>
      </c>
      <c r="D27" s="302">
        <f>IF($K$12=M4,($D$25*($K$14)/($K$14+$L$14)),0)+IF($L$12=M4,($D$25*($L$14)/($K$14+$L$14)),0)</f>
        <v>-57.503</v>
      </c>
      <c r="E27" s="296">
        <f>IFERROR((ROUND(D27*K27,2)+ROUND(G27,2)+ROUND(J27,2))/ROUND(D27,4),0)</f>
        <v>2.4172651861642004E-2</v>
      </c>
      <c r="F27" s="297">
        <f t="shared" ref="F27:F30" si="11">ROUND(D27*E27,2)</f>
        <v>-1.39</v>
      </c>
      <c r="G27" s="297">
        <f t="shared" si="10"/>
        <v>-7.1276325945859531E-2</v>
      </c>
      <c r="H27" s="298">
        <f t="shared" ref="H27:H30" si="12">ROUND((D27*K27)/(1-$N$19-$N$21)/(1-$I$26),8)</f>
        <v>-1.39181672</v>
      </c>
      <c r="I27" s="293"/>
      <c r="J27" s="298">
        <f t="shared" ref="J27:J30" si="13">H27*$I$26</f>
        <v>-0.23660884240000002</v>
      </c>
      <c r="K27" s="296">
        <f>N4</f>
        <v>1.8849999999999999E-2</v>
      </c>
      <c r="L27" s="268"/>
      <c r="M27" s="304"/>
      <c r="N27" s="304"/>
      <c r="O27" s="304"/>
      <c r="R27" s="303"/>
    </row>
    <row r="28" spans="2:20" x14ac:dyDescent="0.3">
      <c r="B28" s="293" t="s">
        <v>269</v>
      </c>
      <c r="C28" s="294" t="s">
        <v>2</v>
      </c>
      <c r="D28" s="302">
        <f t="shared" ref="D28:D30" si="14">IF($K$12=M5,($D$25*($K$14)/($K$14+$L$14)),0)+IF($L$12=M5,($D$25*($L$14)/($K$14+$L$14)),0)</f>
        <v>0</v>
      </c>
      <c r="E28" s="296">
        <f t="shared" ref="E28:E30" si="15">IFERROR((ROUND(D28*K28,2)+ROUND(G28,2)+ROUND(J28,2))/ROUND(D28,4),0)</f>
        <v>0</v>
      </c>
      <c r="F28" s="297">
        <f t="shared" si="11"/>
        <v>0</v>
      </c>
      <c r="G28" s="297">
        <f t="shared" si="10"/>
        <v>0</v>
      </c>
      <c r="H28" s="298">
        <f t="shared" si="12"/>
        <v>0</v>
      </c>
      <c r="I28" s="293"/>
      <c r="J28" s="298">
        <f t="shared" si="13"/>
        <v>0</v>
      </c>
      <c r="K28" s="296">
        <f>N5</f>
        <v>4.4630000000000003E-2</v>
      </c>
      <c r="O28" s="292"/>
      <c r="Q28" s="56"/>
      <c r="R28" s="165"/>
      <c r="S28" s="305"/>
      <c r="T28" s="56"/>
    </row>
    <row r="29" spans="2:20" x14ac:dyDescent="0.3">
      <c r="B29" s="293" t="s">
        <v>270</v>
      </c>
      <c r="C29" s="294" t="s">
        <v>2</v>
      </c>
      <c r="D29" s="302">
        <f t="shared" si="14"/>
        <v>0</v>
      </c>
      <c r="E29" s="296">
        <f t="shared" si="15"/>
        <v>0</v>
      </c>
      <c r="F29" s="297">
        <f t="shared" si="11"/>
        <v>0</v>
      </c>
      <c r="G29" s="297">
        <f t="shared" si="10"/>
        <v>0</v>
      </c>
      <c r="H29" s="298">
        <f t="shared" si="12"/>
        <v>0</v>
      </c>
      <c r="I29" s="293"/>
      <c r="J29" s="298">
        <f t="shared" si="13"/>
        <v>0</v>
      </c>
      <c r="K29" s="296">
        <f>N6</f>
        <v>7.8770000000000007E-2</v>
      </c>
      <c r="O29" s="292"/>
      <c r="S29" s="305"/>
    </row>
    <row r="30" spans="2:20" x14ac:dyDescent="0.3">
      <c r="B30" s="293" t="s">
        <v>271</v>
      </c>
      <c r="C30" s="294" t="s">
        <v>2</v>
      </c>
      <c r="D30" s="302">
        <f t="shared" si="14"/>
        <v>0</v>
      </c>
      <c r="E30" s="296">
        <f t="shared" si="15"/>
        <v>0</v>
      </c>
      <c r="F30" s="297">
        <f t="shared" si="11"/>
        <v>0</v>
      </c>
      <c r="G30" s="297">
        <f t="shared" si="10"/>
        <v>0</v>
      </c>
      <c r="H30" s="298">
        <f t="shared" si="12"/>
        <v>0</v>
      </c>
      <c r="I30" s="293"/>
      <c r="J30" s="298">
        <f t="shared" si="13"/>
        <v>0</v>
      </c>
      <c r="K30" s="296">
        <f>N8</f>
        <v>0.14199999999999999</v>
      </c>
      <c r="O30" s="292"/>
      <c r="S30" s="305"/>
    </row>
    <row r="31" spans="2:20" x14ac:dyDescent="0.3">
      <c r="B31" s="293"/>
      <c r="C31" s="294"/>
      <c r="D31" s="302"/>
      <c r="E31" s="296"/>
      <c r="F31" s="297"/>
      <c r="G31" s="297"/>
      <c r="H31" s="298"/>
      <c r="I31" s="293"/>
      <c r="J31" s="298"/>
      <c r="K31" s="296"/>
      <c r="O31" s="292"/>
      <c r="S31" s="305"/>
    </row>
    <row r="32" spans="2:20" x14ac:dyDescent="0.3">
      <c r="B32" s="293" t="s">
        <v>272</v>
      </c>
      <c r="C32" s="293"/>
      <c r="D32" s="302"/>
      <c r="E32" s="293"/>
      <c r="F32" s="306"/>
      <c r="G32" s="293"/>
      <c r="H32" s="293"/>
      <c r="I32" s="293"/>
      <c r="J32" s="293"/>
      <c r="K32" s="293"/>
      <c r="O32" s="292"/>
      <c r="S32" s="305"/>
    </row>
    <row r="33" spans="1:22" x14ac:dyDescent="0.3">
      <c r="B33" s="293" t="s">
        <v>273</v>
      </c>
      <c r="C33" s="293"/>
      <c r="D33" s="302"/>
      <c r="E33" s="293"/>
      <c r="F33" s="306"/>
      <c r="G33" s="293"/>
      <c r="H33" s="293"/>
      <c r="I33" s="293"/>
      <c r="J33" s="293"/>
      <c r="K33" s="293"/>
      <c r="O33" s="292"/>
      <c r="S33" s="305"/>
    </row>
    <row r="34" spans="1:22" x14ac:dyDescent="0.3">
      <c r="B34" s="293" t="s">
        <v>274</v>
      </c>
      <c r="C34" s="293"/>
      <c r="D34" s="302"/>
      <c r="E34" s="293"/>
      <c r="F34" s="306"/>
      <c r="G34" s="293"/>
      <c r="H34" s="293"/>
      <c r="I34" s="293"/>
      <c r="J34" s="293"/>
      <c r="K34" s="293"/>
      <c r="O34" s="292"/>
      <c r="S34" s="305"/>
    </row>
    <row r="35" spans="1:22" x14ac:dyDescent="0.3">
      <c r="B35" s="293" t="s">
        <v>289</v>
      </c>
      <c r="C35" s="293"/>
      <c r="D35" s="302"/>
      <c r="E35" s="293"/>
      <c r="F35" s="306">
        <v>-7.07</v>
      </c>
      <c r="G35" s="293"/>
      <c r="H35" s="293"/>
      <c r="I35" s="293"/>
      <c r="J35" s="293"/>
      <c r="K35" s="293"/>
      <c r="O35" s="292"/>
      <c r="S35" s="305"/>
    </row>
    <row r="36" spans="1:22" x14ac:dyDescent="0.3">
      <c r="B36" s="293" t="s">
        <v>275</v>
      </c>
      <c r="C36" s="293"/>
      <c r="D36" s="302"/>
      <c r="E36" s="293"/>
      <c r="F36" s="306">
        <v>40.369999999999997</v>
      </c>
      <c r="G36" s="293"/>
      <c r="H36" s="293"/>
      <c r="I36" s="293"/>
      <c r="J36" s="293"/>
      <c r="K36" s="293"/>
      <c r="O36" s="292"/>
    </row>
    <row r="37" spans="1:22" x14ac:dyDescent="0.3">
      <c r="B37" s="293"/>
      <c r="C37" s="293"/>
      <c r="D37" s="302"/>
      <c r="E37" s="293"/>
      <c r="F37" s="293"/>
      <c r="G37" s="293"/>
      <c r="H37" s="293"/>
      <c r="I37" s="293"/>
      <c r="J37" s="293"/>
      <c r="K37" s="293"/>
      <c r="O37" s="292"/>
    </row>
    <row r="38" spans="1:22" x14ac:dyDescent="0.3">
      <c r="B38" s="307" t="s">
        <v>162</v>
      </c>
      <c r="C38" s="304"/>
      <c r="D38" s="308"/>
      <c r="E38" s="304"/>
      <c r="F38" s="309">
        <f>SUM(F18:F37)</f>
        <v>145.81</v>
      </c>
      <c r="G38" s="310">
        <f>SUM(G18:G37)</f>
        <v>5.5267283227649493</v>
      </c>
      <c r="H38" s="311">
        <f>SUM(H18:H37)</f>
        <v>134.99680503601601</v>
      </c>
      <c r="I38" s="304"/>
      <c r="J38" s="311">
        <f>SUM(J18:J37)</f>
        <v>22.949456856122726</v>
      </c>
      <c r="K38" s="304"/>
      <c r="L38" s="75"/>
      <c r="M38" s="75"/>
      <c r="N38" s="75"/>
      <c r="O38" s="268"/>
    </row>
    <row r="40" spans="1:22" x14ac:dyDescent="0.3">
      <c r="B40" s="312" t="s">
        <v>193</v>
      </c>
      <c r="C40" s="313"/>
      <c r="D40" s="313">
        <f>D18</f>
        <v>149</v>
      </c>
      <c r="E40" s="314">
        <f>IF(AND($B$14&lt;$F$2,$E$14&lt;$F$2),C7,IF($B$14&lt;$F$2,I7,F7))</f>
        <v>1.8563466231698788E-4</v>
      </c>
      <c r="F40" s="314">
        <f>IF(AND($B$14&lt;$F$2,$E$14&lt;$F$2),D7,IF($B$14&lt;$F$2,J7,G7))</f>
        <v>-2.1045457770112975E-3</v>
      </c>
      <c r="G40" s="312">
        <f>D40*(E40+F40)</f>
        <v>-0.28591775608945214</v>
      </c>
    </row>
    <row r="41" spans="1:22" x14ac:dyDescent="0.3">
      <c r="B41" s="312"/>
      <c r="C41" s="313"/>
      <c r="D41" s="313">
        <f>D25</f>
        <v>-57.503</v>
      </c>
      <c r="E41" s="314">
        <f>IF(AND($B$14&lt;$F$2,$E$14&lt;$F$2),C7*$F$44,IF($B$14&lt;$F$2,(((I7*F44)*C14)+((I7*F45)*D14))/(C14+D14),I7*$F$45))</f>
        <v>1.3863892711816345E-4</v>
      </c>
      <c r="F41" s="314">
        <f>IF(AND($B$14&lt;$F$2,$E$14&lt;$F$2),D7,IF($B$14&lt;$F$2,J7,G7))</f>
        <v>-2.1045457770112975E-3</v>
      </c>
      <c r="G41" s="312">
        <f>D41*(E41+F41)</f>
        <v>0.11304554158940489</v>
      </c>
    </row>
    <row r="42" spans="1:22" x14ac:dyDescent="0.3">
      <c r="D42" s="313"/>
      <c r="E42" s="314"/>
      <c r="F42" s="314"/>
      <c r="G42" s="312">
        <f>SUM(G40:G41)</f>
        <v>-0.17287221450004725</v>
      </c>
    </row>
    <row r="43" spans="1:22" x14ac:dyDescent="0.3">
      <c r="B43" s="1"/>
      <c r="F43" s="254"/>
      <c r="G43"/>
      <c r="H43" s="3"/>
      <c r="J43" s="392"/>
      <c r="K43" s="393"/>
    </row>
    <row r="44" spans="1:22" x14ac:dyDescent="0.3">
      <c r="B44" s="5" t="s">
        <v>55</v>
      </c>
      <c r="E44" s="26" t="s">
        <v>10</v>
      </c>
      <c r="F44" s="85">
        <v>0.73899999999999999</v>
      </c>
      <c r="G44" s="86" t="s">
        <v>9</v>
      </c>
      <c r="H44" s="85">
        <v>1</v>
      </c>
      <c r="I44" s="280" t="s">
        <v>376</v>
      </c>
      <c r="J44"/>
      <c r="M44"/>
      <c r="N44"/>
      <c r="O44"/>
      <c r="P44"/>
      <c r="Q44"/>
      <c r="R44"/>
      <c r="S44"/>
      <c r="T44"/>
      <c r="U44"/>
      <c r="V44"/>
    </row>
    <row r="45" spans="1:22" x14ac:dyDescent="0.3">
      <c r="B45" s="5"/>
      <c r="E45" s="26" t="s">
        <v>10</v>
      </c>
      <c r="F45" s="85">
        <v>0.75219999999999998</v>
      </c>
      <c r="G45" s="86" t="s">
        <v>9</v>
      </c>
      <c r="H45" s="85">
        <v>1</v>
      </c>
      <c r="I45" s="280" t="s">
        <v>377</v>
      </c>
      <c r="J45"/>
      <c r="M45"/>
      <c r="N45"/>
      <c r="O45"/>
      <c r="P45"/>
      <c r="Q45"/>
      <c r="R45"/>
      <c r="S45"/>
      <c r="T45"/>
      <c r="U45"/>
      <c r="V45"/>
    </row>
    <row r="46" spans="1:22" x14ac:dyDescent="0.3">
      <c r="B46" s="415" t="s">
        <v>39</v>
      </c>
      <c r="C46" s="416"/>
      <c r="D46" s="416"/>
      <c r="E46" s="416"/>
      <c r="F46" s="416"/>
      <c r="G46" s="416"/>
      <c r="H46" s="417"/>
      <c r="I46"/>
      <c r="J46"/>
      <c r="K46"/>
      <c r="L46"/>
      <c r="N46"/>
      <c r="O46"/>
      <c r="P46"/>
      <c r="Q46"/>
      <c r="R46"/>
      <c r="S46"/>
      <c r="T46"/>
      <c r="U46"/>
      <c r="V46"/>
    </row>
    <row r="47" spans="1:22" x14ac:dyDescent="0.3">
      <c r="B47" s="41"/>
      <c r="D47" s="46" t="s">
        <v>40</v>
      </c>
      <c r="E47" s="46" t="s">
        <v>10</v>
      </c>
      <c r="F47" s="46" t="s">
        <v>9</v>
      </c>
      <c r="G47" s="46" t="s">
        <v>34</v>
      </c>
      <c r="H47" s="47" t="s">
        <v>7</v>
      </c>
      <c r="I47"/>
      <c r="J47" s="46" t="s">
        <v>8</v>
      </c>
      <c r="K47"/>
      <c r="L47"/>
      <c r="N47"/>
      <c r="O47"/>
      <c r="P47"/>
      <c r="Q47"/>
      <c r="R47"/>
      <c r="S47"/>
      <c r="T47"/>
      <c r="U47"/>
      <c r="V47"/>
    </row>
    <row r="48" spans="1:22" x14ac:dyDescent="0.3">
      <c r="A48" s="19" t="s">
        <v>8</v>
      </c>
      <c r="B48" s="48" t="s">
        <v>41</v>
      </c>
      <c r="C48" s="49"/>
      <c r="D48" s="50"/>
      <c r="E48" s="50"/>
      <c r="F48" s="50"/>
      <c r="G48" s="50"/>
      <c r="H48" s="51">
        <f>SUM(H50:H66)+SUM(H71:H76)</f>
        <v>112.52752814917214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3">
      <c r="A49" s="19" t="s">
        <v>8</v>
      </c>
      <c r="B49" s="41"/>
      <c r="D49" s="46"/>
      <c r="E49" s="46"/>
      <c r="F49" s="46"/>
      <c r="G49" s="46"/>
      <c r="H49" s="52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x14ac:dyDescent="0.3">
      <c r="A50" s="19" t="s">
        <v>8</v>
      </c>
      <c r="B50" s="41" t="s">
        <v>42</v>
      </c>
      <c r="D50" s="89">
        <f>D18</f>
        <v>149</v>
      </c>
      <c r="E50" s="53">
        <f>IF(AND($B$14&lt;$F$2,$E$14&lt;$F$2),C6,IF($B$14&lt;$F$2,I6,F6))</f>
        <v>0.49100843750000001</v>
      </c>
      <c r="F50" s="53">
        <f>IF(AND($B$14&lt;$F$2,$E$14&lt;$F$2),D6,IF($B$14&lt;$F$2,J6,G6))</f>
        <v>0.3306015625</v>
      </c>
      <c r="G50" s="53">
        <f>E50+F50</f>
        <v>0.82160999999999995</v>
      </c>
      <c r="H50" s="54">
        <f>ROUND((D50*E50),2)+ROUND((D50*F50),2)</f>
        <v>122.41999999999999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x14ac:dyDescent="0.3">
      <c r="B51" s="41"/>
      <c r="D51" s="55"/>
      <c r="E51" s="56"/>
      <c r="F51" s="57"/>
      <c r="G51" s="57"/>
      <c r="H51" s="54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3">
      <c r="B52" s="41" t="s">
        <v>43</v>
      </c>
      <c r="D52" s="58">
        <f>IF($K$12=M4,(D50*(K14)/(K14+L14)),0)+IF($L$12=M4,(D50*(L14)/(K14+L14)),0)</f>
        <v>149</v>
      </c>
      <c r="F52" s="59">
        <f>N4</f>
        <v>1.8849999999999999E-2</v>
      </c>
      <c r="G52" s="59"/>
      <c r="H52" s="54">
        <f>ROUND(D52*(E52+F52),2)</f>
        <v>2.81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x14ac:dyDescent="0.3">
      <c r="B53" s="41" t="s">
        <v>44</v>
      </c>
      <c r="D53" s="58">
        <f>IF($K$12=M5,(D50*(K14)/(K14+L14)),0)+IF($L$12=M5,(D50*(L14)/(K14+L14)),0)</f>
        <v>0</v>
      </c>
      <c r="F53" s="59">
        <f>N5</f>
        <v>4.4630000000000003E-2</v>
      </c>
      <c r="G53" s="59"/>
      <c r="H53" s="54">
        <f>ROUND(D53*(E53+F53),2)</f>
        <v>0</v>
      </c>
      <c r="I53"/>
      <c r="J53"/>
      <c r="K53"/>
      <c r="L53"/>
      <c r="M53"/>
      <c r="O53"/>
      <c r="P53"/>
      <c r="Q53"/>
      <c r="R53"/>
      <c r="S53"/>
      <c r="T53"/>
      <c r="U53"/>
      <c r="V53"/>
    </row>
    <row r="54" spans="1:22" x14ac:dyDescent="0.3">
      <c r="B54" s="41" t="s">
        <v>45</v>
      </c>
      <c r="D54" s="58">
        <f>IF($K$12=M6,(D50*(K14)/(K14+L14)),0)+IF($L$12=M6,(D50*(L14)/(K14+L14)),0)</f>
        <v>0</v>
      </c>
      <c r="F54" s="59">
        <f>N6</f>
        <v>7.8770000000000007E-2</v>
      </c>
      <c r="G54" s="59"/>
      <c r="H54" s="54">
        <f>ROUND(D54*(E54+F54),2)</f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B55" s="41" t="s">
        <v>46</v>
      </c>
      <c r="D55" s="58">
        <f>IF($K$12=M8,(D50*(K14)/(K14+L14)),0)+IF($L$12=M8,(D50*(L14)/(K14+L14)),0)</f>
        <v>0</v>
      </c>
      <c r="F55" s="59">
        <f>N4</f>
        <v>1.8849999999999999E-2</v>
      </c>
      <c r="G55" s="59"/>
      <c r="H55" s="54">
        <f>ROUND(D55*(E55+F55),2)</f>
        <v>0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x14ac:dyDescent="0.3">
      <c r="B56" s="41"/>
      <c r="D56" s="60"/>
      <c r="H56" s="54"/>
      <c r="I56" s="1"/>
      <c r="J56" s="1"/>
      <c r="K56" s="90"/>
      <c r="L56" s="1" t="s">
        <v>381</v>
      </c>
      <c r="M56" s="1"/>
      <c r="N56" s="1"/>
      <c r="O56" s="1"/>
      <c r="P56" s="1"/>
    </row>
    <row r="57" spans="1:22" x14ac:dyDescent="0.3">
      <c r="B57" s="41" t="s">
        <v>47</v>
      </c>
      <c r="D57" s="223">
        <f>D26</f>
        <v>-57.503</v>
      </c>
      <c r="E57" s="27">
        <f>IF(AND($B$14&lt;$F$2,$E$14&lt;$F$2),C6*$F$44,IF($B$14&lt;$F$2,(((I6*F44)*C14)+((I6*F45)*D14))/(C14+D14),I6*$F$45))</f>
        <v>0.36670351394140621</v>
      </c>
      <c r="F57" s="53">
        <f>F50</f>
        <v>0.3306015625</v>
      </c>
      <c r="G57" s="53">
        <f>E57+F57</f>
        <v>0.69730507644140616</v>
      </c>
      <c r="H57" s="54">
        <f>ROUND((D57*E57),2)+ROUND((D57*F57),2)</f>
        <v>-40.1</v>
      </c>
      <c r="I57" s="1">
        <f>C6*F44</f>
        <v>0.34631756999999996</v>
      </c>
      <c r="J57" s="331">
        <f>(I57/31)*C14</f>
        <v>0.1452299487096774</v>
      </c>
      <c r="K57" s="90"/>
      <c r="L57" s="19">
        <v>0.39491809</v>
      </c>
      <c r="M57" s="1"/>
      <c r="N57" s="1"/>
      <c r="O57" s="1"/>
      <c r="P57" s="1"/>
    </row>
    <row r="58" spans="1:22" x14ac:dyDescent="0.3">
      <c r="B58" s="41"/>
      <c r="D58" s="55"/>
      <c r="E58" s="56"/>
      <c r="F58" s="57"/>
      <c r="G58" s="57"/>
      <c r="H58" s="54"/>
      <c r="I58" s="1">
        <f>F6*F45</f>
        <v>0.38085390399999997</v>
      </c>
      <c r="J58" s="1">
        <f>(I58/31)*D14</f>
        <v>0.23342658632258062</v>
      </c>
      <c r="K58" s="90"/>
      <c r="L58" s="1"/>
      <c r="M58" s="1"/>
      <c r="N58" s="1"/>
      <c r="O58" s="1"/>
      <c r="P58" s="1"/>
    </row>
    <row r="59" spans="1:22" x14ac:dyDescent="0.3">
      <c r="B59" s="41" t="s">
        <v>43</v>
      </c>
      <c r="D59" s="58">
        <f>IF($K$12=M4,($D$57*($K$14)/($K$14+$L$14)),0)+IF($L$12=M4,($D$57*($L$14)/($K$14+$L$14)),0)</f>
        <v>-57.503</v>
      </c>
      <c r="F59" s="59">
        <f>F52</f>
        <v>1.8849999999999999E-2</v>
      </c>
      <c r="G59" s="59"/>
      <c r="H59" s="54">
        <f>ROUND(D59*(E59+F59),2)</f>
        <v>-1.08</v>
      </c>
      <c r="I59" s="1"/>
      <c r="J59" s="1"/>
      <c r="K59" s="1"/>
      <c r="L59" s="1"/>
      <c r="M59" s="1"/>
      <c r="N59" s="1"/>
      <c r="O59" s="1"/>
      <c r="P59" s="1"/>
    </row>
    <row r="60" spans="1:22" x14ac:dyDescent="0.3">
      <c r="B60" s="41" t="s">
        <v>44</v>
      </c>
      <c r="D60" s="58">
        <f>IF($K$12=M5,($D$57*($K$14)/($K$14+$L$14)),0)+IF($L$12=M5,($D$57*($L$14)/($K$14+$L$14)),0)</f>
        <v>0</v>
      </c>
      <c r="F60" s="59">
        <f>F53</f>
        <v>4.4630000000000003E-2</v>
      </c>
      <c r="G60" s="59"/>
      <c r="H60" s="54">
        <f>ROUND(D60*(E60+F60),2)</f>
        <v>0</v>
      </c>
      <c r="I60" s="1"/>
      <c r="J60" s="1"/>
      <c r="K60" s="1"/>
      <c r="L60" s="1"/>
      <c r="M60" s="1"/>
      <c r="N60" s="1"/>
      <c r="O60" s="1"/>
      <c r="P60" s="1"/>
    </row>
    <row r="61" spans="1:22" x14ac:dyDescent="0.3">
      <c r="B61" s="41" t="s">
        <v>45</v>
      </c>
      <c r="D61" s="58">
        <f>IF($K$12=M6,($D$57*($K$14)/($K$14+$L$14)),0)+IF($L$12=M6,($D$57*($L$14)/($K$14+$L$14)),0)</f>
        <v>0</v>
      </c>
      <c r="F61" s="59">
        <f>F54</f>
        <v>7.8770000000000007E-2</v>
      </c>
      <c r="G61" s="59"/>
      <c r="H61" s="54">
        <f>ROUND(D61*(E61+F61),2)</f>
        <v>0</v>
      </c>
      <c r="I61" s="1"/>
      <c r="J61" s="1"/>
      <c r="K61" s="1"/>
      <c r="L61" s="1"/>
      <c r="M61" s="1"/>
      <c r="N61" s="1"/>
      <c r="O61" s="1"/>
      <c r="P61" s="1"/>
    </row>
    <row r="62" spans="1:22" x14ac:dyDescent="0.3">
      <c r="B62" s="41" t="s">
        <v>46</v>
      </c>
      <c r="D62" s="58">
        <f>IF($K$12=M8,($D$57*($K$14)/($K$14+$L$14)),0)+IF($L$12=M8,($D$57*($L$14)/($K$14+$L$14)),0)</f>
        <v>0</v>
      </c>
      <c r="F62" s="59">
        <f>F55</f>
        <v>1.8849999999999999E-2</v>
      </c>
      <c r="G62" s="59"/>
      <c r="H62" s="54">
        <f>ROUND(D62*(E62+F62),2)</f>
        <v>0</v>
      </c>
      <c r="J62" s="1"/>
      <c r="K62" s="1"/>
      <c r="L62" s="1"/>
      <c r="M62" s="1"/>
      <c r="N62" s="1"/>
      <c r="O62" s="1"/>
      <c r="P62" s="1"/>
    </row>
    <row r="63" spans="1:22" x14ac:dyDescent="0.3">
      <c r="B63" s="41"/>
      <c r="D63" s="58"/>
      <c r="F63" s="59"/>
      <c r="G63" s="59"/>
      <c r="H63" s="54"/>
      <c r="J63" s="1"/>
      <c r="K63" s="1"/>
      <c r="L63" s="1"/>
      <c r="M63" s="1"/>
      <c r="N63" s="1"/>
      <c r="O63" s="1"/>
      <c r="P63" s="1"/>
    </row>
    <row r="64" spans="1:22" x14ac:dyDescent="0.3">
      <c r="B64" s="119"/>
      <c r="C64" s="120"/>
      <c r="D64" s="121"/>
      <c r="E64" s="122"/>
      <c r="F64" s="123"/>
      <c r="G64" s="122"/>
      <c r="H64" s="124"/>
      <c r="I64" s="116"/>
      <c r="J64" s="1"/>
      <c r="K64" s="1"/>
      <c r="L64" s="1"/>
      <c r="M64" s="1"/>
      <c r="N64" s="1"/>
      <c r="O64" s="1"/>
      <c r="P64" s="1"/>
    </row>
    <row r="65" spans="2:16" x14ac:dyDescent="0.3">
      <c r="B65" s="119"/>
      <c r="C65" s="120"/>
      <c r="D65" s="125"/>
      <c r="E65" s="120"/>
      <c r="F65" s="126"/>
      <c r="G65" s="126"/>
      <c r="H65" s="124"/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119"/>
      <c r="C66" s="120"/>
      <c r="D66" s="121"/>
      <c r="E66" s="122"/>
      <c r="F66" s="123"/>
      <c r="G66" s="122"/>
      <c r="H66" s="124"/>
      <c r="I66" s="97"/>
      <c r="K66" s="1"/>
      <c r="L66" s="1"/>
      <c r="M66" s="1"/>
      <c r="N66" s="1"/>
      <c r="O66" s="1"/>
      <c r="P66" s="1"/>
    </row>
    <row r="67" spans="2:16" x14ac:dyDescent="0.3">
      <c r="B67" s="61"/>
      <c r="C67" s="24"/>
      <c r="D67" s="24"/>
      <c r="E67" s="24"/>
      <c r="F67" s="24"/>
      <c r="G67" s="24"/>
      <c r="H67" s="62"/>
      <c r="I67"/>
      <c r="J67" s="1"/>
      <c r="K67" s="1"/>
      <c r="L67" s="1"/>
      <c r="M67" s="1"/>
      <c r="N67" s="1"/>
      <c r="O67" s="1"/>
      <c r="P67" s="1"/>
    </row>
    <row r="68" spans="2:16" x14ac:dyDescent="0.3">
      <c r="B68" s="34"/>
      <c r="C68" s="35"/>
      <c r="D68" s="35"/>
      <c r="E68" s="35"/>
      <c r="F68" s="35"/>
      <c r="G68" s="35"/>
      <c r="H68" s="96">
        <f>SUM(H50:H67)</f>
        <v>84.05</v>
      </c>
      <c r="I68" s="1"/>
      <c r="L68" s="1"/>
      <c r="M68" s="1"/>
      <c r="N68" s="1"/>
      <c r="O68" s="1"/>
      <c r="P68" s="1"/>
    </row>
    <row r="69" spans="2:16" x14ac:dyDescent="0.3">
      <c r="B69" s="95"/>
      <c r="C69" s="1"/>
      <c r="D69" s="1"/>
      <c r="E69" s="1"/>
      <c r="F69" s="1"/>
      <c r="G69" s="1"/>
      <c r="H69" s="43">
        <v>26.35</v>
      </c>
      <c r="I69" s="1"/>
      <c r="L69" s="1"/>
      <c r="M69" s="1"/>
      <c r="N69" s="1"/>
      <c r="O69" s="1"/>
      <c r="P69" s="1"/>
    </row>
    <row r="70" spans="2:16" x14ac:dyDescent="0.3">
      <c r="B70" s="41"/>
      <c r="D70" s="63" t="s">
        <v>48</v>
      </c>
      <c r="E70" s="64"/>
      <c r="F70" s="64"/>
      <c r="G70" s="64"/>
      <c r="H70" s="65"/>
      <c r="I70" s="66"/>
      <c r="K70" s="67"/>
      <c r="L70" s="1"/>
      <c r="M70" s="1"/>
      <c r="N70" s="1"/>
      <c r="O70" s="1"/>
      <c r="P70" s="1"/>
    </row>
    <row r="71" spans="2:16" x14ac:dyDescent="0.3">
      <c r="B71" s="41" t="s">
        <v>49</v>
      </c>
      <c r="D71" s="68">
        <f>(H50+H52+H53+H54+H55)/(1-E71-E73)</f>
        <v>133.46477672386229</v>
      </c>
      <c r="E71" s="69">
        <f>N18</f>
        <v>1.0999999999999999E-2</v>
      </c>
      <c r="H71" s="70">
        <f>D71*E71</f>
        <v>1.4681125439624851</v>
      </c>
      <c r="I71" s="67"/>
      <c r="L71" s="1"/>
      <c r="M71" s="1"/>
      <c r="N71" s="1"/>
      <c r="O71" s="1"/>
      <c r="P71" s="1"/>
    </row>
    <row r="72" spans="2:16" x14ac:dyDescent="0.3">
      <c r="B72" s="41" t="s">
        <v>50</v>
      </c>
      <c r="D72" s="68">
        <f>(H57+H59+H60+H61+H62)/(1-E71-E73)</f>
        <v>-43.887882340402854</v>
      </c>
      <c r="E72" s="71">
        <f>E71</f>
        <v>1.0999999999999999E-2</v>
      </c>
      <c r="H72" s="70">
        <f t="shared" ref="H72:H74" si="16">D72*E72</f>
        <v>-0.48276670574443137</v>
      </c>
      <c r="I72" s="67"/>
      <c r="L72" s="1"/>
      <c r="M72" s="1"/>
      <c r="N72" s="1"/>
      <c r="O72" s="1"/>
      <c r="P72" s="1"/>
    </row>
    <row r="73" spans="2:16" x14ac:dyDescent="0.3">
      <c r="B73" s="41" t="s">
        <v>51</v>
      </c>
      <c r="D73" s="68">
        <f>D71</f>
        <v>133.46477672386229</v>
      </c>
      <c r="E73" s="69">
        <f>N20</f>
        <v>5.0700000000000002E-2</v>
      </c>
      <c r="H73" s="70">
        <f t="shared" si="16"/>
        <v>6.7666641798998182</v>
      </c>
      <c r="I73" s="67"/>
      <c r="L73" s="1"/>
      <c r="M73" s="1"/>
      <c r="N73" s="1"/>
      <c r="O73" s="1"/>
      <c r="P73" s="1"/>
    </row>
    <row r="74" spans="2:16" x14ac:dyDescent="0.3">
      <c r="B74" s="41" t="s">
        <v>52</v>
      </c>
      <c r="D74" s="68">
        <f>D72</f>
        <v>-43.887882340402854</v>
      </c>
      <c r="E74" s="71">
        <f>E73</f>
        <v>5.0700000000000002E-2</v>
      </c>
      <c r="H74" s="70">
        <f t="shared" si="16"/>
        <v>-2.2251156346584247</v>
      </c>
      <c r="I74" s="67"/>
      <c r="L74" s="1"/>
      <c r="M74" s="1"/>
      <c r="N74" s="1"/>
      <c r="O74" s="1"/>
      <c r="P74" s="1"/>
    </row>
    <row r="75" spans="2:16" x14ac:dyDescent="0.3">
      <c r="B75" s="41" t="s">
        <v>11</v>
      </c>
      <c r="D75" s="72">
        <f>D71/(1-E75)</f>
        <v>160.80093581188228</v>
      </c>
      <c r="E75" s="73">
        <v>0.17</v>
      </c>
      <c r="H75" s="70">
        <f>D75*E75</f>
        <v>27.33615908801999</v>
      </c>
      <c r="I75" s="67"/>
      <c r="L75" s="1"/>
      <c r="M75" s="1"/>
      <c r="N75" s="1"/>
      <c r="O75" s="1"/>
      <c r="P75" s="1"/>
    </row>
    <row r="76" spans="2:16" x14ac:dyDescent="0.3">
      <c r="B76" s="74" t="s">
        <v>53</v>
      </c>
      <c r="C76" s="75"/>
      <c r="D76" s="76">
        <f>((D57*F57)+(H59+H60+H61+H62)+(D64*F64)+(D66*F66))/(1-E72-E74)/(1-E76)</f>
        <v>-25.797207778278199</v>
      </c>
      <c r="E76" s="77">
        <f>E75</f>
        <v>0.17</v>
      </c>
      <c r="F76" s="75"/>
      <c r="G76" s="75"/>
      <c r="H76" s="78">
        <f>D76*E76</f>
        <v>-4.3855253223072941</v>
      </c>
      <c r="L76" s="1"/>
      <c r="M76" s="1"/>
      <c r="N76" s="1"/>
      <c r="O76" s="1"/>
      <c r="P76" s="1"/>
    </row>
    <row r="77" spans="2:16" x14ac:dyDescent="0.3">
      <c r="L77" s="1"/>
      <c r="M77" s="1"/>
      <c r="N77" s="1"/>
      <c r="O77" s="1"/>
      <c r="P77" s="1"/>
    </row>
    <row r="78" spans="2:16" x14ac:dyDescent="0.3">
      <c r="B78" s="224" t="s">
        <v>193</v>
      </c>
      <c r="C78" s="133"/>
      <c r="D78" s="225">
        <f>D50+D57</f>
        <v>91.497</v>
      </c>
      <c r="E78" s="226">
        <f>IF(AND($B$14&lt;$F$2,$E$14&lt;$F$2),C7,IF($B$14&lt;$F$2,I7,F7))</f>
        <v>1.8563466231698788E-4</v>
      </c>
      <c r="F78" s="226">
        <f>IF(AND($B$14&lt;$F$2,$E$14&lt;$F$2),D7,IF($B$14&lt;$F$2,J7,G7))</f>
        <v>-2.1045457770112975E-3</v>
      </c>
      <c r="G78" s="133"/>
      <c r="H78" s="224">
        <f>D78*(E78+F78)</f>
        <v>-0.17557461026118526</v>
      </c>
      <c r="L78" s="1"/>
      <c r="M78" s="1"/>
      <c r="N78" s="1"/>
      <c r="O78" s="1"/>
      <c r="P78" s="1"/>
    </row>
  </sheetData>
  <mergeCells count="11">
    <mergeCell ref="U4:W4"/>
    <mergeCell ref="X4:Z4"/>
    <mergeCell ref="K11:L11"/>
    <mergeCell ref="B46:H46"/>
    <mergeCell ref="B4:B5"/>
    <mergeCell ref="C4:E4"/>
    <mergeCell ref="F4:H4"/>
    <mergeCell ref="I4:K4"/>
    <mergeCell ref="Q4:Q5"/>
    <mergeCell ref="R4:T4"/>
    <mergeCell ref="P16:S16"/>
  </mergeCells>
  <conditionalFormatting sqref="K12:L12">
    <cfRule type="cellIs" dxfId="167" priority="1" operator="equal">
      <formula>"Escassez Hídrica"</formula>
    </cfRule>
    <cfRule type="cellIs" dxfId="166" priority="2" operator="equal">
      <formula>"VERDE"</formula>
    </cfRule>
    <cfRule type="cellIs" dxfId="165" priority="3" operator="equal">
      <formula>"BVM2"</formula>
    </cfRule>
    <cfRule type="cellIs" dxfId="164" priority="4" operator="equal">
      <formula>"BVM1"</formula>
    </cfRule>
    <cfRule type="cellIs" dxfId="163" priority="5" operator="equal">
      <formula>"BAM"</formula>
    </cfRule>
  </conditionalFormatting>
  <conditionalFormatting sqref="M3">
    <cfRule type="cellIs" dxfId="162" priority="16" operator="equal">
      <formula>"VERDE"</formula>
    </cfRule>
    <cfRule type="cellIs" dxfId="161" priority="17" operator="equal">
      <formula>"BVM2"</formula>
    </cfRule>
    <cfRule type="cellIs" dxfId="160" priority="18" operator="equal">
      <formula>"BVM1"</formula>
    </cfRule>
    <cfRule type="cellIs" dxfId="159" priority="19" operator="equal">
      <formula>"BAM"</formula>
    </cfRule>
  </conditionalFormatting>
  <conditionalFormatting sqref="M8">
    <cfRule type="containsText" dxfId="158" priority="7" operator="containsText" text="Escassez Hídrica">
      <formula>NOT(ISERROR(SEARCH("Escassez Hídrica",M8)))</formula>
    </cfRule>
    <cfRule type="cellIs" dxfId="157" priority="8" operator="equal">
      <formula>"VERDE"</formula>
    </cfRule>
    <cfRule type="cellIs" dxfId="156" priority="9" operator="equal">
      <formula>"BVM2"</formula>
    </cfRule>
    <cfRule type="cellIs" dxfId="155" priority="10" operator="equal">
      <formula>"BVM1"</formula>
    </cfRule>
    <cfRule type="cellIs" dxfId="154" priority="11" operator="equal">
      <formula>"BAM"</formula>
    </cfRule>
  </conditionalFormatting>
  <dataValidations disablePrompts="1" count="1">
    <dataValidation type="list" allowBlank="1" showInputMessage="1" showErrorMessage="1" sqref="K12:L12" xr:uid="{6DCF64B9-1698-4A1B-A6FD-7B7EE3DE4532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G19 E72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FEC8-2121-4A3A-AFF3-CC36D1B40382}">
  <dimension ref="A1:Z89"/>
  <sheetViews>
    <sheetView showGridLines="0" topLeftCell="A14" zoomScale="80" zoomScaleNormal="80" workbookViewId="0">
      <selection activeCell="K43" sqref="K43"/>
    </sheetView>
  </sheetViews>
  <sheetFormatPr defaultColWidth="9.109375" defaultRowHeight="14.4" x14ac:dyDescent="0.3"/>
  <cols>
    <col min="1" max="1" width="5.44140625" style="19" customWidth="1"/>
    <col min="2" max="2" width="19.5546875" style="19" customWidth="1"/>
    <col min="3" max="3" width="13.88671875" style="19" customWidth="1"/>
    <col min="4" max="4" width="13.33203125" style="19" customWidth="1"/>
    <col min="5" max="10" width="12.6640625" style="19" customWidth="1"/>
    <col min="11" max="12" width="13.88671875" style="19" customWidth="1"/>
    <col min="13" max="16" width="12.6640625" style="19" customWidth="1"/>
    <col min="17" max="17" width="13.6640625" style="19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67</v>
      </c>
      <c r="E2" s="20" t="s">
        <v>28</v>
      </c>
      <c r="F2" s="21">
        <f>'Fatura B1 (GD II) OK'!F2</f>
        <v>46241</v>
      </c>
      <c r="G2" s="329" t="s">
        <v>290</v>
      </c>
      <c r="H2" s="330">
        <v>45658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13" t="s">
        <v>31</v>
      </c>
      <c r="C4" s="418" t="str">
        <f>'Fatura B1 (GD II) OK'!C4:E4</f>
        <v>TARIFA ANTIGA - REH 3370/2024</v>
      </c>
      <c r="D4" s="418"/>
      <c r="E4" s="418"/>
      <c r="F4" s="418" t="str">
        <f>'Fatura B1 (GD II) OK'!F4:H4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'[1]Fatura B1 (Res) OK'!$N$4</f>
        <v>1.8849999999999999E-2</v>
      </c>
      <c r="Q4" s="413" t="s">
        <v>31</v>
      </c>
      <c r="R4" s="405" t="str">
        <f>C4</f>
        <v>TARIFA ANTIGA - REH 3370/2024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'[1]Fatura B1 (Res) OK'!$N$5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67</v>
      </c>
      <c r="C6" s="31">
        <f>'TABELA DE TARIFAS ANTIGAS'!G77/1000</f>
        <v>0.46862999999999999</v>
      </c>
      <c r="D6" s="31">
        <f>'TABELA DE TARIFAS ANTIGAS'!H77/1000</f>
        <v>0.32068000000000002</v>
      </c>
      <c r="E6" s="31">
        <f t="shared" ref="E6:E7" si="0">C6+D6</f>
        <v>0.78930999999999996</v>
      </c>
      <c r="F6" s="31">
        <f>'TABELA DE TARIFAS NOVAS'!G79/1000</f>
        <v>0.50631999999999999</v>
      </c>
      <c r="G6" s="31">
        <f>'TABELA DE TARIFAS NOVAS'!H79/1000</f>
        <v>0.33738999999999997</v>
      </c>
      <c r="H6" s="31">
        <f t="shared" ref="H6:H8" si="1">F6+G6</f>
        <v>0.84370999999999996</v>
      </c>
      <c r="I6" s="31">
        <f t="shared" ref="I6:J8" si="2">((C6*$C$14)+(F6*$D$14))/($D$14+$C$14)</f>
        <v>0.48621866666666663</v>
      </c>
      <c r="J6" s="31">
        <f t="shared" si="2"/>
        <v>0.32847799999999999</v>
      </c>
      <c r="K6" s="32">
        <f t="shared" ref="K6:K8" si="3">I6+J6</f>
        <v>0.81469666666666662</v>
      </c>
      <c r="M6" s="13" t="s">
        <v>16</v>
      </c>
      <c r="N6" s="14">
        <f>'[1]Fatura B1 (Res) OK'!$N$6</f>
        <v>7.8770000000000007E-2</v>
      </c>
      <c r="P6" s="33"/>
      <c r="Q6" s="30" t="str">
        <f>B6</f>
        <v>B2</v>
      </c>
      <c r="R6" s="31">
        <f>'FIO B'!H20/1000</f>
        <v>0.20383072193179136</v>
      </c>
      <c r="S6"/>
      <c r="T6"/>
      <c r="U6" s="31">
        <f>'FIO B'!K20/1000</f>
        <v>0.20915159219558199</v>
      </c>
      <c r="V6"/>
      <c r="W6"/>
      <c r="X6" s="31">
        <f>((R6*$C$14)+(U6*$D$14))/($D$14+$C$14)</f>
        <v>0.20631379472156031</v>
      </c>
      <c r="Y6"/>
      <c r="Z6"/>
    </row>
    <row r="7" spans="1:26" x14ac:dyDescent="0.3">
      <c r="B7" s="30" t="s">
        <v>36</v>
      </c>
      <c r="C7" s="31">
        <f>'TABELA DE TARIFAS ANTIGAS'!G71/1000</f>
        <v>0.46862999999999999</v>
      </c>
      <c r="D7" s="31">
        <f>'TABELA DE TARIFAS ANTIGAS'!H71/1000</f>
        <v>0.32068000000000002</v>
      </c>
      <c r="E7" s="31">
        <f t="shared" si="0"/>
        <v>0.78930999999999996</v>
      </c>
      <c r="F7" s="31">
        <f>'TABELA DE TARIFAS NOVAS'!G73/1000</f>
        <v>0.50631999999999999</v>
      </c>
      <c r="G7" s="31">
        <f>'TABELA DE TARIFAS NOVAS'!H73/1000</f>
        <v>0.33738999999999997</v>
      </c>
      <c r="H7" s="31">
        <f t="shared" si="1"/>
        <v>0.84370999999999996</v>
      </c>
      <c r="I7" s="31">
        <f t="shared" si="2"/>
        <v>0.48621866666666663</v>
      </c>
      <c r="J7" s="31">
        <f t="shared" si="2"/>
        <v>0.32847799999999999</v>
      </c>
      <c r="K7" s="32">
        <f t="shared" si="3"/>
        <v>0.81469666666666662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243" t="s">
        <v>200</v>
      </c>
      <c r="C8" s="278">
        <v>1.8774721494831901E-4</v>
      </c>
      <c r="D8" s="277">
        <v>-4.4031307414479802E-3</v>
      </c>
      <c r="E8" s="32">
        <v>3.6054083865702689E-3</v>
      </c>
      <c r="F8" s="32">
        <f>T11</f>
        <v>1.84189231569235E-4</v>
      </c>
      <c r="G8" s="32">
        <f>U11</f>
        <v>-5.3182974871251499E-4</v>
      </c>
      <c r="H8" s="32">
        <f t="shared" si="1"/>
        <v>-3.4764051714327999E-4</v>
      </c>
      <c r="I8" s="31">
        <f t="shared" si="2"/>
        <v>1.8608682270474647E-4</v>
      </c>
      <c r="J8" s="31">
        <f t="shared" si="2"/>
        <v>-2.5965236115047629E-3</v>
      </c>
      <c r="K8" s="32">
        <f t="shared" si="3"/>
        <v>-2.4104367888000164E-3</v>
      </c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5" t="s">
        <v>198</v>
      </c>
      <c r="Q10" s="236"/>
      <c r="R10" s="237"/>
      <c r="S10" s="237"/>
      <c r="T10" s="238"/>
      <c r="U10" s="277">
        <v>0</v>
      </c>
      <c r="V10"/>
      <c r="W10"/>
      <c r="X10"/>
      <c r="Y10"/>
      <c r="Z10"/>
    </row>
    <row r="11" spans="1:26" x14ac:dyDescent="0.3">
      <c r="B11" s="38" t="s">
        <v>38</v>
      </c>
      <c r="C11" s="335">
        <v>1687996</v>
      </c>
      <c r="E11" s="1"/>
      <c r="F11" s="1"/>
      <c r="G11" s="1"/>
      <c r="H11" s="40">
        <f>E14</f>
        <v>46254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'Fatura B1 (GD II) OK'!T11</f>
        <v>1.84189231569235E-4</v>
      </c>
      <c r="U11" s="277">
        <f>'Fatura B1 (GD II) OK'!U11</f>
        <v>-5.3182974871251499E-4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tr">
        <f>'Fatura B1 (GD II) OK'!K12</f>
        <v>BAM</v>
      </c>
      <c r="L12" s="7" t="str">
        <f>'Fatura B1 (GD II) OK'!L12</f>
        <v>BAM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46224</v>
      </c>
      <c r="C14" s="18">
        <f>IF((F2-B14-1)&lt;0,0,(F2-B14-1))</f>
        <v>16</v>
      </c>
      <c r="D14" s="18">
        <f>E14-F2+1</f>
        <v>14</v>
      </c>
      <c r="E14" s="17">
        <v>46254</v>
      </c>
      <c r="F14" s="44"/>
      <c r="G14" s="44"/>
      <c r="H14" s="45"/>
      <c r="J14" s="22">
        <f>B14</f>
        <v>46224</v>
      </c>
      <c r="K14" s="23">
        <f>IF((M10-J14-1)&lt;0,0,(M10-J14-1))</f>
        <v>10</v>
      </c>
      <c r="L14" s="23">
        <f>M14-M10+1</f>
        <v>20</v>
      </c>
      <c r="M14" s="22">
        <f>E14</f>
        <v>46254</v>
      </c>
      <c r="O14" s="315" t="s">
        <v>278</v>
      </c>
      <c r="P14" s="316"/>
      <c r="Q14" s="317">
        <v>1025310490</v>
      </c>
    </row>
    <row r="16" spans="1:26" ht="42" customHeight="1" x14ac:dyDescent="0.3">
      <c r="B16" s="288" t="s">
        <v>245</v>
      </c>
      <c r="C16" s="288" t="s">
        <v>246</v>
      </c>
      <c r="D16" s="288" t="s">
        <v>247</v>
      </c>
      <c r="E16" s="289" t="s">
        <v>248</v>
      </c>
      <c r="F16" s="289" t="s">
        <v>249</v>
      </c>
      <c r="G16" s="289" t="s">
        <v>250</v>
      </c>
      <c r="H16" s="289" t="s">
        <v>251</v>
      </c>
      <c r="I16" s="289" t="s">
        <v>252</v>
      </c>
      <c r="J16" s="289" t="s">
        <v>253</v>
      </c>
      <c r="K16" s="290" t="s">
        <v>254</v>
      </c>
      <c r="L16" s="288" t="s">
        <v>255</v>
      </c>
      <c r="M16" s="289" t="s">
        <v>256</v>
      </c>
      <c r="N16" s="289" t="s">
        <v>257</v>
      </c>
      <c r="O16" s="289" t="s">
        <v>258</v>
      </c>
      <c r="P16" s="409" t="s">
        <v>379</v>
      </c>
      <c r="Q16" s="410"/>
      <c r="R16" s="410"/>
      <c r="S16" s="410"/>
    </row>
    <row r="17" spans="2:20" x14ac:dyDescent="0.3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3"/>
      <c r="N17" s="293"/>
      <c r="O17" s="293"/>
      <c r="R17" s="26" t="s">
        <v>105</v>
      </c>
      <c r="S17" s="26" t="s">
        <v>106</v>
      </c>
    </row>
    <row r="18" spans="2:20" x14ac:dyDescent="0.3">
      <c r="B18" s="293" t="s">
        <v>259</v>
      </c>
      <c r="C18" s="294" t="s">
        <v>2</v>
      </c>
      <c r="D18" s="295">
        <v>297</v>
      </c>
      <c r="E18" s="296">
        <f>(ROUND(D18*K18,2)+ROUND(G18,2)+ROUND(J18,2))/ROUND(D18,4)</f>
        <v>0.62434343434343431</v>
      </c>
      <c r="F18" s="297">
        <f>ROUND(D18*E18,2)</f>
        <v>185.43</v>
      </c>
      <c r="G18" s="297">
        <f>((D18*K18)/(1-$N$18-$N$20))*($N$18+$N$20)</f>
        <v>9.4957992590855795</v>
      </c>
      <c r="H18" s="298">
        <f t="shared" ref="H18:H23" si="4">(IF($I$18=12%,(D18*K18)/(1-$N$18-$N$20)/(1-$C$48)/$F$48*$C$48,(D18*K18)/(1-$N$18-$N$20)/(1-$I$18)))</f>
        <v>185.42499187841634</v>
      </c>
      <c r="I18" s="333">
        <v>0.17</v>
      </c>
      <c r="J18" s="298">
        <f>(H18*$I$18)</f>
        <v>31.522248619330778</v>
      </c>
      <c r="K18" s="296">
        <f>IF(AND($B$14&lt;$F$2,$E$14&lt;$F$2),C6,IF($B$14&lt;$F$2,I6,F6))</f>
        <v>0.48621866666666663</v>
      </c>
      <c r="L18" s="47" t="s">
        <v>92</v>
      </c>
      <c r="M18" s="297">
        <f>D82</f>
        <v>263.84951508046464</v>
      </c>
      <c r="N18" s="300">
        <f>'Fatura B1 (GD II) OK'!N18</f>
        <v>1.0999999999999999E-2</v>
      </c>
      <c r="O18" s="301">
        <f>ROUND(M18*N18,2)</f>
        <v>2.9</v>
      </c>
      <c r="R18" s="258">
        <f>IF(AND($B$14&lt;$F$2,$E$14&lt;$F$2),R6,IF($B$14&lt;$F$2,X6,U6))</f>
        <v>0.20631379472156031</v>
      </c>
      <c r="S18" s="137">
        <f>D18*R18</f>
        <v>61.27519703230341</v>
      </c>
    </row>
    <row r="19" spans="2:20" x14ac:dyDescent="0.3">
      <c r="B19" s="293" t="s">
        <v>260</v>
      </c>
      <c r="C19" s="294" t="s">
        <v>2</v>
      </c>
      <c r="D19" s="302">
        <f>D18</f>
        <v>297</v>
      </c>
      <c r="E19" s="296">
        <f>(ROUND(D19*K19,2)+ROUND(G19,2)+ROUND(J19,2))/ROUND(D19,4)</f>
        <v>0.42181818181818181</v>
      </c>
      <c r="F19" s="297">
        <f>ROUND(D19*E19,2)</f>
        <v>125.28</v>
      </c>
      <c r="G19" s="297">
        <f t="shared" ref="G19:G23" si="5">((D19*K19)/(1-$N$18-$N$20))*($N$18+$N$20)</f>
        <v>6.415140682297773</v>
      </c>
      <c r="H19" s="298">
        <f t="shared" si="4"/>
        <v>125.26880323168406</v>
      </c>
      <c r="I19" s="293"/>
      <c r="J19" s="298">
        <f t="shared" ref="J19:J23" si="6">(H19*$I$18)</f>
        <v>21.295696549386292</v>
      </c>
      <c r="K19" s="296">
        <f>IF(AND($B$14&lt;$F$2,$E$14&lt;$F$2),D6,IF($B$14&lt;$F$2,J6,G6))</f>
        <v>0.32847799999999999</v>
      </c>
      <c r="L19" s="47" t="s">
        <v>261</v>
      </c>
      <c r="M19" s="297">
        <f>D83</f>
        <v>-218.66140893104551</v>
      </c>
      <c r="N19" s="300">
        <f>N18</f>
        <v>1.0999999999999999E-2</v>
      </c>
      <c r="O19" s="301">
        <f>ROUND(M19*N19,2)</f>
        <v>-2.41</v>
      </c>
    </row>
    <row r="20" spans="2:20" x14ac:dyDescent="0.3">
      <c r="B20" s="293" t="s">
        <v>43</v>
      </c>
      <c r="C20" s="294" t="s">
        <v>2</v>
      </c>
      <c r="D20" s="302">
        <f>IF($K$12=M4,($D$18*($K$14)/($K$14+$L$14)),0)+IF($L$12=M4,($D$18*($L$14)/($K$14+$L$14)),0)</f>
        <v>297</v>
      </c>
      <c r="E20" s="296">
        <f>IFERROR((ROUND(D20*K20,2)+ROUND(G20,2)+ROUND(J20,2))/ROUND(D20,4), 0)</f>
        <v>2.4208754208754207E-2</v>
      </c>
      <c r="F20" s="297">
        <f>ROUND(D20*E20,2)</f>
        <v>7.19</v>
      </c>
      <c r="G20" s="297">
        <f t="shared" si="5"/>
        <v>0.36813851113716295</v>
      </c>
      <c r="H20" s="298">
        <f t="shared" si="4"/>
        <v>7.1886608567917625</v>
      </c>
      <c r="I20" s="293"/>
      <c r="J20" s="298">
        <f t="shared" si="6"/>
        <v>1.2220723456545997</v>
      </c>
      <c r="K20" s="296">
        <f>N4</f>
        <v>1.8849999999999999E-2</v>
      </c>
      <c r="L20" s="47" t="s">
        <v>51</v>
      </c>
      <c r="M20" s="297">
        <f>M18</f>
        <v>263.84951508046464</v>
      </c>
      <c r="N20" s="300">
        <f>'Fatura B1 (GD II) OK'!N20</f>
        <v>5.0700000000000002E-2</v>
      </c>
      <c r="O20" s="301">
        <f>ROUND(M20*N20,2)</f>
        <v>13.38</v>
      </c>
      <c r="R20" s="303"/>
    </row>
    <row r="21" spans="2:20" x14ac:dyDescent="0.3">
      <c r="B21" s="293" t="s">
        <v>262</v>
      </c>
      <c r="C21" s="294" t="s">
        <v>2</v>
      </c>
      <c r="D21" s="302">
        <f t="shared" ref="D21:D22" si="7">IF($K$12=M5,($D$18*($K$14)/($K$14+$L$14)),0)+IF($L$12=M5,($D$18*($L$14)/($K$14+$L$14)),0)</f>
        <v>0</v>
      </c>
      <c r="E21" s="296">
        <f t="shared" ref="E21:E23" si="8">IFERROR((ROUND(D21*K21,2)+ROUND(G21,2)+ROUND(J21,2))/ROUND(D21,4), 0)</f>
        <v>0</v>
      </c>
      <c r="F21" s="297">
        <f t="shared" ref="F21:F23" si="9">ROUND(D21*E21,2)</f>
        <v>0</v>
      </c>
      <c r="G21" s="297">
        <f t="shared" si="5"/>
        <v>0</v>
      </c>
      <c r="H21" s="298">
        <f t="shared" si="4"/>
        <v>0</v>
      </c>
      <c r="I21" s="293"/>
      <c r="J21" s="298">
        <f t="shared" si="6"/>
        <v>0</v>
      </c>
      <c r="K21" s="296">
        <f t="shared" ref="K21:K22" si="10">N5</f>
        <v>4.4630000000000003E-2</v>
      </c>
      <c r="L21" s="47" t="s">
        <v>263</v>
      </c>
      <c r="M21" s="297">
        <f>M19</f>
        <v>-218.66140893104551</v>
      </c>
      <c r="N21" s="300">
        <f>N20</f>
        <v>5.0700000000000002E-2</v>
      </c>
      <c r="O21" s="301">
        <f>ROUND(M21*N21,2)</f>
        <v>-11.09</v>
      </c>
    </row>
    <row r="22" spans="2:20" x14ac:dyDescent="0.3">
      <c r="B22" s="293" t="s">
        <v>276</v>
      </c>
      <c r="C22" s="294" t="s">
        <v>2</v>
      </c>
      <c r="D22" s="302">
        <f t="shared" si="7"/>
        <v>0</v>
      </c>
      <c r="E22" s="296">
        <f t="shared" si="8"/>
        <v>0</v>
      </c>
      <c r="F22" s="297">
        <f t="shared" si="9"/>
        <v>0</v>
      </c>
      <c r="G22" s="297">
        <f t="shared" si="5"/>
        <v>0</v>
      </c>
      <c r="H22" s="298">
        <f t="shared" si="4"/>
        <v>0</v>
      </c>
      <c r="I22" s="293"/>
      <c r="J22" s="298">
        <f t="shared" si="6"/>
        <v>0</v>
      </c>
      <c r="K22" s="296">
        <f t="shared" si="10"/>
        <v>7.8770000000000007E-2</v>
      </c>
      <c r="L22" s="47"/>
      <c r="M22" s="297"/>
      <c r="N22" s="297"/>
      <c r="O22" s="297"/>
    </row>
    <row r="23" spans="2:20" x14ac:dyDescent="0.3">
      <c r="B23" s="293" t="s">
        <v>277</v>
      </c>
      <c r="C23" s="294" t="s">
        <v>2</v>
      </c>
      <c r="D23" s="302">
        <f>IF($K$12=M8,($D$18*($K$14)/($K$14+$L$14)),0)+IF($L$12=M8,($D$18*($L$14)/($K$14+$L$14)),0)</f>
        <v>0</v>
      </c>
      <c r="E23" s="296">
        <f t="shared" si="8"/>
        <v>0</v>
      </c>
      <c r="F23" s="297">
        <f t="shared" si="9"/>
        <v>0</v>
      </c>
      <c r="G23" s="297">
        <f t="shared" si="5"/>
        <v>0</v>
      </c>
      <c r="H23" s="298">
        <f t="shared" si="4"/>
        <v>0</v>
      </c>
      <c r="I23" s="293"/>
      <c r="J23" s="298">
        <f t="shared" si="6"/>
        <v>0</v>
      </c>
      <c r="K23" s="296">
        <f>N8</f>
        <v>0.14199999999999999</v>
      </c>
      <c r="L23" s="47"/>
      <c r="M23" s="297"/>
      <c r="N23" s="297"/>
      <c r="O23" s="297"/>
    </row>
    <row r="24" spans="2:20" x14ac:dyDescent="0.3">
      <c r="B24" s="293"/>
      <c r="C24" s="294"/>
      <c r="D24" s="302"/>
      <c r="E24" s="296"/>
      <c r="F24" s="297"/>
      <c r="G24" s="297"/>
      <c r="H24" s="298"/>
      <c r="I24" s="293"/>
      <c r="J24" s="298"/>
      <c r="K24" s="296"/>
      <c r="L24" s="47"/>
      <c r="M24" s="297"/>
      <c r="N24" s="297"/>
      <c r="O24" s="297"/>
    </row>
    <row r="25" spans="2:20" x14ac:dyDescent="0.3">
      <c r="B25" s="293" t="s">
        <v>266</v>
      </c>
      <c r="C25" s="294" t="s">
        <v>2</v>
      </c>
      <c r="D25" s="295">
        <v>-297</v>
      </c>
      <c r="E25" s="296">
        <f>IFERROR((ROUND(D25*K25,2)+ROUND(G25,2)+ROUND(J25,2))/ROUND(D25,4), 0)</f>
        <v>0.38616161616161615</v>
      </c>
      <c r="F25" s="297">
        <f>ROUND(D25*E25,2)</f>
        <v>-114.69</v>
      </c>
      <c r="G25" s="297">
        <f>((D25*K25)/(1-$N$19-$N$21))*($N$19+$N$21)</f>
        <v>-7.0758897759002117</v>
      </c>
      <c r="H25" s="298">
        <v>0</v>
      </c>
      <c r="I25" s="299">
        <v>0</v>
      </c>
      <c r="J25" s="293">
        <f>H25*$I$21</f>
        <v>0</v>
      </c>
      <c r="K25" s="389">
        <f>E68</f>
        <v>0.36231070165333334</v>
      </c>
      <c r="L25" s="47"/>
      <c r="M25" s="297"/>
      <c r="N25" s="297"/>
      <c r="O25" s="297"/>
    </row>
    <row r="26" spans="2:20" x14ac:dyDescent="0.3">
      <c r="B26" s="293" t="s">
        <v>267</v>
      </c>
      <c r="C26" s="294" t="s">
        <v>2</v>
      </c>
      <c r="D26" s="302">
        <f>D25</f>
        <v>-297</v>
      </c>
      <c r="E26" s="296">
        <f>IFERROR((ROUND(D26*K26,2)+ROUND(G26,2)+ROUND(J26,2))/ROUND(D26,4), 0)</f>
        <v>0.42181818181818181</v>
      </c>
      <c r="F26" s="297">
        <f>ROUND(D26*E26,2)</f>
        <v>-125.28</v>
      </c>
      <c r="G26" s="297">
        <f t="shared" ref="G26:G30" si="11">((D26*K26)/(1-$N$19-$N$21))*($N$19+$N$21)</f>
        <v>-6.415140682297773</v>
      </c>
      <c r="H26" s="298">
        <f>(IF($I$26=12%,(D26*K26)/(1-$N$19-$N$21)/(1-$C$48)/$F$48*$C$48,(D26*K26)/(1-$N$19-$N$21)/(1-$I$26)))</f>
        <v>-125.26880323168406</v>
      </c>
      <c r="I26" s="299">
        <f>I18</f>
        <v>0.17</v>
      </c>
      <c r="J26" s="298">
        <f>H26*$I$26</f>
        <v>-21.295696549386292</v>
      </c>
      <c r="K26" s="296">
        <f>F68</f>
        <v>0.32847799999999999</v>
      </c>
      <c r="L26" s="47"/>
      <c r="M26" s="297"/>
      <c r="N26" s="297"/>
      <c r="O26" s="297"/>
    </row>
    <row r="27" spans="2:20" x14ac:dyDescent="0.3">
      <c r="B27" s="293" t="s">
        <v>268</v>
      </c>
      <c r="C27" s="294" t="s">
        <v>2</v>
      </c>
      <c r="D27" s="302">
        <f>IF($K$12=M4,($D$25*($K$14)/($K$14+$L$14)),0)+IF($L$12=M4,($D$25*($L$14)/($K$14+$L$14)),0)</f>
        <v>-297</v>
      </c>
      <c r="E27" s="296">
        <f>IFERROR((ROUND(D27*K27,2)+ROUND(G27,2)+ROUND(J27,2))/ROUND(D27,4), 0)</f>
        <v>2.4208754208754207E-2</v>
      </c>
      <c r="F27" s="297">
        <f t="shared" ref="F27:F30" si="12">ROUND(D27*E27,2)</f>
        <v>-7.19</v>
      </c>
      <c r="G27" s="297">
        <f t="shared" si="11"/>
        <v>-0.36813851113716295</v>
      </c>
      <c r="H27" s="298">
        <f>(IF($I$26=12%,(D27*K27)/(1-$N$19-$N$21)/(1-$C$48)/$F$48*$C$48,(D27*K27)/(1-$N$19-$N$21)/(1-$I$26)))</f>
        <v>-7.1886608567917625</v>
      </c>
      <c r="I27" s="293"/>
      <c r="J27" s="298">
        <f t="shared" ref="J27:J30" si="13">H27*$I$26</f>
        <v>-1.2220723456545997</v>
      </c>
      <c r="K27" s="296">
        <f>K20</f>
        <v>1.8849999999999999E-2</v>
      </c>
      <c r="L27" s="268"/>
      <c r="M27" s="304"/>
      <c r="N27" s="304"/>
      <c r="O27" s="304"/>
      <c r="R27" s="303"/>
    </row>
    <row r="28" spans="2:20" x14ac:dyDescent="0.3">
      <c r="B28" s="293" t="s">
        <v>269</v>
      </c>
      <c r="C28" s="294" t="s">
        <v>2</v>
      </c>
      <c r="D28" s="302">
        <f t="shared" ref="D28:D29" si="14">IF($K$12=M5,($D$25*($K$14)/($K$14+$L$14)),0)+IF($L$12=M5,($D$25*($L$14)/($K$14+$L$14)),0)</f>
        <v>0</v>
      </c>
      <c r="E28" s="296">
        <f t="shared" ref="E28:E30" si="15">IFERROR((ROUND(D28*K28,2)+ROUND(G28,2)+ROUND(J28,2))/ROUND(D28,4), 0)</f>
        <v>0</v>
      </c>
      <c r="F28" s="297">
        <f t="shared" si="12"/>
        <v>0</v>
      </c>
      <c r="G28" s="297">
        <f t="shared" si="11"/>
        <v>0</v>
      </c>
      <c r="H28" s="298">
        <f>(IF($I$26=12%,(D28*K28)/(1-$N$19-$N$21)/(1-$C$48)/$F$48*$C$48,(D28*K28)/(1-$N$19-$N$21)/(1-$I$26)))</f>
        <v>0</v>
      </c>
      <c r="I28" s="293"/>
      <c r="J28" s="298">
        <f t="shared" si="13"/>
        <v>0</v>
      </c>
      <c r="K28" s="296">
        <f t="shared" ref="K28:K30" si="16">K21</f>
        <v>4.4630000000000003E-2</v>
      </c>
      <c r="O28" s="292"/>
      <c r="Q28" s="56"/>
      <c r="R28" s="165"/>
      <c r="S28" s="305"/>
      <c r="T28" s="56"/>
    </row>
    <row r="29" spans="2:20" x14ac:dyDescent="0.3">
      <c r="B29" s="293" t="s">
        <v>270</v>
      </c>
      <c r="C29" s="294" t="s">
        <v>2</v>
      </c>
      <c r="D29" s="302">
        <f t="shared" si="14"/>
        <v>0</v>
      </c>
      <c r="E29" s="296">
        <f t="shared" si="15"/>
        <v>0</v>
      </c>
      <c r="F29" s="297">
        <f t="shared" si="12"/>
        <v>0</v>
      </c>
      <c r="G29" s="297">
        <f t="shared" si="11"/>
        <v>0</v>
      </c>
      <c r="H29" s="298">
        <f>(IF($I$26=12%,(D29*K29)/(1-$N$19-$N$21)/(1-$C$48)/$F$48*$C$48,(D29*K29)/(1-$N$19-$N$21)/(1-$I$26)))</f>
        <v>0</v>
      </c>
      <c r="I29" s="293"/>
      <c r="J29" s="298">
        <f t="shared" si="13"/>
        <v>0</v>
      </c>
      <c r="K29" s="296">
        <f t="shared" si="16"/>
        <v>7.8770000000000007E-2</v>
      </c>
      <c r="O29" s="292"/>
      <c r="Q29" s="56"/>
      <c r="R29" s="165"/>
      <c r="S29" s="305"/>
      <c r="T29" s="56"/>
    </row>
    <row r="30" spans="2:20" x14ac:dyDescent="0.3">
      <c r="B30" s="293" t="s">
        <v>271</v>
      </c>
      <c r="C30" s="294" t="s">
        <v>2</v>
      </c>
      <c r="D30" s="302">
        <f>IF($K$12=M8,($D$25*($K$14)/($K$14+$L$14)),0)+IF($L$12=M8,($D$25*($L$14)/($K$14+$L$14)),0)</f>
        <v>0</v>
      </c>
      <c r="E30" s="296">
        <f t="shared" si="15"/>
        <v>0</v>
      </c>
      <c r="F30" s="297">
        <f t="shared" si="12"/>
        <v>0</v>
      </c>
      <c r="G30" s="297">
        <f t="shared" si="11"/>
        <v>0</v>
      </c>
      <c r="H30" s="298">
        <f>(IF($I$26=12%,(D30*K30)/(1-$N$19-$N$21)/(1-$C$48)/$F$48*$C$48,(D30*K30)/(1-$N$19-$N$21)/(1-$I$26)))</f>
        <v>0</v>
      </c>
      <c r="I30" s="293"/>
      <c r="J30" s="298">
        <f t="shared" si="13"/>
        <v>0</v>
      </c>
      <c r="K30" s="296">
        <f t="shared" si="16"/>
        <v>0.14199999999999999</v>
      </c>
      <c r="O30" s="292"/>
      <c r="Q30" s="56"/>
      <c r="R30" s="165"/>
      <c r="S30" s="305"/>
      <c r="T30" s="56"/>
    </row>
    <row r="31" spans="2:20" x14ac:dyDescent="0.3">
      <c r="B31" s="293"/>
      <c r="C31" s="294"/>
      <c r="D31" s="302"/>
      <c r="E31" s="296"/>
      <c r="F31" s="297"/>
      <c r="G31" s="297"/>
      <c r="H31" s="298"/>
      <c r="I31" s="293"/>
      <c r="J31" s="298"/>
      <c r="K31" s="296"/>
      <c r="O31" s="292"/>
      <c r="S31" s="305"/>
    </row>
    <row r="32" spans="2:20" x14ac:dyDescent="0.3">
      <c r="B32" s="293" t="s">
        <v>272</v>
      </c>
      <c r="C32" s="293"/>
      <c r="D32" s="302"/>
      <c r="E32" s="293"/>
      <c r="F32" s="306"/>
      <c r="G32" s="293"/>
      <c r="H32" s="293"/>
      <c r="I32" s="293"/>
      <c r="J32" s="293"/>
      <c r="K32" s="293"/>
      <c r="O32" s="292"/>
      <c r="S32" s="305"/>
    </row>
    <row r="33" spans="1:26" x14ac:dyDescent="0.3">
      <c r="B33" s="293" t="s">
        <v>273</v>
      </c>
      <c r="C33" s="293"/>
      <c r="D33" s="302"/>
      <c r="E33" s="293"/>
      <c r="F33" s="306"/>
      <c r="G33" s="293"/>
      <c r="H33" s="293"/>
      <c r="I33" s="293"/>
      <c r="J33" s="293"/>
      <c r="K33" s="293"/>
      <c r="O33" s="292"/>
      <c r="S33" s="305"/>
    </row>
    <row r="34" spans="1:26" x14ac:dyDescent="0.3">
      <c r="B34" s="293" t="s">
        <v>274</v>
      </c>
      <c r="C34" s="293"/>
      <c r="D34" s="302"/>
      <c r="E34" s="293"/>
      <c r="F34" s="306">
        <v>-0.67</v>
      </c>
      <c r="G34" s="293"/>
      <c r="H34" s="293"/>
      <c r="I34" s="293"/>
      <c r="J34" s="293"/>
      <c r="K34" s="293"/>
      <c r="O34" s="292"/>
      <c r="S34" s="305"/>
    </row>
    <row r="35" spans="1:26" x14ac:dyDescent="0.3">
      <c r="B35" s="293" t="s">
        <v>289</v>
      </c>
      <c r="C35" s="293"/>
      <c r="D35" s="302"/>
      <c r="E35" s="293"/>
      <c r="F35" s="306"/>
      <c r="G35" s="293"/>
      <c r="H35" s="293"/>
      <c r="I35" s="293"/>
      <c r="J35" s="293"/>
      <c r="K35" s="293"/>
      <c r="O35" s="292"/>
      <c r="S35" s="305"/>
    </row>
    <row r="36" spans="1:26" x14ac:dyDescent="0.3">
      <c r="B36" s="293" t="s">
        <v>275</v>
      </c>
      <c r="C36" s="293"/>
      <c r="D36" s="302"/>
      <c r="E36" s="293"/>
      <c r="F36" s="306"/>
      <c r="G36" s="293"/>
      <c r="H36" s="293"/>
      <c r="I36" s="293"/>
      <c r="J36" s="293"/>
      <c r="K36" s="293"/>
      <c r="O36" s="292"/>
    </row>
    <row r="37" spans="1:26" x14ac:dyDescent="0.3">
      <c r="B37" s="293"/>
      <c r="C37" s="293"/>
      <c r="D37" s="302"/>
      <c r="E37" s="293"/>
      <c r="F37" s="293"/>
      <c r="G37" s="293"/>
      <c r="H37" s="293"/>
      <c r="I37" s="293"/>
      <c r="J37" s="293"/>
      <c r="K37" s="293"/>
      <c r="O37" s="292"/>
    </row>
    <row r="38" spans="1:26" x14ac:dyDescent="0.3">
      <c r="B38" s="307" t="s">
        <v>162</v>
      </c>
      <c r="C38" s="304"/>
      <c r="D38" s="308"/>
      <c r="E38" s="304"/>
      <c r="F38" s="309">
        <f>SUM(F18:F37)</f>
        <v>70.070000000000036</v>
      </c>
      <c r="G38" s="310">
        <f>SUM(G18:G37)</f>
        <v>2.4199094831853678</v>
      </c>
      <c r="H38" s="311">
        <f>SUM(H18:H37)</f>
        <v>185.42499187841636</v>
      </c>
      <c r="I38" s="304"/>
      <c r="J38" s="311">
        <f>SUM(J18:J37)</f>
        <v>31.522248619330785</v>
      </c>
      <c r="K38" s="304"/>
      <c r="L38" s="75"/>
      <c r="M38" s="75"/>
      <c r="N38" s="75"/>
      <c r="O38" s="268"/>
    </row>
    <row r="40" spans="1:26" s="1" customFormat="1" x14ac:dyDescent="0.3">
      <c r="B40" s="312" t="s">
        <v>284</v>
      </c>
      <c r="C40" s="313">
        <f>D18</f>
        <v>297</v>
      </c>
      <c r="D40" s="314">
        <f>IF(AND($B$14&lt;$F$2,$E$14&lt;$F$2),C8,IF($B$14&lt;$F$2,I8,F8))</f>
        <v>1.8608682270474647E-4</v>
      </c>
      <c r="E40" s="314">
        <f>IF(AND($B$14&lt;$F$2,$E$14&lt;$F$2),D8,IF($B$14&lt;$F$2,J8,G8))</f>
        <v>-2.5965236115047629E-3</v>
      </c>
      <c r="F40" s="312">
        <f>C40*(D40+E40)</f>
        <v>-0.71589972627360488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s="1" customFormat="1" x14ac:dyDescent="0.3">
      <c r="B41" s="312"/>
      <c r="C41" s="313">
        <f>D25</f>
        <v>-297</v>
      </c>
      <c r="D41" s="314">
        <f>IF(AND($B$14&lt;$F$2,$E$14&lt;$F$2),C8*$F$55,IF($B$14&lt;$F$2,(((I8*F55)*C14)+((I8*F56)*D14))/(C14+D14),I8*$F$56))</f>
        <v>1.3866445680666887E-4</v>
      </c>
      <c r="E41" s="314">
        <f>IF(AND($B$14&lt;$F$2,$E$14&lt;$F$2),D8,IF($B$14&lt;$F$2,J8,G8))</f>
        <v>-2.5965236115047629E-3</v>
      </c>
      <c r="F41" s="312">
        <f>C41*(D41+E41)</f>
        <v>0.72998416894533391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s="1" customFormat="1" x14ac:dyDescent="0.3">
      <c r="B42" s="312"/>
      <c r="C42" s="313"/>
      <c r="D42" s="314"/>
      <c r="E42" s="314"/>
      <c r="F42" s="312">
        <f>SUM(F40:F41)</f>
        <v>1.4084442671729036E-2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s="1" customFormat="1" x14ac:dyDescent="0.3">
      <c r="B43" s="194"/>
      <c r="C43" s="194"/>
      <c r="D43" s="325"/>
      <c r="E43" s="194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3">
      <c r="B44" s="19" t="s">
        <v>285</v>
      </c>
    </row>
    <row r="45" spans="1:26" x14ac:dyDescent="0.3">
      <c r="B45" s="105"/>
      <c r="C45" s="105"/>
      <c r="D45" s="106" t="s">
        <v>91</v>
      </c>
      <c r="F45" s="106"/>
    </row>
    <row r="46" spans="1:26" x14ac:dyDescent="0.3">
      <c r="B46" s="107" t="s">
        <v>92</v>
      </c>
      <c r="C46" s="108">
        <f>N18</f>
        <v>1.0999999999999999E-2</v>
      </c>
      <c r="D46" s="109">
        <f>((D18*K18)+(D19*K19)+(D20*K20)+(D21*K21)+(D22*K22)+(D23*K23))/(1-$N$21-$N$23)</f>
        <v>260.78516801853993</v>
      </c>
      <c r="E46" s="2" t="s">
        <v>93</v>
      </c>
      <c r="F46" s="108">
        <f>C46</f>
        <v>1.0999999999999999E-2</v>
      </c>
      <c r="G46" s="110">
        <f>D46*F46</f>
        <v>2.868636848203939</v>
      </c>
    </row>
    <row r="47" spans="1:26" x14ac:dyDescent="0.3">
      <c r="B47" s="107" t="s">
        <v>51</v>
      </c>
      <c r="C47" s="108">
        <f>N20</f>
        <v>5.0700000000000002E-2</v>
      </c>
      <c r="D47" s="109">
        <f>D46</f>
        <v>260.78516801853993</v>
      </c>
      <c r="E47" s="2" t="s">
        <v>93</v>
      </c>
      <c r="F47" s="108">
        <f>C47</f>
        <v>5.0700000000000002E-2</v>
      </c>
      <c r="G47" s="110">
        <f>D47*F47</f>
        <v>13.221808018539976</v>
      </c>
    </row>
    <row r="48" spans="1:26" x14ac:dyDescent="0.3">
      <c r="A48" s="111" t="s">
        <v>94</v>
      </c>
      <c r="B48" s="107" t="s">
        <v>11</v>
      </c>
      <c r="C48" s="112">
        <v>0.04</v>
      </c>
      <c r="D48" s="113">
        <f>H48/F48*C48</f>
        <v>91.611957796014067</v>
      </c>
      <c r="E48" s="2" t="s">
        <v>93</v>
      </c>
      <c r="F48" s="326">
        <v>0.12</v>
      </c>
      <c r="G48" s="110">
        <f>D48*F48</f>
        <v>10.993434935521687</v>
      </c>
      <c r="H48" s="110">
        <f>((D18*K18)+(D19*K19)+(D20*K20)+(D21*K21)+(D22*K22)+(D23*K23))/(1-F46-F47)/(1-(C48))</f>
        <v>274.83587338804222</v>
      </c>
      <c r="I48" s="115"/>
    </row>
    <row r="49" spans="1:26" x14ac:dyDescent="0.3">
      <c r="B49" s="105"/>
      <c r="C49" s="105"/>
      <c r="D49" s="105"/>
      <c r="E49" s="110">
        <f>(O36)/(1-C46-C47-C48)</f>
        <v>0</v>
      </c>
      <c r="F49" s="116"/>
      <c r="G49" s="116"/>
      <c r="H49" s="105"/>
      <c r="I49" s="105"/>
      <c r="J49" s="117"/>
      <c r="K49" s="117"/>
      <c r="L49" s="117"/>
      <c r="M49" s="106"/>
      <c r="N49" s="106"/>
      <c r="O49" s="118"/>
    </row>
    <row r="50" spans="1:26" x14ac:dyDescent="0.3">
      <c r="C50" s="327" t="s">
        <v>286</v>
      </c>
      <c r="D50" s="328" t="s">
        <v>287</v>
      </c>
      <c r="F50"/>
      <c r="G50"/>
      <c r="H50"/>
    </row>
    <row r="51" spans="1:26" x14ac:dyDescent="0.3">
      <c r="C51" s="1"/>
      <c r="D51" s="1" t="s">
        <v>288</v>
      </c>
      <c r="F51" s="1"/>
      <c r="G51" s="1"/>
      <c r="H51" s="1"/>
      <c r="J51" s="1"/>
    </row>
    <row r="52" spans="1:26" s="1" customFormat="1" x14ac:dyDescent="0.3">
      <c r="B52" s="194"/>
      <c r="C52" s="194"/>
      <c r="D52" s="325"/>
      <c r="E52" s="194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4" spans="1:26" x14ac:dyDescent="0.3">
      <c r="B54" s="1"/>
      <c r="F54" s="254"/>
      <c r="G54"/>
      <c r="H54" s="3"/>
    </row>
    <row r="55" spans="1:26" x14ac:dyDescent="0.3">
      <c r="B55" s="5" t="s">
        <v>55</v>
      </c>
      <c r="E55" s="26" t="s">
        <v>10</v>
      </c>
      <c r="F55" s="85">
        <v>0.73899999999999999</v>
      </c>
      <c r="G55" s="86" t="s">
        <v>9</v>
      </c>
      <c r="H55" s="85">
        <v>1</v>
      </c>
      <c r="I55" s="280" t="str">
        <f>'Fatura B1 (GD II) OK'!I44</f>
        <v>A partir de 01/01/2026</v>
      </c>
      <c r="J55"/>
      <c r="M55"/>
      <c r="N55"/>
      <c r="O55"/>
      <c r="P55"/>
      <c r="Q55"/>
      <c r="R55"/>
      <c r="S55"/>
      <c r="T55"/>
      <c r="U55"/>
      <c r="V55"/>
    </row>
    <row r="56" spans="1:26" x14ac:dyDescent="0.3">
      <c r="B56" s="5"/>
      <c r="E56" s="26" t="s">
        <v>10</v>
      </c>
      <c r="F56" s="85">
        <v>0.75219999999999998</v>
      </c>
      <c r="G56" s="86" t="s">
        <v>9</v>
      </c>
      <c r="H56" s="85">
        <v>1</v>
      </c>
      <c r="I56" s="280" t="str">
        <f>'Fatura B1 (GD II) OK'!I45</f>
        <v>A partir de 07/08/2026</v>
      </c>
      <c r="J56"/>
      <c r="M56"/>
      <c r="N56"/>
      <c r="O56"/>
      <c r="P56"/>
      <c r="Q56"/>
      <c r="R56"/>
      <c r="S56"/>
      <c r="T56"/>
      <c r="U56"/>
      <c r="V56"/>
    </row>
    <row r="57" spans="1:26" x14ac:dyDescent="0.3">
      <c r="B57" s="415" t="s">
        <v>136</v>
      </c>
      <c r="C57" s="416"/>
      <c r="D57" s="416"/>
      <c r="E57" s="416"/>
      <c r="F57" s="416"/>
      <c r="G57" s="416"/>
      <c r="H57" s="41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6" x14ac:dyDescent="0.3">
      <c r="B58" s="41"/>
      <c r="D58" s="46" t="s">
        <v>40</v>
      </c>
      <c r="E58" s="46" t="s">
        <v>10</v>
      </c>
      <c r="F58" s="46" t="s">
        <v>9</v>
      </c>
      <c r="G58" s="46" t="s">
        <v>34</v>
      </c>
      <c r="H58" s="47" t="s">
        <v>7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6" x14ac:dyDescent="0.3">
      <c r="A59" s="19" t="s">
        <v>8</v>
      </c>
      <c r="B59" s="48" t="s">
        <v>41</v>
      </c>
      <c r="C59" s="49"/>
      <c r="D59" s="50"/>
      <c r="E59" s="50"/>
      <c r="F59" s="50"/>
      <c r="G59" s="50"/>
      <c r="H59" s="51" t="e">
        <f>SUM(H61:H66)+SUM(#REF!)</f>
        <v>#REF!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6" x14ac:dyDescent="0.3">
      <c r="A60" s="19" t="s">
        <v>8</v>
      </c>
      <c r="B60" s="41"/>
      <c r="D60" s="46"/>
      <c r="E60" s="46"/>
      <c r="F60" s="46"/>
      <c r="G60" s="46"/>
      <c r="H60" s="52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6" x14ac:dyDescent="0.3">
      <c r="A61" s="19" t="s">
        <v>8</v>
      </c>
      <c r="B61" s="41" t="s">
        <v>42</v>
      </c>
      <c r="D61" s="89">
        <f>D18</f>
        <v>297</v>
      </c>
      <c r="E61" s="53">
        <f>IF(AND($B$14&lt;$F$2,$E$14&lt;$F$2),C6,IF($B$14&lt;$F$2,I6,F6))</f>
        <v>0.48621866666666663</v>
      </c>
      <c r="F61" s="53">
        <f>IF(AND($B$14&lt;$F$2,$E$14&lt;$F$2),D6,IF($B$14&lt;$F$2,J6,G6))</f>
        <v>0.32847799999999999</v>
      </c>
      <c r="G61" s="53">
        <f>E61+F61</f>
        <v>0.81469666666666662</v>
      </c>
      <c r="H61" s="54">
        <f>ROUND((D61*E61),2)+ROUND((D61*F61),2)</f>
        <v>241.97</v>
      </c>
      <c r="I61"/>
      <c r="J61"/>
      <c r="K61"/>
      <c r="L61"/>
      <c r="M61" s="90"/>
      <c r="N61"/>
      <c r="O61"/>
      <c r="P61"/>
      <c r="Q61"/>
      <c r="R61"/>
      <c r="S61"/>
      <c r="T61"/>
      <c r="U61"/>
      <c r="V61"/>
    </row>
    <row r="62" spans="1:26" x14ac:dyDescent="0.3">
      <c r="B62" s="41"/>
      <c r="D62" s="55"/>
      <c r="E62" s="56"/>
      <c r="F62" s="57"/>
      <c r="G62" s="57"/>
      <c r="H62" s="54"/>
      <c r="I62"/>
      <c r="J62">
        <v>17.010000000000002</v>
      </c>
      <c r="K62">
        <v>10.9</v>
      </c>
      <c r="L62"/>
      <c r="M62"/>
      <c r="N62"/>
      <c r="O62"/>
      <c r="P62"/>
      <c r="Q62"/>
      <c r="R62"/>
      <c r="S62"/>
      <c r="T62"/>
      <c r="U62"/>
      <c r="V62"/>
    </row>
    <row r="63" spans="1:26" x14ac:dyDescent="0.3">
      <c r="B63" s="41" t="s">
        <v>43</v>
      </c>
      <c r="D63" s="58">
        <f>IF($K$12=M4,(D61*(K14)/(K14+L14)),0)+IF($L$12=M4,(D61*(L14)/(K14+L14)),0)</f>
        <v>297</v>
      </c>
      <c r="F63" s="59">
        <f>N4</f>
        <v>1.8849999999999999E-2</v>
      </c>
      <c r="G63" s="59"/>
      <c r="H63" s="54">
        <f>ROUND(D63*(E63+F63),2)</f>
        <v>5.6</v>
      </c>
      <c r="I63"/>
      <c r="J63">
        <v>205</v>
      </c>
      <c r="K63">
        <v>131.26</v>
      </c>
      <c r="L63"/>
      <c r="M63"/>
      <c r="N63"/>
      <c r="O63"/>
      <c r="P63"/>
      <c r="Q63"/>
      <c r="R63"/>
      <c r="S63"/>
      <c r="T63"/>
      <c r="U63"/>
      <c r="V63"/>
    </row>
    <row r="64" spans="1:26" x14ac:dyDescent="0.3">
      <c r="B64" s="41" t="s">
        <v>44</v>
      </c>
      <c r="D64" s="58">
        <f>IF($K$12=M5,(D61*(K14)/(K14+L14)),0)+IF($L$12=M5,(D61*(L14)/(K14+L14)),0)</f>
        <v>0</v>
      </c>
      <c r="F64" s="59">
        <f>N5</f>
        <v>4.4630000000000003E-2</v>
      </c>
      <c r="G64" s="59"/>
      <c r="H64" s="54">
        <f>ROUND(D64*(E64+F64),2)</f>
        <v>0</v>
      </c>
      <c r="I64"/>
      <c r="J64">
        <f>SUM(J62:J63)</f>
        <v>222.01</v>
      </c>
      <c r="K64">
        <f>SUM(K62:K63)</f>
        <v>142.16</v>
      </c>
      <c r="L64" s="98"/>
      <c r="M64"/>
      <c r="N64"/>
      <c r="O64"/>
      <c r="P64"/>
      <c r="Q64"/>
      <c r="R64"/>
      <c r="S64"/>
      <c r="T64"/>
      <c r="U64"/>
      <c r="V64"/>
    </row>
    <row r="65" spans="2:22" x14ac:dyDescent="0.3">
      <c r="B65" s="41" t="s">
        <v>45</v>
      </c>
      <c r="D65" s="58">
        <f>IF($K$12=M6,(D61*(K14)/(K14+L14)),0)+IF($L$12=M6,(D61*(L14)/(K14+L14)),0)</f>
        <v>0</v>
      </c>
      <c r="F65" s="59">
        <f>N6</f>
        <v>7.8770000000000007E-2</v>
      </c>
      <c r="G65" s="59"/>
      <c r="H65" s="54">
        <f>ROUND(D65*(E65+F65),2)</f>
        <v>0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3">
      <c r="B66" s="41" t="s">
        <v>46</v>
      </c>
      <c r="D66" s="58">
        <f>IF($K$12=M8,(D61*(K14)/(K14+L14)),0)+IF($L$12=M8,(D61*(L14)/(K14+L14)),0)</f>
        <v>0</v>
      </c>
      <c r="F66" s="59">
        <f>N8</f>
        <v>0.14199999999999999</v>
      </c>
      <c r="G66" s="59"/>
      <c r="H66" s="54">
        <f>ROUND(D66*(E66+F66),2)</f>
        <v>0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2:22" x14ac:dyDescent="0.3">
      <c r="B67" s="41"/>
      <c r="D67" s="60"/>
      <c r="H67" s="54"/>
      <c r="I67" s="1"/>
      <c r="J67" s="1"/>
      <c r="K67" s="90"/>
      <c r="L67" s="1"/>
      <c r="M67" s="1"/>
      <c r="N67" s="1"/>
      <c r="O67" s="1"/>
      <c r="P67" s="1"/>
    </row>
    <row r="68" spans="2:22" x14ac:dyDescent="0.3">
      <c r="B68" s="41" t="s">
        <v>47</v>
      </c>
      <c r="D68" s="223">
        <f>D25</f>
        <v>-297</v>
      </c>
      <c r="E68" s="27">
        <f>IF(AND($B$14&lt;$F$2,$E$14&lt;$F$2),C6*$F$55,IF($B$14&lt;$F$2,(((I6*F55)*C14)+((I6*F56)*D14))/(C14+D14),I6*$F$56))</f>
        <v>0.36231070165333334</v>
      </c>
      <c r="F68" s="53">
        <f>F61</f>
        <v>0.32847799999999999</v>
      </c>
      <c r="G68" s="53">
        <f>E68+F68</f>
        <v>0.69078870165333339</v>
      </c>
      <c r="H68" s="54">
        <f>ROUND((D68*E68),2)+ROUND((D68*F68),2)</f>
        <v>-205.17000000000002</v>
      </c>
      <c r="I68" s="1"/>
      <c r="J68" s="331"/>
      <c r="K68" s="90"/>
      <c r="L68" s="1"/>
      <c r="M68" s="1"/>
      <c r="N68" s="1"/>
      <c r="O68" s="1"/>
      <c r="P68" s="1"/>
    </row>
    <row r="69" spans="2:22" x14ac:dyDescent="0.3">
      <c r="B69" s="41"/>
      <c r="D69" s="55"/>
      <c r="E69" s="56"/>
      <c r="F69" s="57"/>
      <c r="G69" s="57"/>
      <c r="H69" s="54"/>
      <c r="I69" s="1"/>
      <c r="J69" s="1"/>
      <c r="K69" s="90"/>
      <c r="L69" s="1"/>
      <c r="M69" s="1"/>
      <c r="N69" s="1"/>
      <c r="O69" s="1"/>
      <c r="P69" s="1"/>
    </row>
    <row r="70" spans="2:22" x14ac:dyDescent="0.3">
      <c r="B70" s="41" t="s">
        <v>43</v>
      </c>
      <c r="D70" s="58">
        <f>IF($K$12=M14,(#REF!*(K24)/(K24+L24)),0)+IF($L$12=M14,(#REF!*(L24)/(K24+L24)),0)</f>
        <v>0</v>
      </c>
      <c r="F70" s="59">
        <f>F63</f>
        <v>1.8849999999999999E-2</v>
      </c>
      <c r="G70" s="59"/>
      <c r="H70" s="54">
        <f>ROUND(D70*(E70+F70),2)</f>
        <v>0</v>
      </c>
      <c r="I70" s="1"/>
      <c r="J70" s="1"/>
      <c r="K70" s="1"/>
      <c r="L70" s="1"/>
      <c r="M70" s="1"/>
      <c r="N70" s="1"/>
      <c r="O70" s="1"/>
      <c r="P70" s="1"/>
    </row>
    <row r="71" spans="2:22" x14ac:dyDescent="0.3">
      <c r="B71" s="41" t="s">
        <v>44</v>
      </c>
      <c r="D71" s="58">
        <f>IF($K$12=M15,(#REF!*(K24)/(K24+L24)),0)+IF($L$12=M15,(#REF!*(L24)/(K24+L24)),0)</f>
        <v>0</v>
      </c>
      <c r="F71" s="59">
        <f>F64</f>
        <v>4.4630000000000003E-2</v>
      </c>
      <c r="G71" s="59"/>
      <c r="H71" s="54">
        <f>ROUND(D71*(E71+F71),2)</f>
        <v>0</v>
      </c>
      <c r="I71" s="1"/>
      <c r="J71" s="1"/>
      <c r="K71" s="1"/>
      <c r="L71" s="1"/>
      <c r="M71" s="1"/>
      <c r="N71" s="1"/>
      <c r="O71" s="1"/>
      <c r="P71" s="1"/>
    </row>
    <row r="72" spans="2:22" x14ac:dyDescent="0.3">
      <c r="B72" s="41" t="s">
        <v>45</v>
      </c>
      <c r="D72" s="58">
        <f>IF($K$12=M16,(#REF!*(K24)/(K24+L24)),0)+IF($L$12=M16,(#REF!*(L24)/(K24+L24)),0)</f>
        <v>0</v>
      </c>
      <c r="F72" s="59">
        <f>F65</f>
        <v>7.8770000000000007E-2</v>
      </c>
      <c r="G72" s="59"/>
      <c r="H72" s="54">
        <f>ROUND(D72*(E72+F72),2)</f>
        <v>0</v>
      </c>
      <c r="I72" s="1"/>
      <c r="J72" s="1"/>
      <c r="K72" s="1"/>
      <c r="L72" s="1"/>
      <c r="M72" s="1"/>
      <c r="N72" s="1"/>
      <c r="O72" s="1"/>
      <c r="P72" s="1"/>
    </row>
    <row r="73" spans="2:22" x14ac:dyDescent="0.3">
      <c r="B73" s="41" t="s">
        <v>46</v>
      </c>
      <c r="D73" s="58">
        <f>IF($K$12=M8,(D68*(K14)/(K14+L14)),0)+IF($L$12=M8,(D68*(L14)/(K14+L14)),0)</f>
        <v>0</v>
      </c>
      <c r="F73" s="59">
        <f>F66</f>
        <v>0.14199999999999999</v>
      </c>
      <c r="G73" s="59"/>
      <c r="H73" s="54">
        <f>ROUND(D73*(E73+F73),2)</f>
        <v>0</v>
      </c>
      <c r="J73" s="1"/>
      <c r="K73" s="1"/>
      <c r="L73" s="1"/>
      <c r="M73" s="1"/>
      <c r="N73" s="1"/>
      <c r="O73" s="1"/>
      <c r="P73" s="1"/>
    </row>
    <row r="74" spans="2:22" x14ac:dyDescent="0.3">
      <c r="B74" s="41"/>
      <c r="D74" s="58"/>
      <c r="F74" s="59"/>
      <c r="G74" s="59"/>
      <c r="H74" s="54"/>
      <c r="J74" s="1"/>
      <c r="K74" s="1"/>
      <c r="L74" s="1"/>
      <c r="M74" s="1"/>
      <c r="N74" s="1"/>
      <c r="O74" s="1"/>
      <c r="P74" s="1"/>
    </row>
    <row r="75" spans="2:22" x14ac:dyDescent="0.3">
      <c r="B75" s="119"/>
      <c r="C75" s="120"/>
      <c r="D75" s="121"/>
      <c r="E75" s="122"/>
      <c r="F75" s="123"/>
      <c r="G75" s="122"/>
      <c r="H75" s="124"/>
      <c r="I75" s="116"/>
      <c r="J75" s="1"/>
      <c r="K75" s="1"/>
      <c r="L75" s="1"/>
      <c r="M75" s="1"/>
      <c r="N75" s="1"/>
      <c r="O75" s="1"/>
      <c r="P75" s="1"/>
    </row>
    <row r="76" spans="2:22" x14ac:dyDescent="0.3">
      <c r="B76" s="119"/>
      <c r="C76" s="120"/>
      <c r="D76" s="125"/>
      <c r="E76" s="120"/>
      <c r="F76" s="126"/>
      <c r="G76" s="126"/>
      <c r="H76" s="124"/>
      <c r="I76" s="1"/>
      <c r="J76" s="1"/>
      <c r="K76" s="1"/>
      <c r="L76" s="1"/>
      <c r="M76" s="1"/>
      <c r="N76" s="1"/>
      <c r="O76" s="1"/>
      <c r="P76" s="1"/>
    </row>
    <row r="77" spans="2:22" x14ac:dyDescent="0.3">
      <c r="B77" s="119"/>
      <c r="C77" s="120"/>
      <c r="D77" s="121"/>
      <c r="E77" s="122"/>
      <c r="F77" s="123"/>
      <c r="G77" s="122"/>
      <c r="H77" s="124"/>
      <c r="I77" s="97"/>
      <c r="K77" s="1"/>
      <c r="L77" s="1"/>
      <c r="M77" s="1"/>
      <c r="N77" s="1"/>
      <c r="O77" s="1"/>
      <c r="P77" s="1"/>
    </row>
    <row r="78" spans="2:22" x14ac:dyDescent="0.3">
      <c r="B78" s="61"/>
      <c r="C78" s="24"/>
      <c r="D78" s="24"/>
      <c r="E78" s="24"/>
      <c r="F78" s="24"/>
      <c r="G78" s="24"/>
      <c r="H78" s="62"/>
      <c r="I78"/>
      <c r="J78" s="1"/>
      <c r="K78" s="1"/>
      <c r="L78" s="1"/>
      <c r="M78" s="1"/>
      <c r="N78" s="1"/>
      <c r="O78" s="1"/>
      <c r="P78" s="1"/>
    </row>
    <row r="79" spans="2:22" x14ac:dyDescent="0.3">
      <c r="B79" s="34"/>
      <c r="C79" s="35"/>
      <c r="D79" s="35"/>
      <c r="E79" s="35"/>
      <c r="F79" s="35"/>
      <c r="G79" s="35"/>
      <c r="H79" s="96">
        <f>SUM(H61:H78)</f>
        <v>42.399999999999977</v>
      </c>
      <c r="I79" s="1"/>
      <c r="L79" s="1"/>
      <c r="M79" s="1"/>
      <c r="N79" s="1"/>
      <c r="O79" s="1"/>
      <c r="P79" s="1"/>
    </row>
    <row r="80" spans="2:22" x14ac:dyDescent="0.3">
      <c r="B80" s="95"/>
      <c r="C80" s="1"/>
      <c r="D80" s="1"/>
      <c r="E80" s="1"/>
      <c r="F80" s="1"/>
      <c r="G80" s="1"/>
      <c r="H80" s="43">
        <v>26.35</v>
      </c>
      <c r="I80" s="1"/>
      <c r="L80" s="1"/>
      <c r="M80" s="1"/>
      <c r="N80" s="1"/>
      <c r="O80" s="1"/>
      <c r="P80" s="1"/>
    </row>
    <row r="81" spans="2:16" x14ac:dyDescent="0.3">
      <c r="B81" s="41"/>
      <c r="D81" s="63" t="s">
        <v>48</v>
      </c>
      <c r="E81" s="64"/>
      <c r="F81" s="64"/>
      <c r="G81" s="64"/>
      <c r="H81" s="65"/>
      <c r="I81" s="66"/>
      <c r="K81" s="67"/>
      <c r="L81" s="1"/>
      <c r="M81" s="1"/>
      <c r="N81" s="1"/>
      <c r="O81" s="1"/>
      <c r="P81" s="1"/>
    </row>
    <row r="82" spans="2:16" x14ac:dyDescent="0.3">
      <c r="B82" s="41" t="s">
        <v>49</v>
      </c>
      <c r="D82" s="68">
        <f>(H61+H63+H64+H65+H66)/(1-E82-E84)</f>
        <v>263.84951508046464</v>
      </c>
      <c r="E82" s="69">
        <f>N18</f>
        <v>1.0999999999999999E-2</v>
      </c>
      <c r="H82" s="70">
        <f>D82*E82</f>
        <v>2.9023446658851109</v>
      </c>
      <c r="I82" s="67"/>
      <c r="L82" s="1"/>
      <c r="M82" s="1"/>
      <c r="N82" s="1"/>
      <c r="O82" s="1"/>
      <c r="P82" s="1"/>
    </row>
    <row r="83" spans="2:16" x14ac:dyDescent="0.3">
      <c r="B83" s="41" t="s">
        <v>50</v>
      </c>
      <c r="D83" s="68">
        <f>(H68+H70+H71+H72+H73)/(1-E82-E84)</f>
        <v>-218.66140893104551</v>
      </c>
      <c r="E83" s="71">
        <f>E82</f>
        <v>1.0999999999999999E-2</v>
      </c>
      <c r="H83" s="70">
        <f t="shared" ref="H83:H85" si="17">D83*E83</f>
        <v>-2.4052754982415006</v>
      </c>
      <c r="I83" s="67"/>
      <c r="L83" s="1"/>
      <c r="M83" s="1"/>
      <c r="N83" s="1"/>
      <c r="O83" s="1"/>
      <c r="P83" s="1"/>
    </row>
    <row r="84" spans="2:16" x14ac:dyDescent="0.3">
      <c r="B84" s="41" t="s">
        <v>51</v>
      </c>
      <c r="D84" s="68">
        <f>D82</f>
        <v>263.84951508046464</v>
      </c>
      <c r="E84" s="69">
        <f>N20</f>
        <v>5.0700000000000002E-2</v>
      </c>
      <c r="H84" s="70">
        <f t="shared" si="17"/>
        <v>13.377170414579558</v>
      </c>
      <c r="I84" s="67"/>
      <c r="L84" s="1"/>
      <c r="M84" s="1"/>
      <c r="N84" s="1"/>
      <c r="O84" s="1"/>
      <c r="P84" s="1"/>
    </row>
    <row r="85" spans="2:16" x14ac:dyDescent="0.3">
      <c r="B85" s="41" t="s">
        <v>52</v>
      </c>
      <c r="D85" s="68">
        <f>D83</f>
        <v>-218.66140893104551</v>
      </c>
      <c r="E85" s="71">
        <f>E84</f>
        <v>5.0700000000000002E-2</v>
      </c>
      <c r="H85" s="70">
        <f t="shared" si="17"/>
        <v>-11.086133432804008</v>
      </c>
      <c r="I85" s="67"/>
      <c r="L85" s="1"/>
      <c r="M85" s="1"/>
      <c r="N85" s="1"/>
      <c r="O85" s="1"/>
      <c r="P85" s="1"/>
    </row>
    <row r="86" spans="2:16" x14ac:dyDescent="0.3">
      <c r="B86" s="41" t="s">
        <v>11</v>
      </c>
      <c r="D86" s="72">
        <f>D82/(1-E86)</f>
        <v>317.89098202465618</v>
      </c>
      <c r="E86" s="73">
        <v>0.17</v>
      </c>
      <c r="H86" s="70">
        <f>D86*E86</f>
        <v>54.041466944191555</v>
      </c>
      <c r="I86" s="67"/>
      <c r="L86" s="1"/>
      <c r="M86" s="1"/>
      <c r="N86" s="1"/>
      <c r="O86" s="1"/>
      <c r="P86" s="1"/>
    </row>
    <row r="87" spans="2:16" x14ac:dyDescent="0.3">
      <c r="B87" s="74" t="s">
        <v>53</v>
      </c>
      <c r="C87" s="75"/>
      <c r="D87" s="76">
        <f>((D68*F68)+(H70+H71+H72+H73))/(1-E83-E85)/(1-E87)</f>
        <v>-125.26880323168406</v>
      </c>
      <c r="E87" s="77">
        <f>E86</f>
        <v>0.17</v>
      </c>
      <c r="F87" s="75"/>
      <c r="G87" s="75"/>
      <c r="H87" s="78">
        <f>D87*E87</f>
        <v>-21.295696549386292</v>
      </c>
      <c r="L87" s="1"/>
      <c r="M87" s="1"/>
      <c r="N87" s="1"/>
      <c r="O87" s="1"/>
      <c r="P87" s="1"/>
    </row>
    <row r="88" spans="2:16" x14ac:dyDescent="0.3">
      <c r="L88" s="1"/>
      <c r="M88" s="1"/>
      <c r="N88" s="1"/>
      <c r="O88" s="1"/>
      <c r="P88" s="1"/>
    </row>
    <row r="89" spans="2:16" x14ac:dyDescent="0.3">
      <c r="B89" s="224" t="s">
        <v>193</v>
      </c>
      <c r="C89" s="133"/>
      <c r="D89" s="225">
        <f>D61+D68</f>
        <v>0</v>
      </c>
      <c r="E89" s="226">
        <f>IF(AND($B$14&lt;$F$2,$E$14&lt;$F$2),C8,IF($B$14&lt;$F$2,I8,F8))</f>
        <v>1.8608682270474647E-4</v>
      </c>
      <c r="F89" s="226">
        <f>IF(AND($B$14&lt;$F$2,$E$14&lt;$F$2),E8,IF($B$14&lt;$F$2,K8,H8))</f>
        <v>-2.4104367888000164E-3</v>
      </c>
      <c r="G89" s="133"/>
      <c r="H89" s="224">
        <f>D89*(E89+F89)</f>
        <v>0</v>
      </c>
      <c r="L89" s="1"/>
      <c r="M89" s="1"/>
      <c r="N89" s="1"/>
      <c r="O89" s="1"/>
      <c r="P89" s="1"/>
    </row>
  </sheetData>
  <mergeCells count="11">
    <mergeCell ref="U4:W4"/>
    <mergeCell ref="X4:Z4"/>
    <mergeCell ref="K11:L11"/>
    <mergeCell ref="B57:H57"/>
    <mergeCell ref="B4:B5"/>
    <mergeCell ref="C4:E4"/>
    <mergeCell ref="F4:H4"/>
    <mergeCell ref="I4:K4"/>
    <mergeCell ref="Q4:Q5"/>
    <mergeCell ref="R4:T4"/>
    <mergeCell ref="P16:S16"/>
  </mergeCells>
  <conditionalFormatting sqref="K12:L12">
    <cfRule type="cellIs" dxfId="153" priority="1" operator="equal">
      <formula>"Escassez Hídrica"</formula>
    </cfRule>
    <cfRule type="cellIs" dxfId="152" priority="2" operator="equal">
      <formula>"VERDE"</formula>
    </cfRule>
    <cfRule type="cellIs" dxfId="151" priority="3" operator="equal">
      <formula>"BVM2"</formula>
    </cfRule>
    <cfRule type="cellIs" dxfId="150" priority="4" operator="equal">
      <formula>"BVM1"</formula>
    </cfRule>
    <cfRule type="cellIs" dxfId="149" priority="5" operator="equal">
      <formula>"BAM"</formula>
    </cfRule>
  </conditionalFormatting>
  <conditionalFormatting sqref="M3">
    <cfRule type="cellIs" dxfId="148" priority="16" operator="equal">
      <formula>"VERDE"</formula>
    </cfRule>
    <cfRule type="cellIs" dxfId="147" priority="17" operator="equal">
      <formula>"BVM2"</formula>
    </cfRule>
    <cfRule type="cellIs" dxfId="146" priority="18" operator="equal">
      <formula>"BVM1"</formula>
    </cfRule>
    <cfRule type="cellIs" dxfId="145" priority="19" operator="equal">
      <formula>"BAM"</formula>
    </cfRule>
  </conditionalFormatting>
  <conditionalFormatting sqref="M8">
    <cfRule type="containsText" dxfId="144" priority="7" operator="containsText" text="Escassez Hídrica">
      <formula>NOT(ISERROR(SEARCH("Escassez Hídrica",M8)))</formula>
    </cfRule>
    <cfRule type="cellIs" dxfId="143" priority="8" operator="equal">
      <formula>"VERDE"</formula>
    </cfRule>
    <cfRule type="cellIs" dxfId="142" priority="9" operator="equal">
      <formula>"BVM2"</formula>
    </cfRule>
    <cfRule type="cellIs" dxfId="141" priority="10" operator="equal">
      <formula>"BVM1"</formula>
    </cfRule>
    <cfRule type="cellIs" dxfId="140" priority="11" operator="equal">
      <formula>"BAM"</formula>
    </cfRule>
  </conditionalFormatting>
  <dataValidations count="1">
    <dataValidation type="list" allowBlank="1" showInputMessage="1" showErrorMessage="1" sqref="K12:L12" xr:uid="{6AA380F3-A0F7-45F7-9EAC-2782E41897E5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91A4-B9C8-4549-9B3A-E500A0AF2928}">
  <dimension ref="A1:Z83"/>
  <sheetViews>
    <sheetView showGridLines="0" tabSelected="1" zoomScale="80" zoomScaleNormal="80" workbookViewId="0">
      <selection activeCell="N31" sqref="N31"/>
    </sheetView>
  </sheetViews>
  <sheetFormatPr defaultColWidth="9.109375" defaultRowHeight="14.4" x14ac:dyDescent="0.3"/>
  <cols>
    <col min="1" max="1" width="5.44140625" style="19" customWidth="1"/>
    <col min="2" max="2" width="24.109375" style="19" customWidth="1"/>
    <col min="3" max="4" width="13.88671875" style="19" customWidth="1"/>
    <col min="5" max="10" width="12.6640625" style="19" customWidth="1"/>
    <col min="11" max="12" width="13.88671875" style="19" customWidth="1"/>
    <col min="13" max="16" width="12.6640625" style="19" customWidth="1"/>
    <col min="17" max="17" width="14.5546875" style="19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66</v>
      </c>
      <c r="E2" s="20" t="s">
        <v>28</v>
      </c>
      <c r="F2" s="21">
        <f>'Fatura B1 (GD II) OK'!F2</f>
        <v>46241</v>
      </c>
      <c r="G2" s="329" t="s">
        <v>290</v>
      </c>
      <c r="H2" s="330">
        <v>45658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54" t="s">
        <v>152</v>
      </c>
      <c r="C4" s="418" t="str">
        <f>'Fatura B1 (GD II) OK'!C4:E4</f>
        <v>TARIFA ANTIGA - REH 3370/2024</v>
      </c>
      <c r="D4" s="418"/>
      <c r="E4" s="418"/>
      <c r="F4" s="418" t="str">
        <f>'Fatura B1 (GD II) OK'!F4:H4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[3]BANDEIRA!$D$5</f>
        <v>1.8849999999999999E-2</v>
      </c>
      <c r="Q4" s="413" t="s">
        <v>31</v>
      </c>
      <c r="R4" s="405" t="str">
        <f>C4</f>
        <v>TARIFA ANTIGA - REH 3370/2024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5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[3]BANDEIRA!$D$6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66</v>
      </c>
      <c r="C6" s="31">
        <f>'TABELA DE TARIFAS ANTIGAS'!G89/1000</f>
        <v>0.46862999999999999</v>
      </c>
      <c r="D6" s="31">
        <f>'TABELA DE TARIFAS ANTIGAS'!H89/1000</f>
        <v>0.32068000000000002</v>
      </c>
      <c r="E6" s="31">
        <f t="shared" ref="E6" si="0">C6+D6</f>
        <v>0.78930999999999996</v>
      </c>
      <c r="F6" s="31">
        <f>'TABELA DE TARIFAS NOVAS'!G91/1000</f>
        <v>0.50631999999999999</v>
      </c>
      <c r="G6" s="31">
        <f>'TABELA DE TARIFAS NOVAS'!H91/1000</f>
        <v>0.33738999999999997</v>
      </c>
      <c r="H6" s="31">
        <f t="shared" ref="H6:H7" si="1">F6+G6</f>
        <v>0.84370999999999996</v>
      </c>
      <c r="I6" s="31">
        <f>((C6*$C$14)+(F6*$D$14))/($D$14+$C$14)</f>
        <v>0.47742433333333334</v>
      </c>
      <c r="J6" s="31">
        <f>((D6*$C$14)+(G6*$D$14))/($D$14+$C$14)</f>
        <v>0.32457900000000001</v>
      </c>
      <c r="K6" s="32">
        <f t="shared" ref="K6:K7" si="2">I6+J6</f>
        <v>0.8020033333333334</v>
      </c>
      <c r="M6" s="13" t="s">
        <v>16</v>
      </c>
      <c r="N6" s="14">
        <f>[3]BANDEIRA!$D$7</f>
        <v>7.8770000000000007E-2</v>
      </c>
      <c r="P6" s="33"/>
      <c r="Q6" s="30" t="str">
        <f>B6</f>
        <v>B3</v>
      </c>
      <c r="R6" s="31">
        <f>'FIO B'!H35/1000</f>
        <v>0.20383072193179136</v>
      </c>
      <c r="S6"/>
      <c r="T6"/>
      <c r="U6" s="31">
        <f>'FIO B'!K35/1000</f>
        <v>0.20915159219558199</v>
      </c>
      <c r="V6"/>
      <c r="W6"/>
      <c r="X6" s="31">
        <f>((R6*$C$14)+(U6*$D$14))/($D$14+$C$14)</f>
        <v>0.20507225832667586</v>
      </c>
      <c r="Y6"/>
      <c r="Z6"/>
    </row>
    <row r="7" spans="1:26" x14ac:dyDescent="0.3">
      <c r="B7" s="243" t="s">
        <v>200</v>
      </c>
      <c r="C7" s="278">
        <v>1.8774721494831901E-4</v>
      </c>
      <c r="D7" s="277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si="1"/>
        <v>-3.4764051714327999E-4</v>
      </c>
      <c r="I7" s="31">
        <f>((C7*$C$14)+(F7*$D$14))/($D$14+$C$14)</f>
        <v>1.8691701882653274E-4</v>
      </c>
      <c r="J7" s="31">
        <f>((D7*$C$14)+(G7*$D$14))/($D$14+$C$14)</f>
        <v>-3.4998271764763713E-3</v>
      </c>
      <c r="K7" s="32">
        <f t="shared" si="2"/>
        <v>-3.3129101576498386E-3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1.1808649999999999E-2</v>
      </c>
      <c r="K8" s="84"/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5" t="s">
        <v>198</v>
      </c>
      <c r="Q10" s="236"/>
      <c r="R10" s="237"/>
      <c r="S10" s="237"/>
      <c r="T10" s="238"/>
      <c r="U10" s="277">
        <v>0</v>
      </c>
      <c r="V10"/>
      <c r="W10"/>
      <c r="X10"/>
      <c r="Y10"/>
      <c r="Z10"/>
    </row>
    <row r="11" spans="1:26" x14ac:dyDescent="0.3">
      <c r="B11" s="38" t="s">
        <v>38</v>
      </c>
      <c r="C11" s="335">
        <v>160392975</v>
      </c>
      <c r="E11" s="1"/>
      <c r="F11" s="1"/>
      <c r="G11" s="1"/>
      <c r="H11" s="40">
        <f>E14</f>
        <v>46247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'Fatura B1 (GD II) OK'!T11</f>
        <v>1.84189231569235E-4</v>
      </c>
      <c r="U11" s="277">
        <f>'Fatura B1 (GD II) OK'!U11</f>
        <v>-5.3182974871251499E-4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tr">
        <f>'Fatura B1 (GD II) OK'!K12</f>
        <v>BAM</v>
      </c>
      <c r="L12" s="7" t="str">
        <f>'Fatura B1 (GD II) OK'!L12</f>
        <v>BAM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46217</v>
      </c>
      <c r="C14" s="18">
        <f>IF((F2-B14-1)&lt;0,0,(F2-B14-1))</f>
        <v>23</v>
      </c>
      <c r="D14" s="18">
        <f>E14-F2+1</f>
        <v>7</v>
      </c>
      <c r="E14" s="17">
        <v>46247</v>
      </c>
      <c r="F14" s="44"/>
      <c r="G14" s="44"/>
      <c r="H14" s="45"/>
      <c r="J14" s="22">
        <f>B14</f>
        <v>46217</v>
      </c>
      <c r="K14" s="23">
        <f>IF((M10-J14-1)&lt;0,0,(M10-J14-1))</f>
        <v>17</v>
      </c>
      <c r="L14" s="23">
        <f>M14-M10+1</f>
        <v>13</v>
      </c>
      <c r="M14" s="22">
        <f>E14</f>
        <v>46247</v>
      </c>
      <c r="O14" s="315" t="s">
        <v>278</v>
      </c>
      <c r="P14" s="316"/>
      <c r="Q14" s="317">
        <v>1025310638</v>
      </c>
    </row>
    <row r="16" spans="1:26" ht="42" customHeight="1" x14ac:dyDescent="0.3">
      <c r="B16" s="288" t="s">
        <v>245</v>
      </c>
      <c r="C16" s="288" t="s">
        <v>246</v>
      </c>
      <c r="D16" s="288" t="s">
        <v>247</v>
      </c>
      <c r="E16" s="289" t="s">
        <v>248</v>
      </c>
      <c r="F16" s="289" t="s">
        <v>249</v>
      </c>
      <c r="G16" s="289" t="s">
        <v>250</v>
      </c>
      <c r="H16" s="289" t="s">
        <v>251</v>
      </c>
      <c r="I16" s="289" t="s">
        <v>252</v>
      </c>
      <c r="J16" s="289" t="s">
        <v>253</v>
      </c>
      <c r="K16" s="290" t="s">
        <v>254</v>
      </c>
      <c r="L16" s="288" t="s">
        <v>255</v>
      </c>
      <c r="M16" s="289" t="s">
        <v>256</v>
      </c>
      <c r="N16" s="289" t="s">
        <v>257</v>
      </c>
      <c r="O16" s="289" t="s">
        <v>258</v>
      </c>
      <c r="P16" s="409" t="s">
        <v>379</v>
      </c>
      <c r="Q16" s="410"/>
      <c r="R16" s="410"/>
      <c r="S16" s="410"/>
    </row>
    <row r="17" spans="2:20" x14ac:dyDescent="0.3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3"/>
      <c r="N17" s="293"/>
      <c r="O17" s="293"/>
      <c r="R17" s="26" t="s">
        <v>105</v>
      </c>
      <c r="S17" s="26" t="s">
        <v>106</v>
      </c>
    </row>
    <row r="18" spans="2:20" x14ac:dyDescent="0.3">
      <c r="B18" s="293" t="s">
        <v>259</v>
      </c>
      <c r="C18" s="294" t="s">
        <v>2</v>
      </c>
      <c r="D18" s="295">
        <v>1078</v>
      </c>
      <c r="E18" s="296">
        <f>(ROUND(D18*K18,2)+ROUND(G18,2)+ROUND(J18,2))/ROUND(D18,4)</f>
        <v>0.61302411873840446</v>
      </c>
      <c r="F18" s="297">
        <f t="shared" ref="F18:F23" si="3">ROUND(D18*E18,2)</f>
        <v>660.84</v>
      </c>
      <c r="G18" s="297">
        <f>((D18*K18)/(1-$N$18-$N$20))*($N$18+$N$20)</f>
        <v>33.842836740132867</v>
      </c>
      <c r="H18" s="298">
        <f>((D18*K18)/(1-$N$18-$N$20)/(1-$I$18))</f>
        <v>660.85092538971833</v>
      </c>
      <c r="I18" s="299">
        <v>0.17</v>
      </c>
      <c r="J18" s="298">
        <f>(H18*$I$18)</f>
        <v>112.34465731625212</v>
      </c>
      <c r="K18" s="296">
        <f>IF(AND($B$14&lt;$F$2,$E$14&lt;$F$2),C6,IF($B$14&lt;$F$2,I6,F6))</f>
        <v>0.47742433333333334</v>
      </c>
      <c r="L18" s="47" t="s">
        <v>92</v>
      </c>
      <c r="M18" s="297">
        <f>D76</f>
        <v>943.06724928061385</v>
      </c>
      <c r="N18" s="300">
        <f>'Fatura B1 (GD II) OK'!N18</f>
        <v>1.0999999999999999E-2</v>
      </c>
      <c r="O18" s="301">
        <f>ROUND(M18*N18,2)</f>
        <v>10.37</v>
      </c>
      <c r="R18" s="258">
        <f>IF(AND($B$14&lt;$F$2,$E$14&lt;$F$2),R6,IF($B$14&lt;$F$2,X6,U6))</f>
        <v>0.20507225832667586</v>
      </c>
      <c r="S18" s="137">
        <f>D18*R18</f>
        <v>221.06789447615657</v>
      </c>
    </row>
    <row r="19" spans="2:20" x14ac:dyDescent="0.3">
      <c r="B19" s="293" t="s">
        <v>260</v>
      </c>
      <c r="C19" s="294" t="s">
        <v>2</v>
      </c>
      <c r="D19" s="302">
        <f>D18</f>
        <v>1078</v>
      </c>
      <c r="E19" s="296">
        <f>(ROUND(D19*K19,2)+ROUND(G19,2)+ROUND(J19,2))/ROUND(D19,4)</f>
        <v>0.41678107606679032</v>
      </c>
      <c r="F19" s="297">
        <f t="shared" si="3"/>
        <v>449.29</v>
      </c>
      <c r="G19" s="297">
        <f t="shared" ref="G19:G23" si="4">((D19*K19)/(1-$N$18-$N$20))*($N$18+$N$20)</f>
        <v>23.008199078546308</v>
      </c>
      <c r="H19" s="298">
        <f t="shared" ref="H19:H23" si="5">((D19*K19)/(1-$N$18-$N$20)/(1-$I$18))</f>
        <v>449.28236274523653</v>
      </c>
      <c r="I19" s="293"/>
      <c r="J19" s="298">
        <f t="shared" ref="J19:J23" si="6">(H19*$I$18)</f>
        <v>76.37800166669021</v>
      </c>
      <c r="K19" s="296">
        <f>IF(AND($B$14&lt;$F$2,$E$14&lt;$F$2),D6,IF($B$14&lt;$F$2,J6,G6))</f>
        <v>0.32457900000000001</v>
      </c>
      <c r="L19" s="47" t="s">
        <v>261</v>
      </c>
      <c r="M19" s="297">
        <f>D77</f>
        <v>-2297.7725674091444</v>
      </c>
      <c r="N19" s="300">
        <f>N18</f>
        <v>1.0999999999999999E-2</v>
      </c>
      <c r="O19" s="301">
        <f>ROUND(M19*N19,2)</f>
        <v>-25.28</v>
      </c>
    </row>
    <row r="20" spans="2:20" x14ac:dyDescent="0.3">
      <c r="B20" s="293" t="s">
        <v>43</v>
      </c>
      <c r="C20" s="294" t="s">
        <v>2</v>
      </c>
      <c r="D20" s="302">
        <f>IF($K$12=M4,($D$18*($K$14)/($K$14+$L$14)),0)+IF($L$12=M4,($D$18*($L$14)/($K$14+$L$14)),0)</f>
        <v>1078</v>
      </c>
      <c r="E20" s="296">
        <f>IFERROR((ROUND(D20*K20,2)+ROUND(G20,2)+ROUND(J20,2))/ROUND(D20,4), 0)</f>
        <v>2.4211502782931354E-2</v>
      </c>
      <c r="F20" s="297">
        <f t="shared" si="3"/>
        <v>26.1</v>
      </c>
      <c r="G20" s="297">
        <f t="shared" si="4"/>
        <v>1.3362064478311841</v>
      </c>
      <c r="H20" s="298">
        <f t="shared" si="5"/>
        <v>26.092176443170104</v>
      </c>
      <c r="I20" s="293"/>
      <c r="J20" s="298">
        <f t="shared" si="6"/>
        <v>4.4356699953389178</v>
      </c>
      <c r="K20" s="296">
        <f>N4</f>
        <v>1.8849999999999999E-2</v>
      </c>
      <c r="L20" s="47" t="s">
        <v>51</v>
      </c>
      <c r="M20" s="297">
        <f>M18</f>
        <v>943.06724928061385</v>
      </c>
      <c r="N20" s="300">
        <f>'Fatura B1 (GD II) OK'!N20</f>
        <v>5.0700000000000002E-2</v>
      </c>
      <c r="O20" s="301">
        <f>ROUND(M20*N20,2)</f>
        <v>47.81</v>
      </c>
      <c r="R20" s="303"/>
    </row>
    <row r="21" spans="2:20" x14ac:dyDescent="0.3">
      <c r="B21" s="293" t="s">
        <v>262</v>
      </c>
      <c r="C21" s="294" t="s">
        <v>2</v>
      </c>
      <c r="D21" s="302">
        <f t="shared" ref="D21:D23" si="7">IF($K$12=M5,($D$18*($K$14)/($K$14+$L$14)),0)+IF($L$12=M5,($D$18*($L$14)/($K$14+$L$14)),0)</f>
        <v>0</v>
      </c>
      <c r="E21" s="296">
        <f>IFERROR((ROUND(D21*K21,2)+ROUND(G21,2)+ROUND(J21,2))/ROUND(D21,4), 0)</f>
        <v>0</v>
      </c>
      <c r="F21" s="297">
        <f t="shared" si="3"/>
        <v>0</v>
      </c>
      <c r="G21" s="297">
        <f t="shared" si="4"/>
        <v>0</v>
      </c>
      <c r="H21" s="298">
        <f t="shared" si="5"/>
        <v>0</v>
      </c>
      <c r="I21" s="293"/>
      <c r="J21" s="298">
        <f t="shared" si="6"/>
        <v>0</v>
      </c>
      <c r="K21" s="296">
        <f t="shared" ref="K21:K22" si="8">N5</f>
        <v>4.4630000000000003E-2</v>
      </c>
      <c r="L21" s="47" t="s">
        <v>263</v>
      </c>
      <c r="M21" s="297">
        <f>M19</f>
        <v>-2297.7725674091444</v>
      </c>
      <c r="N21" s="300">
        <f>N20</f>
        <v>5.0700000000000002E-2</v>
      </c>
      <c r="O21" s="301">
        <f>ROUND(M21*N21,2)</f>
        <v>-116.5</v>
      </c>
    </row>
    <row r="22" spans="2:20" x14ac:dyDescent="0.3">
      <c r="B22" s="293" t="s">
        <v>264</v>
      </c>
      <c r="C22" s="294" t="s">
        <v>2</v>
      </c>
      <c r="D22" s="302">
        <f t="shared" si="7"/>
        <v>0</v>
      </c>
      <c r="E22" s="296">
        <f>IFERROR((ROUND(D22*K22,2)+ROUND(G22,2)+ROUND(J22,2))/ROUND(D22,4), 0)</f>
        <v>0</v>
      </c>
      <c r="F22" s="297">
        <f t="shared" si="3"/>
        <v>0</v>
      </c>
      <c r="G22" s="297">
        <f t="shared" si="4"/>
        <v>0</v>
      </c>
      <c r="H22" s="298">
        <f t="shared" si="5"/>
        <v>0</v>
      </c>
      <c r="I22" s="293"/>
      <c r="J22" s="298">
        <f t="shared" si="6"/>
        <v>0</v>
      </c>
      <c r="K22" s="296">
        <f t="shared" si="8"/>
        <v>7.8770000000000007E-2</v>
      </c>
      <c r="L22" s="47"/>
      <c r="M22" s="297"/>
      <c r="N22" s="297"/>
      <c r="O22" s="297"/>
    </row>
    <row r="23" spans="2:20" x14ac:dyDescent="0.3">
      <c r="B23" s="293" t="s">
        <v>265</v>
      </c>
      <c r="C23" s="294" t="s">
        <v>2</v>
      </c>
      <c r="D23" s="302">
        <f t="shared" si="7"/>
        <v>0</v>
      </c>
      <c r="E23" s="296">
        <f>IFERROR((ROUND(D23*K23,2)+ROUND(G23,2)+ROUND(J23,2))/ROUND(D23,4), 0)</f>
        <v>0</v>
      </c>
      <c r="F23" s="297">
        <f t="shared" si="3"/>
        <v>0</v>
      </c>
      <c r="G23" s="297">
        <f t="shared" si="4"/>
        <v>0</v>
      </c>
      <c r="H23" s="298">
        <f t="shared" si="5"/>
        <v>0</v>
      </c>
      <c r="I23" s="293"/>
      <c r="J23" s="298">
        <f t="shared" si="6"/>
        <v>0</v>
      </c>
      <c r="K23" s="296">
        <f>N8</f>
        <v>0.14199999999999999</v>
      </c>
      <c r="L23" s="47"/>
      <c r="M23" s="297"/>
      <c r="N23" s="297"/>
      <c r="O23" s="297"/>
    </row>
    <row r="24" spans="2:20" x14ac:dyDescent="0.3">
      <c r="B24" s="293"/>
      <c r="C24" s="294"/>
      <c r="D24" s="302"/>
      <c r="E24" s="296"/>
      <c r="F24" s="297"/>
      <c r="G24" s="297"/>
      <c r="H24" s="298"/>
      <c r="I24" s="293"/>
      <c r="J24" s="298"/>
      <c r="K24" s="296"/>
      <c r="L24" s="47"/>
      <c r="M24" s="297"/>
      <c r="N24" s="297"/>
      <c r="O24" s="297"/>
    </row>
    <row r="25" spans="2:20" x14ac:dyDescent="0.3">
      <c r="B25" s="293" t="s">
        <v>266</v>
      </c>
      <c r="C25" s="294" t="s">
        <v>2</v>
      </c>
      <c r="D25" s="295">
        <v>-1078</v>
      </c>
      <c r="E25" s="296">
        <f t="shared" ref="E25:E26" si="9">IFERROR((ROUND(D25*K25,2)+ROUND(G25,2)+ROUND(J25,2))/ROUND(D25,4),0)</f>
        <v>0.37757884972170691</v>
      </c>
      <c r="F25" s="297">
        <f>ROUND(D25*E25,2)</f>
        <v>-407.03</v>
      </c>
      <c r="G25" s="297">
        <f>((D25*K25)/(1-$N$19-$N$21))*($N$19+$N$21)</f>
        <v>-25.114092288117799</v>
      </c>
      <c r="H25" s="298">
        <v>0</v>
      </c>
      <c r="I25" s="299">
        <v>0</v>
      </c>
      <c r="J25" s="293">
        <f t="shared" ref="J25" si="10">H25*$I$21</f>
        <v>0</v>
      </c>
      <c r="K25" s="389">
        <f>E62</f>
        <v>0.35428704928000004</v>
      </c>
      <c r="L25" s="47"/>
      <c r="M25" s="297"/>
      <c r="N25" s="297"/>
      <c r="O25" s="297"/>
    </row>
    <row r="26" spans="2:20" x14ac:dyDescent="0.3">
      <c r="B26" s="293" t="s">
        <v>267</v>
      </c>
      <c r="C26" s="294" t="s">
        <v>2</v>
      </c>
      <c r="D26" s="302">
        <f>D25</f>
        <v>-1078</v>
      </c>
      <c r="E26" s="296">
        <f t="shared" si="9"/>
        <v>0.41678107606679032</v>
      </c>
      <c r="F26" s="297">
        <f>ROUND(D26*E26,2)</f>
        <v>-449.29</v>
      </c>
      <c r="G26" s="297">
        <f t="shared" ref="G26:G30" si="11">((D26*K26)/(1-$N$19-$N$21))*($N$19+$N$21)</f>
        <v>-23.008199078546308</v>
      </c>
      <c r="H26" s="298">
        <f>ROUND((D26*K26)/(1-$N$19-$N$21)/(1-$I$26),8)</f>
        <v>-449.28236275</v>
      </c>
      <c r="I26" s="299">
        <f>I18</f>
        <v>0.17</v>
      </c>
      <c r="J26" s="298">
        <f>H26*$I$26</f>
        <v>-76.378001667500001</v>
      </c>
      <c r="K26" s="296">
        <f>F62</f>
        <v>0.32457900000000001</v>
      </c>
      <c r="L26" s="47"/>
      <c r="M26" s="297"/>
      <c r="N26" s="297"/>
      <c r="O26" s="297"/>
    </row>
    <row r="27" spans="2:20" x14ac:dyDescent="0.3">
      <c r="B27" s="293" t="s">
        <v>268</v>
      </c>
      <c r="C27" s="294" t="s">
        <v>2</v>
      </c>
      <c r="D27" s="302">
        <f>IF($K$12=M4,($D$25*($K$14)/($K$14+$L$14)),0)+IF($L$12=M4,($D$25*($L$14)/($K$14+$L$14)),0)</f>
        <v>-1078</v>
      </c>
      <c r="E27" s="296">
        <f>IFERROR((ROUND(D27*K27,2)+ROUND(G27,2)+ROUND(J27,2))/ROUND(D27,4),0)</f>
        <v>2.4211502782931354E-2</v>
      </c>
      <c r="F27" s="297">
        <f t="shared" ref="F27:F30" si="12">ROUND(D27*E27,2)</f>
        <v>-26.1</v>
      </c>
      <c r="G27" s="297">
        <f t="shared" si="11"/>
        <v>-1.3362064478311841</v>
      </c>
      <c r="H27" s="298">
        <f t="shared" ref="H27:H30" si="13">ROUND((D27*K27)/(1-$N$19-$N$21)/(1-$I$26),8)</f>
        <v>-26.092176439999999</v>
      </c>
      <c r="I27" s="293"/>
      <c r="J27" s="298">
        <f t="shared" ref="J27:J30" si="14">H27*$I$26</f>
        <v>-4.4356699948000005</v>
      </c>
      <c r="K27" s="296">
        <f>K20</f>
        <v>1.8849999999999999E-2</v>
      </c>
      <c r="L27" s="268"/>
      <c r="M27" s="304"/>
      <c r="N27" s="304"/>
      <c r="O27" s="304"/>
      <c r="R27" s="303"/>
    </row>
    <row r="28" spans="2:20" x14ac:dyDescent="0.3">
      <c r="B28" s="293" t="s">
        <v>269</v>
      </c>
      <c r="C28" s="294" t="s">
        <v>2</v>
      </c>
      <c r="D28" s="302">
        <f t="shared" ref="D28:D29" si="15">IF($K$12=M5,($D$25*($K$14)/($K$14+$L$14)),0)+IF($L$12=M5,($D$25*($L$14)/($K$14+$L$14)),0)</f>
        <v>0</v>
      </c>
      <c r="E28" s="296">
        <f t="shared" ref="E28:E30" si="16">IFERROR((ROUND(D28*K28,2)+ROUND(G28,2)+ROUND(J28,2))/ROUND(D28,4),0)</f>
        <v>0</v>
      </c>
      <c r="F28" s="297">
        <f t="shared" si="12"/>
        <v>0</v>
      </c>
      <c r="G28" s="297">
        <f t="shared" si="11"/>
        <v>0</v>
      </c>
      <c r="H28" s="298">
        <f t="shared" si="13"/>
        <v>0</v>
      </c>
      <c r="I28" s="293"/>
      <c r="J28" s="298">
        <f t="shared" si="14"/>
        <v>0</v>
      </c>
      <c r="K28" s="296">
        <f t="shared" ref="K28:K30" si="17">K21</f>
        <v>4.4630000000000003E-2</v>
      </c>
      <c r="O28" s="292"/>
      <c r="R28" s="303"/>
    </row>
    <row r="29" spans="2:20" x14ac:dyDescent="0.3">
      <c r="B29" s="293" t="s">
        <v>270</v>
      </c>
      <c r="C29" s="294" t="s">
        <v>2</v>
      </c>
      <c r="D29" s="302">
        <f t="shared" si="15"/>
        <v>0</v>
      </c>
      <c r="E29" s="296">
        <f t="shared" si="16"/>
        <v>0</v>
      </c>
      <c r="F29" s="297">
        <f t="shared" si="12"/>
        <v>0</v>
      </c>
      <c r="G29" s="297">
        <f t="shared" si="11"/>
        <v>0</v>
      </c>
      <c r="H29" s="298">
        <f t="shared" si="13"/>
        <v>0</v>
      </c>
      <c r="I29" s="293"/>
      <c r="J29" s="298">
        <f t="shared" si="14"/>
        <v>0</v>
      </c>
      <c r="K29" s="296">
        <f t="shared" si="17"/>
        <v>7.8770000000000007E-2</v>
      </c>
      <c r="O29" s="292"/>
      <c r="R29" s="303"/>
    </row>
    <row r="30" spans="2:20" x14ac:dyDescent="0.3">
      <c r="B30" s="293" t="s">
        <v>271</v>
      </c>
      <c r="C30" s="294" t="s">
        <v>2</v>
      </c>
      <c r="D30" s="302">
        <f>IF($K$12=M8,($D$25*($K$14)/($K$14+$L$14)),0)+IF($L$12=M8,($D$25*($L$14)/($K$14+$L$14)),0)</f>
        <v>0</v>
      </c>
      <c r="E30" s="296">
        <f t="shared" si="16"/>
        <v>0</v>
      </c>
      <c r="F30" s="297">
        <f t="shared" si="12"/>
        <v>0</v>
      </c>
      <c r="G30" s="297">
        <f t="shared" si="11"/>
        <v>0</v>
      </c>
      <c r="H30" s="298">
        <f t="shared" si="13"/>
        <v>0</v>
      </c>
      <c r="I30" s="293"/>
      <c r="J30" s="298">
        <f t="shared" si="14"/>
        <v>0</v>
      </c>
      <c r="K30" s="296">
        <f t="shared" si="17"/>
        <v>0.14199999999999999</v>
      </c>
      <c r="O30" s="292"/>
      <c r="R30" s="303"/>
    </row>
    <row r="31" spans="2:20" x14ac:dyDescent="0.3">
      <c r="B31" s="293"/>
      <c r="C31" s="294"/>
      <c r="D31" s="302"/>
      <c r="E31" s="296"/>
      <c r="F31" s="297"/>
      <c r="G31" s="297"/>
      <c r="H31" s="298"/>
      <c r="I31" s="293"/>
      <c r="J31" s="298"/>
      <c r="K31" s="296"/>
      <c r="O31" s="292"/>
      <c r="Q31" s="56"/>
      <c r="R31" s="165"/>
      <c r="S31" s="305"/>
      <c r="T31" s="56"/>
    </row>
    <row r="32" spans="2:20" x14ac:dyDescent="0.3">
      <c r="B32" s="293" t="s">
        <v>272</v>
      </c>
      <c r="C32" s="293"/>
      <c r="D32" s="302"/>
      <c r="E32" s="293"/>
      <c r="F32" s="306">
        <v>0.43</v>
      </c>
      <c r="G32" s="293"/>
      <c r="H32" s="293"/>
      <c r="I32" s="293"/>
      <c r="J32" s="293"/>
      <c r="K32" s="293"/>
      <c r="O32" s="292"/>
      <c r="S32" s="305"/>
    </row>
    <row r="33" spans="2:19" x14ac:dyDescent="0.3">
      <c r="B33" s="293" t="s">
        <v>273</v>
      </c>
      <c r="C33" s="293"/>
      <c r="D33" s="302"/>
      <c r="E33" s="293"/>
      <c r="F33" s="306"/>
      <c r="G33" s="293"/>
      <c r="H33" s="293"/>
      <c r="I33" s="293"/>
      <c r="J33" s="293"/>
      <c r="K33" s="293"/>
      <c r="O33" s="292"/>
      <c r="S33" s="305"/>
    </row>
    <row r="34" spans="2:19" x14ac:dyDescent="0.3">
      <c r="B34" s="293" t="s">
        <v>274</v>
      </c>
      <c r="C34" s="293"/>
      <c r="D34" s="302"/>
      <c r="E34" s="293"/>
      <c r="F34" s="306">
        <v>2.94</v>
      </c>
      <c r="G34" s="293"/>
      <c r="H34" s="293"/>
      <c r="I34" s="293"/>
      <c r="J34" s="293"/>
      <c r="K34" s="293"/>
      <c r="O34" s="292"/>
      <c r="S34" s="305"/>
    </row>
    <row r="35" spans="2:19" x14ac:dyDescent="0.3">
      <c r="B35" s="293" t="s">
        <v>289</v>
      </c>
      <c r="C35" s="293"/>
      <c r="D35" s="302"/>
      <c r="E35" s="293"/>
      <c r="F35" s="306"/>
      <c r="G35" s="293"/>
      <c r="H35" s="293"/>
      <c r="I35" s="293"/>
      <c r="J35" s="293"/>
      <c r="K35" s="293"/>
      <c r="O35" s="292"/>
      <c r="S35" s="305"/>
    </row>
    <row r="36" spans="2:19" x14ac:dyDescent="0.3">
      <c r="B36" s="293" t="s">
        <v>275</v>
      </c>
      <c r="C36" s="293"/>
      <c r="D36" s="302"/>
      <c r="E36" s="293"/>
      <c r="F36" s="306">
        <v>77.47</v>
      </c>
      <c r="G36" s="293"/>
      <c r="H36" s="293"/>
      <c r="I36" s="293"/>
      <c r="J36" s="293"/>
      <c r="K36" s="293"/>
      <c r="O36" s="292"/>
    </row>
    <row r="37" spans="2:19" x14ac:dyDescent="0.3">
      <c r="B37" s="293"/>
      <c r="C37" s="293"/>
      <c r="D37" s="302"/>
      <c r="E37" s="293"/>
      <c r="F37" s="293"/>
      <c r="G37" s="293"/>
      <c r="H37" s="293"/>
      <c r="I37" s="293"/>
      <c r="J37" s="293"/>
      <c r="K37" s="293"/>
      <c r="O37" s="292"/>
    </row>
    <row r="38" spans="2:19" x14ac:dyDescent="0.3">
      <c r="B38" s="307" t="s">
        <v>162</v>
      </c>
      <c r="C38" s="304"/>
      <c r="D38" s="308"/>
      <c r="E38" s="304"/>
      <c r="F38" s="309">
        <f>SUM(F18:F37)</f>
        <v>334.65000000000009</v>
      </c>
      <c r="G38" s="310">
        <f>SUM(G18:G37)</f>
        <v>8.7287444520150714</v>
      </c>
      <c r="H38" s="311">
        <f>SUM(H18:H37)</f>
        <v>660.85092538812501</v>
      </c>
      <c r="I38" s="304"/>
      <c r="J38" s="311">
        <f>SUM(J18:J37)</f>
        <v>112.34465731598125</v>
      </c>
      <c r="K38" s="304"/>
      <c r="L38" s="75"/>
      <c r="M38" s="75"/>
      <c r="N38" s="75"/>
      <c r="O38" s="268"/>
    </row>
    <row r="40" spans="2:19" x14ac:dyDescent="0.3">
      <c r="B40" s="312" t="s">
        <v>193</v>
      </c>
      <c r="C40" s="313"/>
      <c r="D40" s="313">
        <f>D18</f>
        <v>1078</v>
      </c>
      <c r="E40" s="314">
        <f>IF(AND($B$14&lt;$F$2,$E$14&lt;$F$2),C7,IF($B$14&lt;$F$2,I7,F7))</f>
        <v>1.8691701882653274E-4</v>
      </c>
      <c r="F40" s="314">
        <f>IF(AND($B$14&lt;$F$2,$E$14&lt;$F$2),D7,IF($B$14&lt;$F$2,J7,G7))</f>
        <v>-3.4998271764763713E-3</v>
      </c>
      <c r="G40" s="312">
        <f>D40*(E40+F40)</f>
        <v>-3.5713171499465259</v>
      </c>
    </row>
    <row r="41" spans="2:19" x14ac:dyDescent="0.3">
      <c r="B41" s="312"/>
      <c r="C41" s="313"/>
      <c r="D41" s="313">
        <f>D25</f>
        <v>-1078</v>
      </c>
      <c r="E41" s="314">
        <f>IF(AND($B$14&lt;$F$2,$E$14&lt;$F$2),C7*$F$49,IF($B$14&lt;$F$2,(((I7*F49)*C14)+((I7*F50)*D14))/(C14+D14),I7*$F$50))</f>
        <v>1.3870738133079342E-4</v>
      </c>
      <c r="F41" s="314">
        <f>IF(AND($B$14&lt;$F$2,$E$14&lt;$F$2),D7,IF($B$14&lt;$F$2,J7,G7))</f>
        <v>-3.4998271764763713E-3</v>
      </c>
      <c r="G41" s="312">
        <f>D41*(E41+F41)</f>
        <v>3.623287139166933</v>
      </c>
    </row>
    <row r="42" spans="2:19" x14ac:dyDescent="0.3">
      <c r="D42" s="313"/>
      <c r="E42" s="314"/>
      <c r="F42" s="314"/>
      <c r="G42" s="312">
        <f>SUM(G40:G41)</f>
        <v>5.1969989220407076E-2</v>
      </c>
    </row>
    <row r="48" spans="2:19" x14ac:dyDescent="0.3">
      <c r="B48" s="1"/>
      <c r="F48" s="254"/>
      <c r="G48"/>
      <c r="H48" s="3"/>
    </row>
    <row r="49" spans="1:22" x14ac:dyDescent="0.3">
      <c r="B49" s="5" t="s">
        <v>55</v>
      </c>
      <c r="E49" s="26" t="s">
        <v>10</v>
      </c>
      <c r="F49" s="85">
        <v>0.73899999999999999</v>
      </c>
      <c r="G49" s="86" t="s">
        <v>9</v>
      </c>
      <c r="H49" s="85">
        <v>1</v>
      </c>
      <c r="I49" s="280" t="str">
        <f>'Fatura B1 (GD II) OK'!I44</f>
        <v>A partir de 01/01/2026</v>
      </c>
      <c r="J49"/>
      <c r="K49" s="19">
        <f>C6*F49</f>
        <v>0.34631756999999996</v>
      </c>
      <c r="L49" s="19">
        <f>(K49*C14)/(C14+D14)</f>
        <v>0.26551013699999998</v>
      </c>
      <c r="M49"/>
      <c r="N49"/>
      <c r="O49"/>
      <c r="P49"/>
      <c r="Q49"/>
      <c r="R49"/>
      <c r="S49"/>
      <c r="T49"/>
      <c r="U49"/>
      <c r="V49"/>
    </row>
    <row r="50" spans="1:22" x14ac:dyDescent="0.3">
      <c r="E50" s="26" t="s">
        <v>10</v>
      </c>
      <c r="F50" s="85">
        <v>0.75219999999999998</v>
      </c>
      <c r="G50" s="86" t="s">
        <v>9</v>
      </c>
      <c r="H50" s="85">
        <v>1</v>
      </c>
      <c r="I50" s="280" t="str">
        <f>'Fatura B1 (GD II) OK'!I45</f>
        <v>A partir de 07/08/2026</v>
      </c>
      <c r="J50"/>
      <c r="K50" s="19">
        <f>F6*F50</f>
        <v>0.38085390399999997</v>
      </c>
      <c r="L50" s="19">
        <f>(K50*D14)/(C14+D14)</f>
        <v>8.8865910933333334E-2</v>
      </c>
      <c r="M50"/>
      <c r="N50"/>
      <c r="O50"/>
      <c r="P50"/>
      <c r="Q50"/>
      <c r="R50"/>
      <c r="S50"/>
      <c r="T50"/>
      <c r="U50"/>
      <c r="V50"/>
    </row>
    <row r="51" spans="1:22" x14ac:dyDescent="0.3">
      <c r="B51" s="415" t="s">
        <v>39</v>
      </c>
      <c r="C51" s="416"/>
      <c r="D51" s="416"/>
      <c r="E51" s="416"/>
      <c r="F51" s="416"/>
      <c r="G51" s="416"/>
      <c r="H51" s="417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3">
      <c r="B52" s="41"/>
      <c r="D52" s="46" t="s">
        <v>40</v>
      </c>
      <c r="E52" s="46" t="s">
        <v>10</v>
      </c>
      <c r="F52" s="46" t="s">
        <v>9</v>
      </c>
      <c r="G52" s="46" t="s">
        <v>34</v>
      </c>
      <c r="H52" s="47" t="s">
        <v>7</v>
      </c>
      <c r="I52"/>
      <c r="J52" s="46" t="s">
        <v>8</v>
      </c>
      <c r="K52"/>
      <c r="L52"/>
      <c r="M52"/>
      <c r="N52"/>
      <c r="O52"/>
      <c r="P52"/>
      <c r="Q52"/>
      <c r="R52"/>
      <c r="S52"/>
      <c r="T52"/>
      <c r="U52"/>
      <c r="V52"/>
    </row>
    <row r="53" spans="1:22" x14ac:dyDescent="0.3">
      <c r="A53" s="19" t="s">
        <v>8</v>
      </c>
      <c r="B53" s="48" t="s">
        <v>41</v>
      </c>
      <c r="C53" s="49"/>
      <c r="D53" s="50"/>
      <c r="E53" s="50"/>
      <c r="F53" s="50"/>
      <c r="G53" s="50"/>
      <c r="H53" s="51">
        <f>SUM(H55:H71)+SUM(H76:H81)</f>
        <v>161.49942795802207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x14ac:dyDescent="0.3">
      <c r="A54" s="19" t="s">
        <v>8</v>
      </c>
      <c r="B54" s="41"/>
      <c r="D54" s="46"/>
      <c r="E54" s="46"/>
      <c r="F54" s="46"/>
      <c r="G54" s="46"/>
      <c r="H54" s="52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A55" s="19" t="s">
        <v>8</v>
      </c>
      <c r="B55" s="41" t="s">
        <v>42</v>
      </c>
      <c r="D55" s="89">
        <f>D18</f>
        <v>1078</v>
      </c>
      <c r="E55" s="53">
        <f>IF(AND($B$14&lt;$F$2,$E$14&lt;$F$2),C6,IF($B$14&lt;$F$2,I6,F6))</f>
        <v>0.47742433333333334</v>
      </c>
      <c r="F55" s="53">
        <f>IF(AND($B$14&lt;$F$2,$E$14&lt;$F$2),D6,IF($B$14&lt;$F$2,J6,G6))</f>
        <v>0.32457900000000001</v>
      </c>
      <c r="G55" s="53">
        <f>E55+F55</f>
        <v>0.8020033333333334</v>
      </c>
      <c r="H55" s="54">
        <f>ROUND((D55*E55),2)+ROUND((D55*F55),2)</f>
        <v>864.56</v>
      </c>
      <c r="I55"/>
      <c r="J55"/>
      <c r="K55"/>
      <c r="L55"/>
      <c r="M55" s="90"/>
      <c r="N55"/>
      <c r="O55"/>
      <c r="P55"/>
      <c r="Q55"/>
      <c r="R55"/>
      <c r="S55"/>
      <c r="T55"/>
      <c r="U55"/>
      <c r="V55"/>
    </row>
    <row r="56" spans="1:22" x14ac:dyDescent="0.3">
      <c r="B56" s="41"/>
      <c r="D56" s="55"/>
      <c r="E56" s="56"/>
      <c r="F56" s="57"/>
      <c r="G56" s="57"/>
      <c r="H56" s="54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x14ac:dyDescent="0.3">
      <c r="B57" s="41" t="s">
        <v>43</v>
      </c>
      <c r="D57" s="58">
        <f>IF($K$12=M4,(D55*(K14)/(K14+L14)),0)+IF($L$12=M4,(D55*(L14)/(K14+L14)),0)</f>
        <v>1078</v>
      </c>
      <c r="F57" s="59">
        <f>N4</f>
        <v>1.8849999999999999E-2</v>
      </c>
      <c r="G57" s="59"/>
      <c r="H57" s="54">
        <f>ROUND(D57*(E57+F57),2)</f>
        <v>20.32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x14ac:dyDescent="0.3">
      <c r="B58" s="41" t="s">
        <v>44</v>
      </c>
      <c r="D58" s="58">
        <f>IF($K$12=M5,(D55*(K14)/(K14+L14)),0)+IF($L$12=M5,(D55*(L14)/(K14+L14)),0)</f>
        <v>0</v>
      </c>
      <c r="F58" s="59">
        <f>N5</f>
        <v>4.4630000000000003E-2</v>
      </c>
      <c r="G58" s="59"/>
      <c r="H58" s="54">
        <f>ROUND(D58*(E58+F58),2)</f>
        <v>0</v>
      </c>
      <c r="I58"/>
      <c r="J58"/>
      <c r="K58"/>
      <c r="L58" s="98"/>
      <c r="M58"/>
      <c r="N58"/>
      <c r="O58"/>
      <c r="P58"/>
      <c r="Q58"/>
      <c r="R58"/>
      <c r="S58"/>
      <c r="T58"/>
      <c r="U58"/>
      <c r="V58"/>
    </row>
    <row r="59" spans="1:22" x14ac:dyDescent="0.3">
      <c r="B59" s="41" t="s">
        <v>45</v>
      </c>
      <c r="D59" s="58">
        <f>IF($K$12=M6,(D55*(K14)/(K14+L14)),0)+IF($L$12=M6,(D55*(L14)/(K14+L14)),0)</f>
        <v>0</v>
      </c>
      <c r="F59" s="59">
        <f>N6</f>
        <v>7.8770000000000007E-2</v>
      </c>
      <c r="G59" s="59"/>
      <c r="H59" s="54">
        <f>ROUND(D59*(E59+F59),2)</f>
        <v>0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x14ac:dyDescent="0.3">
      <c r="B60" s="41" t="s">
        <v>46</v>
      </c>
      <c r="D60" s="58">
        <f>IF($K$12=M8,(D55*(K14)/(K14+L14)),0)+IF($L$12=M8,(D55*(L14)/(K14+L14)),0)</f>
        <v>0</v>
      </c>
      <c r="F60" s="59">
        <f>N8</f>
        <v>0.14199999999999999</v>
      </c>
      <c r="G60" s="59"/>
      <c r="H60" s="54">
        <f>ROUND(D60*(E60+F60),2)</f>
        <v>0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x14ac:dyDescent="0.3">
      <c r="B61" s="41"/>
      <c r="D61" s="58"/>
      <c r="F61" s="59"/>
      <c r="G61" s="59"/>
      <c r="H61" s="54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x14ac:dyDescent="0.3">
      <c r="B62" s="41" t="s">
        <v>47</v>
      </c>
      <c r="D62" s="223">
        <f>D25</f>
        <v>-1078</v>
      </c>
      <c r="E62" s="27">
        <f>IF(AND($B$14&lt;$F$2,$E$14&lt;$F$2),C6*$F$49,IF($B$14&lt;$F$2,(((I6*F49)*C14)+((I6*F50)*D14))/(C14+D14),I6*$F$50))</f>
        <v>0.35428704928000004</v>
      </c>
      <c r="F62" s="53">
        <f>F55</f>
        <v>0.32457900000000001</v>
      </c>
      <c r="G62" s="53">
        <f>E62+F62</f>
        <v>0.67886604928000005</v>
      </c>
      <c r="H62" s="54">
        <f>ROUND((D62*E62),2)+ROUND((D62*F62),2)</f>
        <v>-731.81999999999994</v>
      </c>
      <c r="I62" s="1"/>
      <c r="J62" s="331"/>
      <c r="K62" s="90"/>
      <c r="L62" s="1"/>
      <c r="M62" s="1"/>
      <c r="N62" s="1"/>
      <c r="O62" s="1"/>
      <c r="P62" s="1"/>
    </row>
    <row r="63" spans="1:22" x14ac:dyDescent="0.3">
      <c r="B63" s="41"/>
      <c r="D63" s="55"/>
      <c r="E63" s="56"/>
      <c r="F63" s="57"/>
      <c r="G63" s="57"/>
      <c r="H63" s="54"/>
      <c r="I63" s="1"/>
      <c r="J63" s="1"/>
      <c r="K63" s="90"/>
      <c r="L63" s="1"/>
      <c r="M63" s="1"/>
      <c r="N63" s="1"/>
      <c r="O63" s="1"/>
      <c r="P63" s="1"/>
    </row>
    <row r="64" spans="1:22" x14ac:dyDescent="0.3">
      <c r="B64" s="41" t="s">
        <v>43</v>
      </c>
      <c r="D64" s="58">
        <f>IF($K$12=M4,($D$62*($K$14)/($K$14+$L$14)),0)+IF($L$12=M4,($D$62*($L$14)/($K$14+$L$14)),0)</f>
        <v>-1078</v>
      </c>
      <c r="F64" s="59">
        <f>F57</f>
        <v>1.8849999999999999E-2</v>
      </c>
      <c r="G64" s="59"/>
      <c r="H64" s="54">
        <f>ROUND(D64*(E64+F64),2)</f>
        <v>-20.32</v>
      </c>
      <c r="I64" s="1"/>
      <c r="J64" s="1"/>
      <c r="K64" s="1"/>
      <c r="L64" s="1"/>
      <c r="M64" s="1"/>
      <c r="N64" s="1"/>
      <c r="O64" s="1"/>
      <c r="P64" s="1"/>
    </row>
    <row r="65" spans="2:16" x14ac:dyDescent="0.3">
      <c r="B65" s="41" t="s">
        <v>44</v>
      </c>
      <c r="D65" s="58">
        <f>IF($K$12=M5,($D$62*($K$14)/($K$14+$L$14)),0)+IF($L$12=M5,($D$62*($L$14)/($K$14+$L$14)),0)</f>
        <v>0</v>
      </c>
      <c r="F65" s="59">
        <f>F58</f>
        <v>4.4630000000000003E-2</v>
      </c>
      <c r="G65" s="59"/>
      <c r="H65" s="54">
        <f>ROUND(D65*(E65+F65),2)</f>
        <v>0</v>
      </c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41" t="s">
        <v>45</v>
      </c>
      <c r="D66" s="58">
        <f>IF($K$12=M6,($D$62*($K$14)/($K$14+$L$14)),0)+IF($L$12=M6,($D$62*($L$14)/($K$14+$L$14)),0)</f>
        <v>0</v>
      </c>
      <c r="F66" s="59">
        <f>F59</f>
        <v>7.8770000000000007E-2</v>
      </c>
      <c r="G66" s="59"/>
      <c r="H66" s="54">
        <f>ROUND(D66*(E66+F66),2)</f>
        <v>0</v>
      </c>
      <c r="I66" s="1"/>
      <c r="J66" s="1"/>
      <c r="K66" s="1"/>
      <c r="L66" s="1"/>
      <c r="M66" s="1"/>
      <c r="N66" s="1"/>
      <c r="O66" s="1"/>
      <c r="P66" s="1"/>
    </row>
    <row r="67" spans="2:16" x14ac:dyDescent="0.3">
      <c r="B67" s="41" t="s">
        <v>46</v>
      </c>
      <c r="D67" s="58">
        <f>IF($K$12=M8,($D$62*($K$14)/($K$14+$L$14)),0)+IF($L$12=M8,($D$62*($L$14)/($K$14+$L$14)),0)</f>
        <v>0</v>
      </c>
      <c r="F67" s="59">
        <f>F60</f>
        <v>0.14199999999999999</v>
      </c>
      <c r="G67" s="59"/>
      <c r="H67" s="54">
        <f>ROUND(D67*(E67+F67),2)</f>
        <v>0</v>
      </c>
      <c r="J67" s="1"/>
      <c r="K67" s="1"/>
      <c r="L67" s="1"/>
      <c r="M67" s="1"/>
      <c r="N67" s="1"/>
      <c r="O67" s="1"/>
      <c r="P67" s="1"/>
    </row>
    <row r="68" spans="2:16" x14ac:dyDescent="0.3">
      <c r="B68" s="41"/>
      <c r="D68" s="58"/>
      <c r="F68" s="59"/>
      <c r="G68" s="59"/>
      <c r="H68" s="54"/>
      <c r="J68" s="1"/>
      <c r="K68" s="1"/>
      <c r="L68" s="1"/>
      <c r="M68" s="1"/>
      <c r="N68" s="1"/>
      <c r="O68" s="1"/>
      <c r="P68" s="1"/>
    </row>
    <row r="69" spans="2:16" x14ac:dyDescent="0.3">
      <c r="B69" s="119"/>
      <c r="C69" s="120"/>
      <c r="D69" s="121"/>
      <c r="E69" s="122"/>
      <c r="F69" s="123"/>
      <c r="G69" s="122"/>
      <c r="H69" s="124"/>
      <c r="I69" s="116"/>
      <c r="J69" s="1"/>
      <c r="K69" s="1"/>
      <c r="L69" s="1"/>
      <c r="M69" s="1"/>
      <c r="N69" s="1"/>
      <c r="O69" s="1"/>
      <c r="P69" s="1"/>
    </row>
    <row r="70" spans="2:16" x14ac:dyDescent="0.3">
      <c r="B70" s="119"/>
      <c r="C70" s="120"/>
      <c r="D70" s="125"/>
      <c r="E70" s="120"/>
      <c r="F70" s="126"/>
      <c r="G70" s="126"/>
      <c r="H70" s="124"/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119"/>
      <c r="C71" s="120"/>
      <c r="D71" s="121"/>
      <c r="E71" s="122"/>
      <c r="F71" s="123"/>
      <c r="G71" s="122"/>
      <c r="H71" s="124"/>
      <c r="I71" s="97"/>
      <c r="K71" s="1"/>
      <c r="L71" s="1"/>
      <c r="M71" s="1"/>
      <c r="N71" s="1"/>
      <c r="O71" s="1"/>
      <c r="P71" s="1"/>
    </row>
    <row r="72" spans="2:16" x14ac:dyDescent="0.3">
      <c r="B72" s="61"/>
      <c r="C72" s="24"/>
      <c r="D72" s="24"/>
      <c r="E72" s="24"/>
      <c r="F72" s="24"/>
      <c r="G72" s="24"/>
      <c r="H72" s="62"/>
      <c r="I72"/>
      <c r="J72" s="1"/>
      <c r="K72" s="1"/>
      <c r="L72" s="1"/>
      <c r="M72" s="1"/>
      <c r="N72" s="1"/>
      <c r="O72" s="1"/>
      <c r="P72" s="1"/>
    </row>
    <row r="73" spans="2:16" x14ac:dyDescent="0.3">
      <c r="B73" s="34"/>
      <c r="C73" s="35"/>
      <c r="D73" s="35"/>
      <c r="E73" s="35"/>
      <c r="F73" s="35"/>
      <c r="G73" s="35"/>
      <c r="H73" s="96">
        <f>SUM(H55:H72)</f>
        <v>132.74000000000007</v>
      </c>
      <c r="I73" s="1"/>
      <c r="L73" s="1"/>
      <c r="M73" s="1"/>
      <c r="N73" s="1"/>
      <c r="O73" s="1"/>
      <c r="P73" s="1"/>
    </row>
    <row r="74" spans="2:16" x14ac:dyDescent="0.3">
      <c r="B74" s="95"/>
      <c r="C74" s="1"/>
      <c r="D74" s="1"/>
      <c r="E74" s="1"/>
      <c r="F74" s="1"/>
      <c r="G74" s="1"/>
      <c r="H74" s="43"/>
      <c r="I74" s="1"/>
      <c r="L74" s="1"/>
      <c r="M74" s="1"/>
      <c r="N74" s="1"/>
      <c r="O74" s="1"/>
      <c r="P74" s="1"/>
    </row>
    <row r="75" spans="2:16" x14ac:dyDescent="0.3">
      <c r="B75" s="41"/>
      <c r="D75" s="63" t="s">
        <v>48</v>
      </c>
      <c r="E75" s="64"/>
      <c r="F75" s="64"/>
      <c r="G75" s="64"/>
      <c r="H75" s="65"/>
      <c r="I75" s="66"/>
      <c r="K75" s="67"/>
      <c r="L75" s="1"/>
      <c r="M75" s="1"/>
      <c r="N75" s="1"/>
      <c r="O75" s="1"/>
      <c r="P75" s="1"/>
    </row>
    <row r="76" spans="2:16" x14ac:dyDescent="0.3">
      <c r="B76" s="41" t="s">
        <v>49</v>
      </c>
      <c r="D76" s="68">
        <f>(H55+H57+H58+H59+H60)/(1-E76-E78)</f>
        <v>943.06724928061385</v>
      </c>
      <c r="E76" s="69">
        <f>N18</f>
        <v>1.0999999999999999E-2</v>
      </c>
      <c r="H76" s="70">
        <f>D76*E76</f>
        <v>10.373739742086752</v>
      </c>
      <c r="I76" s="67"/>
      <c r="L76" s="1"/>
      <c r="M76" s="1"/>
      <c r="N76" s="1"/>
      <c r="O76" s="1"/>
      <c r="P76" s="1"/>
    </row>
    <row r="77" spans="2:16" x14ac:dyDescent="0.3">
      <c r="B77" s="41" t="s">
        <v>50</v>
      </c>
      <c r="D77" s="68">
        <f>(D62+D64+D65+D66+D67)/(1-E76-E78)</f>
        <v>-2297.7725674091444</v>
      </c>
      <c r="E77" s="71">
        <f>E76</f>
        <v>1.0999999999999999E-2</v>
      </c>
      <c r="H77" s="70">
        <f t="shared" ref="H77:H79" si="18">D77*E77</f>
        <v>-25.275498241500586</v>
      </c>
      <c r="I77" s="67"/>
      <c r="L77" s="1"/>
      <c r="M77" s="1"/>
      <c r="N77" s="1"/>
      <c r="O77" s="1"/>
      <c r="P77" s="1"/>
    </row>
    <row r="78" spans="2:16" x14ac:dyDescent="0.3">
      <c r="B78" s="41" t="s">
        <v>51</v>
      </c>
      <c r="D78" s="68">
        <f>D76</f>
        <v>943.06724928061385</v>
      </c>
      <c r="E78" s="69">
        <f>N20</f>
        <v>5.0700000000000002E-2</v>
      </c>
      <c r="H78" s="70">
        <f t="shared" si="18"/>
        <v>47.813509538527121</v>
      </c>
      <c r="I78" s="67"/>
      <c r="L78" s="1"/>
      <c r="M78" s="1"/>
      <c r="N78" s="1"/>
      <c r="O78" s="1"/>
      <c r="P78" s="1"/>
    </row>
    <row r="79" spans="2:16" x14ac:dyDescent="0.3">
      <c r="B79" s="41" t="s">
        <v>52</v>
      </c>
      <c r="D79" s="68">
        <f>D77</f>
        <v>-2297.7725674091444</v>
      </c>
      <c r="E79" s="71">
        <f>E78</f>
        <v>5.0700000000000002E-2</v>
      </c>
      <c r="H79" s="70">
        <f t="shared" si="18"/>
        <v>-116.49706916764363</v>
      </c>
      <c r="I79" s="67"/>
      <c r="L79" s="1"/>
      <c r="M79" s="1"/>
      <c r="N79" s="1"/>
      <c r="O79" s="1"/>
      <c r="P79" s="1"/>
    </row>
    <row r="80" spans="2:16" x14ac:dyDescent="0.3">
      <c r="B80" s="41" t="s">
        <v>11</v>
      </c>
      <c r="D80" s="72">
        <f>D76/(1-E80)</f>
        <v>1136.2256015429084</v>
      </c>
      <c r="E80" s="73">
        <v>0.17</v>
      </c>
      <c r="H80" s="70">
        <f>D80*E80</f>
        <v>193.15835226229444</v>
      </c>
      <c r="I80" s="67"/>
      <c r="L80" s="1"/>
      <c r="M80" s="1"/>
      <c r="N80" s="1"/>
      <c r="O80" s="1"/>
      <c r="P80" s="1"/>
    </row>
    <row r="81" spans="2:16" x14ac:dyDescent="0.3">
      <c r="B81" s="74" t="s">
        <v>53</v>
      </c>
      <c r="C81" s="75"/>
      <c r="D81" s="76">
        <f>((D62*F62)+(H64+H65+H66+H67))/(1-E77-E79)/(1-E81)</f>
        <v>-475.37415397495346</v>
      </c>
      <c r="E81" s="77">
        <f>E80</f>
        <v>0.17</v>
      </c>
      <c r="F81" s="75"/>
      <c r="G81" s="75"/>
      <c r="H81" s="78">
        <f>D81*E81</f>
        <v>-80.813606175742095</v>
      </c>
      <c r="L81" s="1"/>
      <c r="M81" s="1"/>
      <c r="N81" s="1"/>
      <c r="O81" s="1"/>
      <c r="P81" s="1"/>
    </row>
    <row r="82" spans="2:16" x14ac:dyDescent="0.3">
      <c r="L82" s="1"/>
      <c r="M82" s="1"/>
      <c r="N82" s="1"/>
      <c r="O82" s="1"/>
      <c r="P82" s="1"/>
    </row>
    <row r="83" spans="2:16" x14ac:dyDescent="0.3">
      <c r="B83" s="224" t="s">
        <v>193</v>
      </c>
      <c r="C83" s="133"/>
      <c r="D83" s="225">
        <f>D55+D62</f>
        <v>0</v>
      </c>
      <c r="E83" s="226">
        <f>IF(AND($B$14&lt;$F$2,$E$14&lt;$F$2),C7,IF($B$14&lt;$F$2,I7,F7))</f>
        <v>1.8691701882653274E-4</v>
      </c>
      <c r="F83" s="226">
        <f>IF(AND($B$14&lt;$F$2,$E$14&lt;$F$2),D7,IF($B$14&lt;$F$2,J7,G7))</f>
        <v>-3.4998271764763713E-3</v>
      </c>
      <c r="G83" s="133"/>
      <c r="H83" s="224">
        <f>D83*(E83+F83)</f>
        <v>0</v>
      </c>
      <c r="L83" s="1"/>
      <c r="M83" s="1"/>
      <c r="N83" s="1"/>
      <c r="O83" s="1"/>
      <c r="P83" s="1"/>
    </row>
  </sheetData>
  <mergeCells count="11">
    <mergeCell ref="U4:W4"/>
    <mergeCell ref="X4:Z4"/>
    <mergeCell ref="K11:L11"/>
    <mergeCell ref="B51:H51"/>
    <mergeCell ref="B4:B5"/>
    <mergeCell ref="C4:E4"/>
    <mergeCell ref="F4:H4"/>
    <mergeCell ref="I4:K4"/>
    <mergeCell ref="Q4:Q5"/>
    <mergeCell ref="R4:T4"/>
    <mergeCell ref="P16:S16"/>
  </mergeCells>
  <conditionalFormatting sqref="K12:L12">
    <cfRule type="cellIs" dxfId="139" priority="1" operator="equal">
      <formula>"Escassez Hídrica"</formula>
    </cfRule>
    <cfRule type="cellIs" dxfId="138" priority="2" operator="equal">
      <formula>"VERDE"</formula>
    </cfRule>
    <cfRule type="cellIs" dxfId="137" priority="3" operator="equal">
      <formula>"BVM2"</formula>
    </cfRule>
    <cfRule type="cellIs" dxfId="136" priority="4" operator="equal">
      <formula>"BVM1"</formula>
    </cfRule>
    <cfRule type="cellIs" dxfId="135" priority="5" operator="equal">
      <formula>"BAM"</formula>
    </cfRule>
  </conditionalFormatting>
  <conditionalFormatting sqref="M3">
    <cfRule type="cellIs" dxfId="134" priority="16" operator="equal">
      <formula>"VERDE"</formula>
    </cfRule>
    <cfRule type="cellIs" dxfId="133" priority="17" operator="equal">
      <formula>"BVM2"</formula>
    </cfRule>
    <cfRule type="cellIs" dxfId="132" priority="18" operator="equal">
      <formula>"BVM1"</formula>
    </cfRule>
    <cfRule type="cellIs" dxfId="131" priority="19" operator="equal">
      <formula>"BAM"</formula>
    </cfRule>
  </conditionalFormatting>
  <conditionalFormatting sqref="M8">
    <cfRule type="containsText" dxfId="130" priority="7" operator="containsText" text="Escassez Hídrica">
      <formula>NOT(ISERROR(SEARCH("Escassez Hídrica",M8)))</formula>
    </cfRule>
    <cfRule type="cellIs" dxfId="129" priority="8" operator="equal">
      <formula>"VERDE"</formula>
    </cfRule>
    <cfRule type="cellIs" dxfId="128" priority="9" operator="equal">
      <formula>"BVM2"</formula>
    </cfRule>
    <cfRule type="cellIs" dxfId="127" priority="10" operator="equal">
      <formula>"BVM1"</formula>
    </cfRule>
    <cfRule type="cellIs" dxfId="126" priority="11" operator="equal">
      <formula>"BAM"</formula>
    </cfRule>
  </conditionalFormatting>
  <dataValidations disablePrompts="1" count="1">
    <dataValidation type="list" allowBlank="1" showInputMessage="1" showErrorMessage="1" sqref="K12:L12" xr:uid="{71E13887-27F9-4073-B3BC-0A2617DB21E0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N20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0202-974A-4877-809A-71449AD1DDDC}">
  <dimension ref="A1:Z130"/>
  <sheetViews>
    <sheetView showGridLines="0" zoomScale="80" zoomScaleNormal="80" workbookViewId="0">
      <selection activeCell="F55" sqref="F55:F56"/>
    </sheetView>
  </sheetViews>
  <sheetFormatPr defaultColWidth="9.109375" defaultRowHeight="14.4" x14ac:dyDescent="0.3"/>
  <cols>
    <col min="1" max="1" width="5.44140625" style="19" customWidth="1"/>
    <col min="2" max="2" width="32.33203125" style="19" customWidth="1"/>
    <col min="3" max="3" width="20.5546875" style="19" customWidth="1"/>
    <col min="4" max="4" width="12.6640625" style="19" customWidth="1"/>
    <col min="5" max="6" width="15.33203125" style="19" customWidth="1"/>
    <col min="7" max="10" width="12.6640625" style="19" customWidth="1"/>
    <col min="11" max="12" width="13.88671875" style="19" customWidth="1"/>
    <col min="13" max="16" width="12.6640625" style="19" customWidth="1"/>
    <col min="17" max="17" width="14.109375" style="19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0" style="19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67</v>
      </c>
      <c r="E2" s="20" t="s">
        <v>28</v>
      </c>
      <c r="F2" s="21">
        <f>'Fatura B1 (GD II) OK'!F2</f>
        <v>46241</v>
      </c>
      <c r="G2" s="329" t="s">
        <v>290</v>
      </c>
      <c r="H2" s="330">
        <v>45658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13" t="s">
        <v>31</v>
      </c>
      <c r="C4" s="418" t="str">
        <f>'Fatura B1 (GD II) OK'!C4:E4</f>
        <v>TARIFA ANTIGA - REH 3370/2024</v>
      </c>
      <c r="D4" s="418"/>
      <c r="E4" s="418"/>
      <c r="F4" s="418" t="str">
        <f>'Fatura B1 (GD II) OK'!F4:H4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'[1]Fatura B1 (Res) OK'!$N$4</f>
        <v>1.8849999999999999E-2</v>
      </c>
      <c r="Q4" s="413" t="s">
        <v>31</v>
      </c>
      <c r="R4" s="405" t="str">
        <f>C4</f>
        <v>TARIFA ANTIGA - REH 3370/2024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'[1]Fatura B1 (Res) OK'!$N$5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67</v>
      </c>
      <c r="C6" s="31">
        <f>'TABELA DE TARIFAS ANTIGAS'!G77/1000</f>
        <v>0.46862999999999999</v>
      </c>
      <c r="D6" s="31">
        <f>'TABELA DE TARIFAS ANTIGAS'!H77/1000</f>
        <v>0.32068000000000002</v>
      </c>
      <c r="E6" s="31">
        <f t="shared" ref="E6" si="0">C6+D6</f>
        <v>0.78930999999999996</v>
      </c>
      <c r="F6" s="31">
        <f>'TABELA DE TARIFAS NOVAS'!G79/1000</f>
        <v>0.50631999999999999</v>
      </c>
      <c r="G6" s="31">
        <f>'TABELA DE TARIFAS NOVAS'!H79/1000</f>
        <v>0.33738999999999997</v>
      </c>
      <c r="H6" s="31">
        <f t="shared" ref="H6" si="1">F6+G6</f>
        <v>0.84370999999999996</v>
      </c>
      <c r="I6" s="31">
        <f t="shared" ref="I6:J6" si="2">((C6*$C$14)+(F6*$D$14))/($D$14+$C$14)</f>
        <v>0.48621866666666663</v>
      </c>
      <c r="J6" s="31">
        <f t="shared" si="2"/>
        <v>0.32847799999999999</v>
      </c>
      <c r="K6" s="32">
        <f t="shared" ref="K6" si="3">I6+J6</f>
        <v>0.81469666666666662</v>
      </c>
      <c r="M6" s="13" t="s">
        <v>16</v>
      </c>
      <c r="N6" s="14">
        <f>'[1]Fatura B1 (Res) OK'!$N$6</f>
        <v>7.8770000000000007E-2</v>
      </c>
      <c r="P6" s="33"/>
      <c r="Q6" s="30" t="str">
        <f>B6</f>
        <v>B2</v>
      </c>
      <c r="R6" s="31">
        <f>'FIO B'!H20/1000</f>
        <v>0.20383072193179136</v>
      </c>
      <c r="S6"/>
      <c r="T6"/>
      <c r="U6" s="31">
        <f>'FIO B'!K20/1000</f>
        <v>0.20915159219558199</v>
      </c>
      <c r="V6"/>
      <c r="W6"/>
      <c r="X6" s="31">
        <f>((R6*$C$14)+(U6*$D$14))/($D$14+$C$14)</f>
        <v>0.20631379472156031</v>
      </c>
      <c r="Y6"/>
      <c r="Z6"/>
    </row>
    <row r="7" spans="1:26" x14ac:dyDescent="0.3">
      <c r="B7" s="243" t="s">
        <v>200</v>
      </c>
      <c r="C7" s="278">
        <v>1.8774721494831901E-4</v>
      </c>
      <c r="D7" s="277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ref="H7" si="4">F7+G7</f>
        <v>-3.4764051714327999E-4</v>
      </c>
      <c r="I7" s="31">
        <f>((C7*$C$14)+(F7*$D$14))/($D$14+$C$14)</f>
        <v>1.8608682270474647E-4</v>
      </c>
      <c r="J7" s="31">
        <f>((D7*$C$14)+(G7*$D$14))/($D$14+$C$14)</f>
        <v>-2.5965236115047629E-3</v>
      </c>
      <c r="K7" s="32">
        <f t="shared" ref="K7" si="5">I7+J7</f>
        <v>-2.4104367888000164E-3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2.3617299999999997E-2</v>
      </c>
      <c r="K8" s="84"/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5" t="s">
        <v>198</v>
      </c>
      <c r="Q10" s="236"/>
      <c r="R10" s="237"/>
      <c r="S10" s="237"/>
      <c r="T10" s="238"/>
      <c r="U10" s="277">
        <v>0</v>
      </c>
      <c r="V10"/>
      <c r="W10"/>
      <c r="X10"/>
      <c r="Y10"/>
      <c r="Z10"/>
    </row>
    <row r="11" spans="1:26" x14ac:dyDescent="0.3">
      <c r="B11" s="38" t="s">
        <v>38</v>
      </c>
      <c r="C11" s="335">
        <v>160846277</v>
      </c>
      <c r="E11" s="1"/>
      <c r="F11" s="1"/>
      <c r="G11" s="1"/>
      <c r="H11" s="40">
        <f>E14</f>
        <v>46254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'Fatura B1 (GD II) OK'!T11</f>
        <v>1.84189231569235E-4</v>
      </c>
      <c r="U11" s="277">
        <f>'Fatura B1 (GD II) OK'!U11</f>
        <v>-5.3182974871251499E-4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tr">
        <f>'Fatura B1 (GD II) OK'!K12</f>
        <v>BAM</v>
      </c>
      <c r="L12" s="7" t="str">
        <f>'Fatura B1 (GD II) OK'!L12</f>
        <v>BAM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46224</v>
      </c>
      <c r="C14" s="18">
        <f>IF((F2-B14-1)&lt;0,0,(F2-B14-1))</f>
        <v>16</v>
      </c>
      <c r="D14" s="18">
        <f>E14-F2+1</f>
        <v>14</v>
      </c>
      <c r="E14" s="17">
        <v>46254</v>
      </c>
      <c r="F14" s="44"/>
      <c r="G14" s="44"/>
      <c r="H14" s="45"/>
      <c r="J14" s="22">
        <f>B14</f>
        <v>46224</v>
      </c>
      <c r="K14" s="23">
        <f>IF((M10-J14-1)&lt;0,0,(M10-J14-1))</f>
        <v>10</v>
      </c>
      <c r="L14" s="23">
        <f>M14-M10+1</f>
        <v>20</v>
      </c>
      <c r="M14" s="22">
        <f>E14</f>
        <v>46254</v>
      </c>
      <c r="O14" s="315" t="s">
        <v>278</v>
      </c>
      <c r="P14" s="316"/>
      <c r="Q14" s="317">
        <v>1025310493</v>
      </c>
    </row>
    <row r="15" spans="1:26" x14ac:dyDescent="0.3">
      <c r="N15" s="102" t="s">
        <v>68</v>
      </c>
      <c r="O15" s="103">
        <v>0.6</v>
      </c>
    </row>
    <row r="16" spans="1:26" ht="42" customHeight="1" x14ac:dyDescent="0.3">
      <c r="B16" s="288" t="s">
        <v>245</v>
      </c>
      <c r="C16" s="288" t="s">
        <v>246</v>
      </c>
      <c r="D16" s="288" t="s">
        <v>247</v>
      </c>
      <c r="E16" s="289" t="s">
        <v>248</v>
      </c>
      <c r="F16" s="289" t="s">
        <v>249</v>
      </c>
      <c r="G16" s="289" t="s">
        <v>250</v>
      </c>
      <c r="H16" s="289" t="s">
        <v>251</v>
      </c>
      <c r="I16" s="289" t="s">
        <v>252</v>
      </c>
      <c r="J16" s="289" t="s">
        <v>253</v>
      </c>
      <c r="K16" s="290" t="s">
        <v>254</v>
      </c>
      <c r="L16" s="288" t="s">
        <v>255</v>
      </c>
      <c r="M16" s="289" t="s">
        <v>256</v>
      </c>
      <c r="N16" s="289" t="s">
        <v>257</v>
      </c>
      <c r="O16" s="289" t="s">
        <v>258</v>
      </c>
      <c r="P16" s="409" t="s">
        <v>379</v>
      </c>
      <c r="Q16" s="410"/>
      <c r="R16" s="410"/>
      <c r="S16" s="410"/>
    </row>
    <row r="17" spans="2:19" x14ac:dyDescent="0.3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3"/>
      <c r="N17" s="293"/>
      <c r="O17" s="293"/>
      <c r="R17" s="26" t="s">
        <v>105</v>
      </c>
      <c r="S17" s="26" t="s">
        <v>106</v>
      </c>
    </row>
    <row r="18" spans="2:19" x14ac:dyDescent="0.3">
      <c r="B18" s="319" t="s">
        <v>291</v>
      </c>
      <c r="C18" s="320" t="s">
        <v>2</v>
      </c>
      <c r="D18" s="295">
        <v>6812</v>
      </c>
      <c r="E18" s="321">
        <f>IFERROR((ROUND(D18*K18,2)+ROUND(G18,2)+ROUND(J18,2))/ROUND(D18,4), 0)</f>
        <v>0.53978273634762186</v>
      </c>
      <c r="F18" s="322">
        <f>ROUND(D18*E18,2)</f>
        <v>3677</v>
      </c>
      <c r="G18" s="322">
        <f t="shared" ref="G18:G25" si="6">((D18*K18)/(1-$N$18-$N$20))*($N$18+$N$20)</f>
        <v>217.79590758549148</v>
      </c>
      <c r="H18" s="323">
        <f t="shared" ref="H18:H25" si="7">(IF($I$18=12%,(D18*K18)/(1-$N$18-$N$20)/(1-$C$124)/$F$124*$C$124,(D18*K18)/(1-$N$18-$N$20)/(1-$I$18)))</f>
        <v>1225.6657864301474</v>
      </c>
      <c r="I18" s="333">
        <v>0.12</v>
      </c>
      <c r="J18" s="323">
        <f>(H18*$I$18)</f>
        <v>147.07989437161768</v>
      </c>
      <c r="K18" s="321">
        <f>IF(AND($B$14&lt;$F$2,$E$14&lt;$F$2),C6,IF($B$14&lt;$F$2,I6,F6))</f>
        <v>0.48621866666666663</v>
      </c>
      <c r="L18" s="47" t="s">
        <v>92</v>
      </c>
      <c r="M18" s="297">
        <f>D112</f>
        <v>6219.2219972290304</v>
      </c>
      <c r="N18" s="300">
        <f>'Fatura B1 (GD II) OK'!N18</f>
        <v>1.0999999999999999E-2</v>
      </c>
      <c r="O18" s="301">
        <f t="shared" ref="O18" si="8">ROUND(M18*N18,2)</f>
        <v>68.41</v>
      </c>
      <c r="R18" s="258">
        <f>IF(AND($B$14&lt;$F$2,$E$14&lt;$F$2),R6,IF($B$14&lt;$F$2,X6,U6))</f>
        <v>0.20631379472156031</v>
      </c>
      <c r="S18" s="137">
        <f>D18*R18</f>
        <v>1405.4095696432687</v>
      </c>
    </row>
    <row r="19" spans="2:19" x14ac:dyDescent="0.3">
      <c r="B19" s="319" t="s">
        <v>279</v>
      </c>
      <c r="C19" s="320" t="s">
        <v>2</v>
      </c>
      <c r="D19" s="295">
        <v>472</v>
      </c>
      <c r="E19" s="321">
        <f>IFERROR((ROUND(D19*K19,2)+ROUND(G19,2)+ROUND(J19,2))/ROUND(D19,4), 0)</f>
        <v>0.21593220338983052</v>
      </c>
      <c r="F19" s="322">
        <f>ROUND(D19*E19,2)</f>
        <v>101.92</v>
      </c>
      <c r="G19" s="322">
        <f t="shared" si="6"/>
        <v>6.0363868690752778</v>
      </c>
      <c r="H19" s="323">
        <f t="shared" si="7"/>
        <v>33.970302477688172</v>
      </c>
      <c r="I19" s="299">
        <f>I18</f>
        <v>0.12</v>
      </c>
      <c r="J19" s="323">
        <f t="shared" ref="J19:J25" si="9">(H19*$I$18)</f>
        <v>4.0764362973225801</v>
      </c>
      <c r="K19" s="321">
        <f>(K18+(K18*(-$H$57)))</f>
        <v>0.19448746666666666</v>
      </c>
      <c r="L19" s="47" t="s">
        <v>261</v>
      </c>
      <c r="M19" s="297">
        <f>D113</f>
        <v>-0.75668762655866983</v>
      </c>
      <c r="N19" s="300">
        <f>N18</f>
        <v>1.0999999999999999E-2</v>
      </c>
      <c r="O19" s="301">
        <f>ROUND(M19*N19,2)</f>
        <v>-0.01</v>
      </c>
      <c r="R19" s="258">
        <f>IF(AND($B$14&lt;$F$2,$E$14&lt;$F$2),R6,IF($B$14&lt;$F$2,X6,U6))</f>
        <v>0.20631379472156031</v>
      </c>
      <c r="S19" s="137">
        <f>D19*R19</f>
        <v>97.380111108576472</v>
      </c>
    </row>
    <row r="20" spans="2:19" x14ac:dyDescent="0.3">
      <c r="B20" s="319" t="s">
        <v>260</v>
      </c>
      <c r="C20" s="320" t="s">
        <v>2</v>
      </c>
      <c r="D20" s="324">
        <f>D18</f>
        <v>6812</v>
      </c>
      <c r="E20" s="321">
        <f>IFERROR((ROUND(D20*K20,2)+ROUND(G20,2)+ROUND(J20,2))/ROUND(D20,4), 0)</f>
        <v>0.36466382853787438</v>
      </c>
      <c r="F20" s="322">
        <f>ROUND(D20*E20,2)</f>
        <v>2484.09</v>
      </c>
      <c r="G20" s="322">
        <f t="shared" si="6"/>
        <v>147.1378394875839</v>
      </c>
      <c r="H20" s="323">
        <f t="shared" si="7"/>
        <v>828.03124148874429</v>
      </c>
      <c r="I20" s="319"/>
      <c r="J20" s="323">
        <f t="shared" si="9"/>
        <v>99.363748978649312</v>
      </c>
      <c r="K20" s="321">
        <f>IF(AND($B$14&lt;$F$2,$E$14&lt;$F$2),D6,IF($B$14&lt;$F$2,J6,G6))</f>
        <v>0.32847799999999999</v>
      </c>
      <c r="L20" s="47" t="s">
        <v>51</v>
      </c>
      <c r="M20" s="297">
        <f>M18</f>
        <v>6219.2219972290304</v>
      </c>
      <c r="N20" s="300">
        <f>'Fatura B1 (GD II) OK'!N20</f>
        <v>5.0700000000000002E-2</v>
      </c>
      <c r="O20" s="301">
        <f>ROUND(M20*N20,2)</f>
        <v>315.31</v>
      </c>
      <c r="S20" s="137">
        <f>-S19*60%</f>
        <v>-58.428066665145877</v>
      </c>
    </row>
    <row r="21" spans="2:19" x14ac:dyDescent="0.3">
      <c r="B21" s="319" t="s">
        <v>280</v>
      </c>
      <c r="C21" s="320" t="s">
        <v>2</v>
      </c>
      <c r="D21" s="324">
        <f>D19</f>
        <v>472</v>
      </c>
      <c r="E21" s="321">
        <f>IFERROR((ROUND(D21*K21,2)+ROUND(G21,2)+ROUND(J21,2))/ROUND(D21,4), 0)</f>
        <v>0.14586864406779662</v>
      </c>
      <c r="F21" s="322">
        <f>ROUND(D21*E21,2)</f>
        <v>68.849999999999994</v>
      </c>
      <c r="G21" s="322">
        <f t="shared" si="6"/>
        <v>4.0780422923158914</v>
      </c>
      <c r="H21" s="323">
        <f t="shared" si="7"/>
        <v>22.949544684831913</v>
      </c>
      <c r="I21" s="319"/>
      <c r="J21" s="323">
        <f t="shared" si="9"/>
        <v>2.7539453621798295</v>
      </c>
      <c r="K21" s="321">
        <f>ROUND(K20+(K20*(-$H$57)),8)</f>
        <v>0.13139120000000001</v>
      </c>
      <c r="L21" s="47" t="s">
        <v>263</v>
      </c>
      <c r="M21" s="297">
        <f>M19</f>
        <v>-0.75668762655866983</v>
      </c>
      <c r="N21" s="300">
        <f>N20</f>
        <v>5.0700000000000002E-2</v>
      </c>
      <c r="O21" s="301">
        <f>ROUND(M21*N21,2)</f>
        <v>-0.04</v>
      </c>
      <c r="S21" s="391">
        <f>SUM(S18:S20)</f>
        <v>1444.3616140866993</v>
      </c>
    </row>
    <row r="22" spans="2:19" x14ac:dyDescent="0.3">
      <c r="B22" s="319" t="s">
        <v>43</v>
      </c>
      <c r="C22" s="320" t="s">
        <v>2</v>
      </c>
      <c r="D22" s="324">
        <f>IF($K$12=M4,(($D$18+$D$19)*($K$14)/($K$14+$L$14)),0)+IF($L$12=M4,(($D$18+$D$19)*($L$14)/($K$14+$L$14)),0)</f>
        <v>7284</v>
      </c>
      <c r="E22" s="321">
        <f>IFERROR((ROUND(D22*K22,2)+ROUND(G22,2)+ROUND(J22,2))/ROUND(D22,4), 0)</f>
        <v>2.0113948380010984E-2</v>
      </c>
      <c r="F22" s="322">
        <f>ROUND(D22*E22,2)</f>
        <v>146.51</v>
      </c>
      <c r="G22" s="322">
        <f t="shared" si="6"/>
        <v>8.6776568645422554</v>
      </c>
      <c r="H22" s="323">
        <f t="shared" si="7"/>
        <v>48.834283633521608</v>
      </c>
      <c r="I22" s="319"/>
      <c r="J22" s="323">
        <f t="shared" si="9"/>
        <v>5.8601140360225923</v>
      </c>
      <c r="K22" s="321">
        <f>J63</f>
        <v>1.8117116968698513E-2</v>
      </c>
      <c r="L22" s="47"/>
      <c r="M22" s="297"/>
      <c r="N22" s="297"/>
      <c r="O22" s="297"/>
      <c r="Q22" s="403">
        <v>838840</v>
      </c>
      <c r="R22" s="19" t="s">
        <v>382</v>
      </c>
    </row>
    <row r="23" spans="2:19" x14ac:dyDescent="0.3">
      <c r="B23" s="319" t="s">
        <v>262</v>
      </c>
      <c r="C23" s="320" t="s">
        <v>2</v>
      </c>
      <c r="D23" s="324">
        <f>IF($K$12=M5,(($D$18+$D$19)*($K$14)/($K$14+$L$14)),0)+IF($L$12=M5,(($D$18+$D$19)*($L$14)/($K$14+$L$14)),0)</f>
        <v>0</v>
      </c>
      <c r="E23" s="321">
        <f t="shared" ref="E23:E25" si="10">IFERROR((ROUND(D23*K23,2)+ROUND(G23,2)+ROUND(J23,2))/ROUND(D23,4), 0)</f>
        <v>0</v>
      </c>
      <c r="F23" s="322">
        <f t="shared" ref="F23:F25" si="11">ROUND(D23*E23,2)</f>
        <v>0</v>
      </c>
      <c r="G23" s="322">
        <f t="shared" si="6"/>
        <v>0</v>
      </c>
      <c r="H23" s="323">
        <f t="shared" si="7"/>
        <v>0</v>
      </c>
      <c r="I23" s="319"/>
      <c r="J23" s="323">
        <f t="shared" si="9"/>
        <v>0</v>
      </c>
      <c r="K23" s="321">
        <f t="shared" ref="K23:K25" si="12">J64</f>
        <v>0</v>
      </c>
      <c r="L23" s="47"/>
      <c r="M23" s="297"/>
      <c r="N23" s="297"/>
      <c r="O23" s="297"/>
    </row>
    <row r="24" spans="2:19" x14ac:dyDescent="0.3">
      <c r="B24" s="319" t="s">
        <v>276</v>
      </c>
      <c r="C24" s="320" t="s">
        <v>2</v>
      </c>
      <c r="D24" s="324">
        <f>IF($K$12=M6,(($D$18+$D$19)*($K$14)/($K$14+$L$14)),0)+IF($L$12=M6,(($D$18+$D$19)*($L$14)/($K$14+$L$14)),0)</f>
        <v>0</v>
      </c>
      <c r="E24" s="321">
        <f t="shared" si="10"/>
        <v>0</v>
      </c>
      <c r="F24" s="322">
        <f t="shared" si="11"/>
        <v>0</v>
      </c>
      <c r="G24" s="322">
        <f t="shared" si="6"/>
        <v>0</v>
      </c>
      <c r="H24" s="323">
        <f t="shared" si="7"/>
        <v>0</v>
      </c>
      <c r="I24" s="319"/>
      <c r="J24" s="323">
        <f t="shared" si="9"/>
        <v>0</v>
      </c>
      <c r="K24" s="321">
        <f t="shared" si="12"/>
        <v>0</v>
      </c>
      <c r="L24" s="47"/>
      <c r="M24" s="297"/>
      <c r="N24" s="297"/>
      <c r="O24" s="297"/>
    </row>
    <row r="25" spans="2:19" x14ac:dyDescent="0.3">
      <c r="B25" s="319" t="s">
        <v>277</v>
      </c>
      <c r="C25" s="320" t="s">
        <v>2</v>
      </c>
      <c r="D25" s="324">
        <f>IF($K$12=M7,(($D$18+$D$19)*($K$14)/($K$14+$L$14)),0)+IF($L$12=M7,(($D$18+$D$19)*($L$14)/($K$14+$L$14)),0)</f>
        <v>0</v>
      </c>
      <c r="E25" s="321">
        <f t="shared" si="10"/>
        <v>0</v>
      </c>
      <c r="F25" s="322">
        <f t="shared" si="11"/>
        <v>0</v>
      </c>
      <c r="G25" s="322">
        <f t="shared" si="6"/>
        <v>0</v>
      </c>
      <c r="H25" s="323">
        <f t="shared" si="7"/>
        <v>0</v>
      </c>
      <c r="I25" s="319"/>
      <c r="J25" s="323">
        <f t="shared" si="9"/>
        <v>0</v>
      </c>
      <c r="K25" s="321">
        <f t="shared" si="12"/>
        <v>0</v>
      </c>
      <c r="L25" s="47"/>
      <c r="M25" s="297"/>
      <c r="N25" s="297"/>
      <c r="O25" s="297"/>
      <c r="P25" s="390"/>
    </row>
    <row r="26" spans="2:19" x14ac:dyDescent="0.3">
      <c r="B26" s="319"/>
      <c r="C26" s="320"/>
      <c r="D26" s="324"/>
      <c r="E26" s="321"/>
      <c r="F26" s="322"/>
      <c r="G26" s="322"/>
      <c r="H26" s="323"/>
      <c r="I26" s="293"/>
      <c r="J26" s="298"/>
      <c r="K26" s="296"/>
      <c r="L26" s="47"/>
      <c r="M26" s="297"/>
      <c r="N26" s="297"/>
      <c r="O26" s="297"/>
      <c r="P26" s="390"/>
    </row>
    <row r="27" spans="2:19" x14ac:dyDescent="0.3">
      <c r="B27" s="319" t="s">
        <v>281</v>
      </c>
      <c r="C27" s="320" t="s">
        <v>2</v>
      </c>
      <c r="D27" s="295">
        <v>0</v>
      </c>
      <c r="E27" s="321">
        <f>IFERROR((ROUND(D27*K27,2)+ROUND(G27,2)+ROUND(J27,2))/ROUND(D27,4), 0)</f>
        <v>0</v>
      </c>
      <c r="F27" s="319">
        <f>ROUND(D27*E27,2)</f>
        <v>0</v>
      </c>
      <c r="G27" s="322">
        <f t="shared" ref="G27:G34" si="13">((D27*K27)/(1-$N$19-$N$21))*($N$19+$N$21)</f>
        <v>0</v>
      </c>
      <c r="H27" s="323">
        <v>0</v>
      </c>
      <c r="I27" s="299">
        <v>0</v>
      </c>
      <c r="J27" s="293">
        <f>H27*$I$21</f>
        <v>0</v>
      </c>
      <c r="K27" s="296">
        <f>(K28+(K28*(-$H$57)))</f>
        <v>0.14492428066133334</v>
      </c>
      <c r="L27" s="47"/>
      <c r="M27" s="297"/>
      <c r="N27" s="297"/>
      <c r="O27" s="297"/>
    </row>
    <row r="28" spans="2:19" x14ac:dyDescent="0.3">
      <c r="B28" s="319" t="s">
        <v>266</v>
      </c>
      <c r="C28" s="320" t="s">
        <v>2</v>
      </c>
      <c r="D28" s="396">
        <v>-1</v>
      </c>
      <c r="E28" s="321">
        <f t="shared" ref="E28:E30" si="14">IFERROR((ROUND(D28*K28,2)+ROUND(G28,2)+ROUND(J28,2))/ROUND(D28,4), 0)</f>
        <v>0.38</v>
      </c>
      <c r="F28" s="319">
        <f>ROUND(D28*E28,2)</f>
        <v>-0.38</v>
      </c>
      <c r="G28" s="322">
        <f t="shared" si="13"/>
        <v>-2.3824544700000713E-2</v>
      </c>
      <c r="H28" s="323">
        <v>0</v>
      </c>
      <c r="I28" s="299">
        <v>0</v>
      </c>
      <c r="J28" s="319">
        <f>H28*$I$21</f>
        <v>0</v>
      </c>
      <c r="K28" s="389">
        <f>E81</f>
        <v>0.36231070165333334</v>
      </c>
      <c r="L28" s="47"/>
      <c r="M28" s="297"/>
      <c r="N28" s="297"/>
      <c r="O28" s="297"/>
    </row>
    <row r="29" spans="2:19" x14ac:dyDescent="0.3">
      <c r="B29" s="319" t="s">
        <v>282</v>
      </c>
      <c r="C29" s="320" t="s">
        <v>2</v>
      </c>
      <c r="D29" s="324">
        <f>D27</f>
        <v>0</v>
      </c>
      <c r="E29" s="321">
        <f t="shared" si="14"/>
        <v>0</v>
      </c>
      <c r="F29" s="319">
        <f>ROUND(D29*E29,2)</f>
        <v>0</v>
      </c>
      <c r="G29" s="322">
        <f t="shared" si="13"/>
        <v>0</v>
      </c>
      <c r="H29" s="323">
        <f t="shared" ref="H29:H34" si="15">(IF($I$29=12%,(D29*K29)/(1-$N$19-$N$21)/(1-$C$130)/$F$130*$C$130,(D29*K29)/(1-$N$19-$N$21)/(1-$I$29)))</f>
        <v>0</v>
      </c>
      <c r="I29" s="299">
        <f>I18</f>
        <v>0.12</v>
      </c>
      <c r="J29" s="298">
        <f>H29*$I$29</f>
        <v>0</v>
      </c>
      <c r="K29" s="296">
        <f>K30+(K30*(-$H$57))</f>
        <v>0.13139120000000001</v>
      </c>
      <c r="L29" s="47"/>
      <c r="M29" s="297"/>
      <c r="N29" s="297"/>
      <c r="O29" s="297"/>
    </row>
    <row r="30" spans="2:19" x14ac:dyDescent="0.3">
      <c r="B30" s="319" t="s">
        <v>267</v>
      </c>
      <c r="C30" s="320" t="s">
        <v>2</v>
      </c>
      <c r="D30" s="324">
        <f>D28</f>
        <v>-1</v>
      </c>
      <c r="E30" s="321">
        <f t="shared" si="14"/>
        <v>0.36000000000000004</v>
      </c>
      <c r="F30" s="332">
        <f>ROUND(D30*E30,2)</f>
        <v>-0.36</v>
      </c>
      <c r="G30" s="322">
        <f t="shared" si="13"/>
        <v>-2.1599800277096876E-2</v>
      </c>
      <c r="H30" s="323">
        <f t="shared" si="15"/>
        <v>-0.12155479176288085</v>
      </c>
      <c r="I30" s="299">
        <f>I19</f>
        <v>0.12</v>
      </c>
      <c r="J30" s="323">
        <f t="shared" ref="J30:J34" si="16">H30*$I$29</f>
        <v>-1.4586575011545701E-2</v>
      </c>
      <c r="K30" s="321">
        <f>K20</f>
        <v>0.32847799999999999</v>
      </c>
      <c r="L30" s="47"/>
      <c r="M30" s="297"/>
      <c r="N30" s="297"/>
      <c r="O30" s="297"/>
    </row>
    <row r="31" spans="2:19" x14ac:dyDescent="0.3">
      <c r="B31" s="319" t="s">
        <v>268</v>
      </c>
      <c r="C31" s="320" t="s">
        <v>2</v>
      </c>
      <c r="D31" s="324">
        <f>IF($K$12=M4,(($D$27+$D$28)*($K$14)/($K$14+$L$14)),0)+IF($L$12=M4,(($D$27+$D$28)*($L$14)/($K$14+$L$14)),0)</f>
        <v>-1</v>
      </c>
      <c r="E31" s="321">
        <f>IFERROR((ROUND(D31*K31,2)+ROUND(G31,2)+ROUND(J31,2))/ROUND(D31,4), 0)</f>
        <v>0.02</v>
      </c>
      <c r="F31" s="322">
        <f t="shared" ref="F31:F34" si="17">ROUND(D31*E31,2)</f>
        <v>-0.02</v>
      </c>
      <c r="G31" s="322">
        <f t="shared" si="13"/>
        <v>-1.239523606522434E-3</v>
      </c>
      <c r="H31" s="323">
        <f t="shared" si="15"/>
        <v>-6.9755290300425113E-3</v>
      </c>
      <c r="I31" s="319"/>
      <c r="J31" s="323">
        <f t="shared" si="16"/>
        <v>-8.3706348360510136E-4</v>
      </c>
      <c r="K31" s="321">
        <f>J84</f>
        <v>1.8849999999999999E-2</v>
      </c>
      <c r="L31" s="268"/>
      <c r="M31" s="304"/>
      <c r="N31" s="304"/>
      <c r="O31" s="304"/>
      <c r="R31" s="303"/>
    </row>
    <row r="32" spans="2:19" x14ac:dyDescent="0.3">
      <c r="B32" s="319" t="s">
        <v>269</v>
      </c>
      <c r="C32" s="320" t="s">
        <v>2</v>
      </c>
      <c r="D32" s="324">
        <f>IF($K$12=M5,(($D$27+$D$28)*($K$14)/($K$14+$L$14)),0)+IF($L$12=M5,(($D$27+$D$28)*($L$14)/($K$14+$L$14)),0)</f>
        <v>0</v>
      </c>
      <c r="E32" s="321">
        <f t="shared" ref="E32:E34" si="18">IFERROR((ROUND(D32*K32,2)+ROUND(G32,2)+ROUND(J32,2))/ROUND(D32,4), 0)</f>
        <v>0</v>
      </c>
      <c r="F32" s="322">
        <f t="shared" si="17"/>
        <v>0</v>
      </c>
      <c r="G32" s="322">
        <f t="shared" si="13"/>
        <v>0</v>
      </c>
      <c r="H32" s="323">
        <f t="shared" si="15"/>
        <v>0</v>
      </c>
      <c r="I32" s="319"/>
      <c r="J32" s="323">
        <f t="shared" si="16"/>
        <v>0</v>
      </c>
      <c r="K32" s="321">
        <f>J85</f>
        <v>0</v>
      </c>
      <c r="O32" s="292"/>
    </row>
    <row r="33" spans="2:19" x14ac:dyDescent="0.3">
      <c r="B33" s="319" t="s">
        <v>270</v>
      </c>
      <c r="C33" s="320" t="s">
        <v>2</v>
      </c>
      <c r="D33" s="324">
        <f>IF($K$12=M6,(($D$27+$D$28)*($K$14)/($K$14+$L$14)),0)+IF($L$12=M6,(($D$27+$D$28)*($L$14)/($K$14+$L$14)),0)</f>
        <v>0</v>
      </c>
      <c r="E33" s="321">
        <f t="shared" si="18"/>
        <v>0</v>
      </c>
      <c r="F33" s="322">
        <f t="shared" si="17"/>
        <v>0</v>
      </c>
      <c r="G33" s="322">
        <f t="shared" si="13"/>
        <v>0</v>
      </c>
      <c r="H33" s="323">
        <f t="shared" si="15"/>
        <v>0</v>
      </c>
      <c r="I33" s="319"/>
      <c r="J33" s="323">
        <f t="shared" si="16"/>
        <v>0</v>
      </c>
      <c r="K33" s="321">
        <f>J86</f>
        <v>0</v>
      </c>
      <c r="O33" s="292"/>
      <c r="S33" s="305"/>
    </row>
    <row r="34" spans="2:19" x14ac:dyDescent="0.3">
      <c r="B34" s="319" t="s">
        <v>271</v>
      </c>
      <c r="C34" s="320" t="s">
        <v>2</v>
      </c>
      <c r="D34" s="324">
        <f>IF($K$12=M7,(($D$27+$D$28)*($K$14)/($K$14+$L$14)),0)+IF($L$12=M7,(($D$27+$D$28)*($L$14)/($K$14+$L$14)),0)</f>
        <v>0</v>
      </c>
      <c r="E34" s="321">
        <f t="shared" si="18"/>
        <v>0</v>
      </c>
      <c r="F34" s="322">
        <f t="shared" si="17"/>
        <v>0</v>
      </c>
      <c r="G34" s="322">
        <f t="shared" si="13"/>
        <v>0</v>
      </c>
      <c r="H34" s="323">
        <f t="shared" si="15"/>
        <v>0</v>
      </c>
      <c r="I34" s="319"/>
      <c r="J34" s="323">
        <f t="shared" si="16"/>
        <v>0</v>
      </c>
      <c r="K34" s="321">
        <f>J87</f>
        <v>0</v>
      </c>
      <c r="O34" s="292"/>
      <c r="S34" s="305"/>
    </row>
    <row r="35" spans="2:19" x14ac:dyDescent="0.3">
      <c r="B35" s="293"/>
      <c r="C35" s="294"/>
      <c r="D35" s="302"/>
      <c r="E35" s="296"/>
      <c r="F35" s="297"/>
      <c r="G35" s="297"/>
      <c r="H35" s="298"/>
      <c r="I35" s="293"/>
      <c r="J35" s="298"/>
      <c r="K35" s="296"/>
      <c r="O35" s="292"/>
      <c r="S35" s="305"/>
    </row>
    <row r="36" spans="2:19" x14ac:dyDescent="0.3">
      <c r="B36" s="293" t="s">
        <v>272</v>
      </c>
      <c r="C36" s="293"/>
      <c r="D36" s="302"/>
      <c r="E36" s="293"/>
      <c r="F36" s="306"/>
      <c r="G36" s="293"/>
      <c r="H36" s="293"/>
      <c r="I36" s="293"/>
      <c r="J36" s="293"/>
      <c r="K36" s="293"/>
      <c r="O36" s="292"/>
      <c r="S36" s="305"/>
    </row>
    <row r="37" spans="2:19" x14ac:dyDescent="0.3">
      <c r="B37" s="293" t="s">
        <v>273</v>
      </c>
      <c r="C37" s="293"/>
      <c r="D37" s="302"/>
      <c r="E37" s="293"/>
      <c r="F37" s="306">
        <v>-0.33</v>
      </c>
      <c r="G37" s="293"/>
      <c r="H37" s="293"/>
      <c r="I37" s="293"/>
      <c r="J37" s="293"/>
      <c r="K37" s="293"/>
      <c r="O37" s="292"/>
      <c r="S37" s="305"/>
    </row>
    <row r="38" spans="2:19" x14ac:dyDescent="0.3">
      <c r="B38" s="293" t="s">
        <v>274</v>
      </c>
      <c r="C38" s="293"/>
      <c r="D38" s="302"/>
      <c r="E38" s="293"/>
      <c r="F38" s="306"/>
      <c r="G38" s="293"/>
      <c r="H38" s="293"/>
      <c r="I38" s="293"/>
      <c r="J38" s="293"/>
      <c r="K38" s="293"/>
      <c r="O38" s="292"/>
      <c r="S38" s="305"/>
    </row>
    <row r="39" spans="2:19" x14ac:dyDescent="0.3">
      <c r="B39" s="293" t="s">
        <v>289</v>
      </c>
      <c r="C39" s="293"/>
      <c r="D39" s="302"/>
      <c r="E39" s="293"/>
      <c r="F39" s="306"/>
      <c r="G39" s="293"/>
      <c r="H39" s="293"/>
      <c r="I39" s="293"/>
      <c r="J39" s="293"/>
      <c r="K39" s="293"/>
      <c r="O39" s="292"/>
      <c r="S39" s="305"/>
    </row>
    <row r="40" spans="2:19" x14ac:dyDescent="0.3">
      <c r="B40" s="293" t="s">
        <v>275</v>
      </c>
      <c r="C40" s="293"/>
      <c r="D40" s="302"/>
      <c r="E40" s="293"/>
      <c r="F40" s="306"/>
      <c r="G40" s="293"/>
      <c r="H40" s="293"/>
      <c r="I40" s="293"/>
      <c r="J40" s="293"/>
      <c r="K40" s="293"/>
      <c r="O40" s="292"/>
      <c r="S40" s="305"/>
    </row>
    <row r="41" spans="2:19" x14ac:dyDescent="0.3">
      <c r="B41" s="293"/>
      <c r="C41" s="293"/>
      <c r="D41" s="302"/>
      <c r="E41" s="293"/>
      <c r="F41" s="293"/>
      <c r="G41" s="293"/>
      <c r="H41" s="293"/>
      <c r="I41" s="293"/>
      <c r="J41" s="293"/>
      <c r="K41" s="293"/>
      <c r="O41" s="292"/>
    </row>
    <row r="42" spans="2:19" x14ac:dyDescent="0.3">
      <c r="B42" s="307" t="s">
        <v>162</v>
      </c>
      <c r="C42" s="304"/>
      <c r="D42" s="308"/>
      <c r="E42" s="304"/>
      <c r="F42" s="309">
        <f>SUM(F18:F41)</f>
        <v>6477.2800000000007</v>
      </c>
      <c r="G42" s="310">
        <f>SUM(G18:G41)</f>
        <v>383.6791692304252</v>
      </c>
      <c r="H42" s="311">
        <f>SUM(H18:H41)</f>
        <v>2159.3226283941403</v>
      </c>
      <c r="I42" s="304"/>
      <c r="J42" s="311">
        <f>SUM(J18:J41)</f>
        <v>259.1187154072968</v>
      </c>
      <c r="K42" s="304"/>
      <c r="L42" s="75"/>
      <c r="M42" s="75"/>
      <c r="N42" s="75"/>
      <c r="O42" s="268"/>
    </row>
    <row r="44" spans="2:19" x14ac:dyDescent="0.3">
      <c r="B44" s="312" t="s">
        <v>284</v>
      </c>
      <c r="C44" s="313">
        <f>D18</f>
        <v>6812</v>
      </c>
      <c r="D44" s="314">
        <f>IF(AND($B$14&lt;$F$2,$E$14&lt;$F$2),C7,IF($B$14&lt;$F$2,I7,F7))</f>
        <v>1.8608682270474647E-4</v>
      </c>
      <c r="E44" s="314">
        <f>IF(AND($B$14&lt;$F$2,$E$14&lt;$F$2),D7,IF($B$14&lt;$F$2,J7,G7))</f>
        <v>-2.5965236115047629E-3</v>
      </c>
      <c r="F44" s="312">
        <f>C44*(D44+E44)</f>
        <v>-16.419895405305713</v>
      </c>
      <c r="G44" s="398" t="s">
        <v>378</v>
      </c>
    </row>
    <row r="45" spans="2:19" x14ac:dyDescent="0.3">
      <c r="B45" s="312"/>
      <c r="C45" s="313">
        <f>D19</f>
        <v>472</v>
      </c>
      <c r="D45" s="314">
        <f>IF(AND($B$14&lt;$F$2,$E$14&lt;$F$2),C7,IF($B$14&lt;$F$2,I7,F7))</f>
        <v>1.8608682270474647E-4</v>
      </c>
      <c r="E45" s="314">
        <f>IF(AND($B$14&lt;$F$2,$E$14&lt;$F$2),D7,IF($B$14&lt;$F$2,J7,G7))</f>
        <v>-2.5965236115047629E-3</v>
      </c>
      <c r="F45" s="312">
        <f>C45*(D45+E45)</f>
        <v>-1.1377261643136076</v>
      </c>
      <c r="G45" s="397"/>
    </row>
    <row r="46" spans="2:19" x14ac:dyDescent="0.3">
      <c r="B46" s="312"/>
      <c r="C46" s="313"/>
      <c r="D46" s="314"/>
      <c r="E46" s="314"/>
      <c r="F46" s="312">
        <f>-F45*H57</f>
        <v>0.68263569858816453</v>
      </c>
    </row>
    <row r="47" spans="2:19" x14ac:dyDescent="0.3">
      <c r="B47" s="312"/>
      <c r="C47" s="313">
        <f>D28</f>
        <v>-1</v>
      </c>
      <c r="D47" s="314">
        <f>IF(AND($B$14&lt;$F$2,$E$14&lt;$F$2),C7*$F$55,IF($B$14&lt;$F$2,(((I7*F55)*C14)+((I7*F56)*D14))/(C14+D14),I7*$F$56))</f>
        <v>1.3866445680666887E-4</v>
      </c>
      <c r="E47" s="314">
        <f>IF(AND($B$14&lt;$F$2,$E$14&lt;$F$2),D7,IF($B$14&lt;$F$2,J7,G7))</f>
        <v>-2.5965236115047629E-3</v>
      </c>
      <c r="F47" s="312">
        <f>C47*(D47+E47)</f>
        <v>2.4578591546980939E-3</v>
      </c>
    </row>
    <row r="48" spans="2:19" x14ac:dyDescent="0.3">
      <c r="B48" s="312"/>
      <c r="C48" s="313">
        <f>D27</f>
        <v>0</v>
      </c>
      <c r="D48" s="314">
        <f>IF(AND($B$14&lt;$F$2,$E$14&lt;$F$2),C7*$F$55,IF($B$14&lt;$F$2,(((I7*F55)*C14)+((I7*F56)*D14))/(C14+D14),I7*$F$56))</f>
        <v>1.3866445680666887E-4</v>
      </c>
      <c r="E48" s="314">
        <f>IF(AND($B$14&lt;$F$2,$E$14&lt;$F$2),D7,IF($B$14&lt;$F$2,J7,G7))</f>
        <v>-2.5965236115047629E-3</v>
      </c>
      <c r="F48" s="312">
        <f>C48*(D48+E48)</f>
        <v>0</v>
      </c>
    </row>
    <row r="49" spans="1:22" x14ac:dyDescent="0.3">
      <c r="B49" s="312"/>
      <c r="C49" s="313"/>
      <c r="D49" s="314"/>
      <c r="E49" s="314"/>
      <c r="F49" s="312">
        <f>-F48*H57</f>
        <v>0</v>
      </c>
    </row>
    <row r="50" spans="1:22" x14ac:dyDescent="0.3">
      <c r="B50" s="312"/>
      <c r="C50" s="313"/>
      <c r="D50" s="314"/>
      <c r="E50" s="314"/>
      <c r="F50" s="312">
        <f>SUM(F44:F49)</f>
        <v>-16.872528011876458</v>
      </c>
    </row>
    <row r="51" spans="1:22" ht="15" thickBot="1" x14ac:dyDescent="0.35"/>
    <row r="52" spans="1:22" ht="16.2" thickBot="1" x14ac:dyDescent="0.35">
      <c r="B52" s="399" t="s">
        <v>380</v>
      </c>
      <c r="C52" s="400"/>
      <c r="D52" s="401"/>
      <c r="E52" s="401"/>
      <c r="F52" s="402">
        <f>SUM(H76+H64+H77+H78+H79+H84+H96+H97+H98+H99)</f>
        <v>-236.06399999999996</v>
      </c>
      <c r="G52" s="411" t="s">
        <v>378</v>
      </c>
      <c r="H52" s="412"/>
    </row>
    <row r="54" spans="1:22" x14ac:dyDescent="0.3">
      <c r="B54" s="1"/>
      <c r="F54" s="254"/>
      <c r="G54"/>
      <c r="H54" s="3"/>
    </row>
    <row r="55" spans="1:22" x14ac:dyDescent="0.3">
      <c r="B55" s="5" t="s">
        <v>55</v>
      </c>
      <c r="E55" s="26" t="s">
        <v>10</v>
      </c>
      <c r="F55" s="85">
        <v>0.73899999999999999</v>
      </c>
      <c r="G55" s="86" t="s">
        <v>9</v>
      </c>
      <c r="H55" s="85">
        <v>1</v>
      </c>
      <c r="I55" s="280" t="str">
        <f>'Fatura B1 (GD II) OK'!I44</f>
        <v>A partir de 01/01/2026</v>
      </c>
      <c r="J55"/>
      <c r="M55"/>
      <c r="N55"/>
      <c r="O55"/>
      <c r="P55"/>
      <c r="Q55"/>
      <c r="R55"/>
      <c r="T55"/>
      <c r="U55"/>
      <c r="V55"/>
    </row>
    <row r="56" spans="1:22" x14ac:dyDescent="0.3">
      <c r="E56" s="26" t="s">
        <v>10</v>
      </c>
      <c r="F56" s="85">
        <v>0.75219999999999998</v>
      </c>
      <c r="G56" s="86" t="s">
        <v>9</v>
      </c>
      <c r="H56" s="85">
        <v>1</v>
      </c>
      <c r="I56" s="280" t="str">
        <f>'Fatura B1 (GD II) OK'!I45</f>
        <v>A partir de 07/08/2026</v>
      </c>
      <c r="J56"/>
      <c r="M56"/>
      <c r="N56"/>
      <c r="O56"/>
      <c r="P56"/>
      <c r="Q56"/>
      <c r="R56"/>
      <c r="S56"/>
      <c r="T56"/>
      <c r="U56"/>
      <c r="V56"/>
    </row>
    <row r="57" spans="1:22" x14ac:dyDescent="0.3">
      <c r="G57" s="102" t="s">
        <v>68</v>
      </c>
      <c r="H57" s="103">
        <f>O15</f>
        <v>0.6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x14ac:dyDescent="0.3">
      <c r="B58" s="415" t="s">
        <v>135</v>
      </c>
      <c r="C58" s="416"/>
      <c r="D58" s="416"/>
      <c r="E58" s="416"/>
      <c r="F58" s="416"/>
      <c r="G58" s="416"/>
      <c r="H58" s="417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x14ac:dyDescent="0.3">
      <c r="B59" s="41"/>
      <c r="D59" s="46" t="s">
        <v>40</v>
      </c>
      <c r="E59" s="46" t="s">
        <v>10</v>
      </c>
      <c r="F59" s="46" t="s">
        <v>9</v>
      </c>
      <c r="G59" s="46" t="s">
        <v>34</v>
      </c>
      <c r="H59" s="47" t="s">
        <v>7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x14ac:dyDescent="0.3">
      <c r="A60" s="19" t="s">
        <v>8</v>
      </c>
      <c r="B60" s="48" t="s">
        <v>41</v>
      </c>
      <c r="C60" s="49"/>
      <c r="D60" s="50"/>
      <c r="E60" s="50"/>
      <c r="F60" s="50"/>
      <c r="G60" s="50"/>
      <c r="H60" s="51">
        <f>SUM(H62:H107)+SUM(H112:H117)</f>
        <v>7066.4903920048819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x14ac:dyDescent="0.3">
      <c r="A61" s="19" t="s">
        <v>8</v>
      </c>
      <c r="B61" s="41"/>
      <c r="D61" s="46"/>
      <c r="E61" s="46"/>
      <c r="F61" s="46"/>
      <c r="G61" s="46"/>
      <c r="H61" s="52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x14ac:dyDescent="0.3">
      <c r="A62" s="19" t="s">
        <v>8</v>
      </c>
      <c r="B62" s="41" t="s">
        <v>42</v>
      </c>
      <c r="D62" s="89">
        <f>D18</f>
        <v>6812</v>
      </c>
      <c r="E62" s="53">
        <f>IF(AND($B$14&lt;$F$2,$E$14&lt;$F$2),C6,IF($B$14&lt;$F$2,I6,F6))</f>
        <v>0.48621866666666663</v>
      </c>
      <c r="F62" s="53">
        <f>IF(AND($B$14&lt;$F$2,$E$14&lt;$F$2),D6,IF($B$14&lt;$F$2,J6,G6))</f>
        <v>0.32847799999999999</v>
      </c>
      <c r="G62" s="53">
        <f>E62+F62</f>
        <v>0.81469666666666662</v>
      </c>
      <c r="H62" s="54">
        <f>ROUND((D62*E62),2)+ROUND((D62*F62),2)</f>
        <v>5549.71</v>
      </c>
      <c r="I62"/>
      <c r="J62" s="26" t="s">
        <v>283</v>
      </c>
      <c r="K62"/>
      <c r="L62"/>
      <c r="M62" s="90"/>
      <c r="N62"/>
      <c r="O62"/>
      <c r="P62"/>
      <c r="Q62"/>
      <c r="R62"/>
      <c r="S62"/>
      <c r="T62"/>
      <c r="U62"/>
      <c r="V62"/>
    </row>
    <row r="63" spans="1:22" x14ac:dyDescent="0.3">
      <c r="B63" s="41" t="s">
        <v>69</v>
      </c>
      <c r="D63" s="89">
        <f>D19</f>
        <v>472</v>
      </c>
      <c r="E63" s="53">
        <f>E62</f>
        <v>0.48621866666666663</v>
      </c>
      <c r="F63" s="53">
        <f t="shared" ref="F63:G63" si="19">F62</f>
        <v>0.32847799999999999</v>
      </c>
      <c r="G63" s="53">
        <f t="shared" si="19"/>
        <v>0.81469666666666662</v>
      </c>
      <c r="H63" s="54">
        <f>ROUND((D63*E63),2)+ROUND((D63*F63),2)</f>
        <v>384.53999999999996</v>
      </c>
      <c r="I63"/>
      <c r="J63" s="318">
        <f>IFERROR((((D66*F66)+(D71*F71))-(D71*F71*$H$57))/(D66+D71), 0)</f>
        <v>1.8117116968698513E-2</v>
      </c>
      <c r="K63"/>
      <c r="L63"/>
      <c r="M63" s="90"/>
      <c r="N63"/>
      <c r="O63"/>
      <c r="P63"/>
      <c r="Q63"/>
      <c r="R63"/>
      <c r="S63"/>
      <c r="T63"/>
      <c r="U63"/>
      <c r="V63"/>
    </row>
    <row r="64" spans="1:22" x14ac:dyDescent="0.3">
      <c r="B64" s="41" t="s">
        <v>70</v>
      </c>
      <c r="D64" s="93"/>
      <c r="E64" s="53"/>
      <c r="F64" s="53"/>
      <c r="G64" s="53"/>
      <c r="H64" s="54">
        <f>-H63*$H$57</f>
        <v>-230.72399999999996</v>
      </c>
      <c r="I64"/>
      <c r="J64" s="318">
        <f t="shared" ref="J64:J66" si="20">IFERROR((((D67*F67)+(D72*F72))-(D72*F72*$H$57))/(D67+D72), 0)</f>
        <v>0</v>
      </c>
      <c r="K64"/>
      <c r="L64"/>
      <c r="M64" s="90"/>
      <c r="N64"/>
      <c r="O64"/>
      <c r="P64"/>
      <c r="Q64"/>
      <c r="R64"/>
      <c r="S64"/>
      <c r="T64"/>
      <c r="U64"/>
      <c r="V64"/>
    </row>
    <row r="65" spans="2:22" x14ac:dyDescent="0.3">
      <c r="B65" s="41"/>
      <c r="D65" s="55"/>
      <c r="E65" s="56"/>
      <c r="F65" s="57"/>
      <c r="G65" s="57"/>
      <c r="H65" s="54"/>
      <c r="I65"/>
      <c r="J65" s="318">
        <f t="shared" si="20"/>
        <v>0</v>
      </c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3">
      <c r="B66" s="41" t="s">
        <v>43</v>
      </c>
      <c r="D66" s="58">
        <f>IF($K$12=M4,(D62*(K14)/(K14+L14)),0)+IF($L$12=M4,(D62*(L14)/(K14+L14)),0)</f>
        <v>6812</v>
      </c>
      <c r="F66" s="59">
        <f>N4</f>
        <v>1.8849999999999999E-2</v>
      </c>
      <c r="G66" s="59"/>
      <c r="H66" s="54">
        <f>ROUND(D66*(E66+F66),2)</f>
        <v>128.41</v>
      </c>
      <c r="I66"/>
      <c r="J66" s="318">
        <f t="shared" si="20"/>
        <v>0</v>
      </c>
      <c r="K66"/>
      <c r="L66"/>
      <c r="M66"/>
      <c r="N66"/>
      <c r="O66"/>
      <c r="P66"/>
      <c r="Q66"/>
      <c r="R66"/>
      <c r="S66"/>
      <c r="T66"/>
      <c r="U66"/>
      <c r="V66"/>
    </row>
    <row r="67" spans="2:22" x14ac:dyDescent="0.3">
      <c r="B67" s="41" t="s">
        <v>44</v>
      </c>
      <c r="D67" s="58">
        <f>IF($K$12=M5,(D62*(K14)/(K14+L14)),0)+IF($L$12=M5,(D62*(L14)/(K14+L14)),0)</f>
        <v>0</v>
      </c>
      <c r="F67" s="59">
        <f>N5</f>
        <v>4.4630000000000003E-2</v>
      </c>
      <c r="G67" s="59"/>
      <c r="H67" s="54">
        <f>ROUND(D67*(E67+F67),2)</f>
        <v>0</v>
      </c>
      <c r="I67"/>
      <c r="J67"/>
      <c r="K67"/>
      <c r="L67" s="98"/>
      <c r="M67"/>
      <c r="N67"/>
      <c r="O67"/>
      <c r="P67"/>
      <c r="Q67"/>
      <c r="R67"/>
      <c r="S67"/>
      <c r="T67"/>
      <c r="U67"/>
      <c r="V67"/>
    </row>
    <row r="68" spans="2:22" x14ac:dyDescent="0.3">
      <c r="B68" s="41" t="s">
        <v>45</v>
      </c>
      <c r="D68" s="58">
        <f>IF($K$12=M6,(D62*(K14)/(K14+L14)),0)+IF($L$12=M6,(D62*(L14)/(K14+L14)),0)</f>
        <v>0</v>
      </c>
      <c r="F68" s="59">
        <f>N6</f>
        <v>7.8770000000000007E-2</v>
      </c>
      <c r="G68" s="59"/>
      <c r="H68" s="54">
        <f>ROUND(D68*(E68+F68),2)</f>
        <v>0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2:22" x14ac:dyDescent="0.3">
      <c r="B69" s="41" t="s">
        <v>46</v>
      </c>
      <c r="D69" s="58">
        <f>IF($K$12=M8,(D62*(K14)/(K14+L14)),0)+IF($L$12=M8,(D62*(L14)/(K14+L14)),0)</f>
        <v>0</v>
      </c>
      <c r="F69" s="59">
        <f>N8</f>
        <v>0.14199999999999999</v>
      </c>
      <c r="G69" s="59"/>
      <c r="H69" s="54">
        <f>ROUND(D69*(E69+F69),2)</f>
        <v>0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2:22" x14ac:dyDescent="0.3">
      <c r="B70" s="41"/>
      <c r="D70" s="60"/>
      <c r="H70" s="54"/>
      <c r="I70" s="1"/>
      <c r="J70" s="1"/>
      <c r="K70" s="90"/>
      <c r="L70" s="1"/>
      <c r="M70" s="1"/>
      <c r="N70" s="1"/>
      <c r="O70" s="1"/>
      <c r="P70" s="1"/>
      <c r="S70"/>
    </row>
    <row r="71" spans="2:22" x14ac:dyDescent="0.3">
      <c r="B71" s="41" t="s">
        <v>71</v>
      </c>
      <c r="D71" s="58">
        <f>IF($K$12=M4,((D63)*(K14)/(K14+L14)),0)+IF($L$12=M4,((D63)*(L14)/(K14+L14)),0)</f>
        <v>472</v>
      </c>
      <c r="F71" s="59">
        <f>F66</f>
        <v>1.8849999999999999E-2</v>
      </c>
      <c r="G71" s="59"/>
      <c r="H71" s="54">
        <f>ROUND(D71*(E71+F71),2)</f>
        <v>8.9</v>
      </c>
      <c r="I71" s="1"/>
      <c r="J71" s="1"/>
      <c r="K71" s="90"/>
      <c r="L71" s="1"/>
      <c r="M71" s="1"/>
      <c r="N71" s="1"/>
      <c r="O71" s="1"/>
      <c r="P71" s="1"/>
    </row>
    <row r="72" spans="2:22" x14ac:dyDescent="0.3">
      <c r="B72" s="41" t="s">
        <v>72</v>
      </c>
      <c r="D72" s="58">
        <f>IF($K$12=M5,((D63)*(K14)/(K14+L14)),0)+IF($L$12=M5,((D63)*(L14)/(K14+L14)),0)</f>
        <v>0</v>
      </c>
      <c r="F72" s="59">
        <f>F67</f>
        <v>4.4630000000000003E-2</v>
      </c>
      <c r="G72" s="59"/>
      <c r="H72" s="54">
        <f>ROUND(D72*(E72+F72),2)</f>
        <v>0</v>
      </c>
      <c r="I72" s="1"/>
      <c r="J72" s="1"/>
      <c r="K72" s="90"/>
      <c r="L72" s="1"/>
      <c r="M72" s="1"/>
      <c r="N72" s="1"/>
      <c r="O72" s="1"/>
      <c r="P72" s="1"/>
    </row>
    <row r="73" spans="2:22" x14ac:dyDescent="0.3">
      <c r="B73" s="41" t="s">
        <v>73</v>
      </c>
      <c r="D73" s="58">
        <f>IF($K$12=M6,((D63)*(K14)/(K14+L14)),0)+IF($L$12=M6,((D63)*(L14)/(K14+L14)),0)</f>
        <v>0</v>
      </c>
      <c r="F73" s="59">
        <f>F68</f>
        <v>7.8770000000000007E-2</v>
      </c>
      <c r="G73" s="59"/>
      <c r="H73" s="54">
        <f>ROUND(D73*(E73+F73),2)</f>
        <v>0</v>
      </c>
      <c r="I73" s="1"/>
      <c r="J73" s="116"/>
      <c r="K73" s="90"/>
      <c r="L73" s="1"/>
      <c r="M73" s="1"/>
      <c r="N73" s="1"/>
      <c r="O73" s="1"/>
      <c r="P73" s="1"/>
    </row>
    <row r="74" spans="2:22" x14ac:dyDescent="0.3">
      <c r="B74" s="41" t="s">
        <v>74</v>
      </c>
      <c r="D74" s="58">
        <f>IF($K$12=M8,((D63)*(K14)/(K14+L14)),0)+IF($L$12=M8,((D63)*(L14)/(K14+L14)),0)</f>
        <v>0</v>
      </c>
      <c r="F74" s="59">
        <f>F69</f>
        <v>0.14199999999999999</v>
      </c>
      <c r="G74" s="59"/>
      <c r="H74" s="54">
        <f>ROUND(D74*(E74+F74),2)</f>
        <v>0</v>
      </c>
      <c r="I74" s="1"/>
      <c r="J74" s="1"/>
      <c r="K74" s="90"/>
      <c r="L74" s="1"/>
      <c r="M74" s="1"/>
      <c r="N74" s="1"/>
      <c r="O74" s="1"/>
      <c r="P74" s="1"/>
    </row>
    <row r="75" spans="2:22" x14ac:dyDescent="0.3">
      <c r="B75" s="41"/>
      <c r="D75" s="58"/>
      <c r="F75" s="59"/>
      <c r="G75" s="59"/>
      <c r="H75" s="54"/>
      <c r="I75" s="1"/>
      <c r="J75" s="1"/>
      <c r="K75" s="90"/>
      <c r="L75" s="1"/>
      <c r="M75" s="1"/>
      <c r="N75" s="1"/>
      <c r="O75" s="1"/>
      <c r="P75" s="1"/>
    </row>
    <row r="76" spans="2:22" x14ac:dyDescent="0.3">
      <c r="B76" s="41" t="s">
        <v>75</v>
      </c>
      <c r="D76" s="58"/>
      <c r="F76" s="59"/>
      <c r="G76" s="59"/>
      <c r="H76" s="54">
        <f>-H71*$H$57</f>
        <v>-5.34</v>
      </c>
      <c r="I76" s="1"/>
      <c r="J76" s="1"/>
      <c r="K76" s="90"/>
      <c r="L76" s="1"/>
      <c r="M76" s="1"/>
      <c r="N76" s="1"/>
      <c r="O76" s="1"/>
      <c r="P76" s="1"/>
    </row>
    <row r="77" spans="2:22" x14ac:dyDescent="0.3">
      <c r="B77" s="41" t="s">
        <v>76</v>
      </c>
      <c r="D77" s="58"/>
      <c r="F77" s="59"/>
      <c r="G77" s="59"/>
      <c r="H77" s="54">
        <f t="shared" ref="H77:H79" si="21">-H72*$H$57</f>
        <v>0</v>
      </c>
      <c r="I77" s="1"/>
      <c r="J77" s="1"/>
      <c r="K77" s="90"/>
      <c r="L77" s="1"/>
      <c r="M77" s="1"/>
      <c r="N77" s="1"/>
      <c r="O77" s="1"/>
      <c r="P77" s="1"/>
    </row>
    <row r="78" spans="2:22" x14ac:dyDescent="0.3">
      <c r="B78" s="41" t="s">
        <v>77</v>
      </c>
      <c r="D78" s="58"/>
      <c r="F78" s="59"/>
      <c r="G78" s="59"/>
      <c r="H78" s="54">
        <f t="shared" si="21"/>
        <v>0</v>
      </c>
      <c r="I78" s="1"/>
      <c r="J78" s="1"/>
      <c r="K78" s="90"/>
      <c r="L78" s="1"/>
      <c r="M78" s="1"/>
      <c r="N78" s="1"/>
      <c r="O78" s="1"/>
      <c r="P78" s="1"/>
    </row>
    <row r="79" spans="2:22" x14ac:dyDescent="0.3">
      <c r="B79" s="41" t="s">
        <v>78</v>
      </c>
      <c r="D79" s="104"/>
      <c r="H79" s="54">
        <f t="shared" si="21"/>
        <v>0</v>
      </c>
      <c r="I79" s="1"/>
      <c r="J79" s="1"/>
      <c r="K79" s="90"/>
      <c r="L79" s="1"/>
      <c r="M79" s="1"/>
      <c r="N79" s="1"/>
      <c r="O79" s="1"/>
      <c r="P79" s="1"/>
    </row>
    <row r="80" spans="2:22" x14ac:dyDescent="0.3">
      <c r="B80" s="41"/>
      <c r="D80" s="60"/>
      <c r="H80" s="54"/>
      <c r="I80" s="1"/>
      <c r="J80" s="1"/>
      <c r="K80" s="90"/>
      <c r="L80" s="1"/>
      <c r="M80" s="1"/>
      <c r="N80" s="1"/>
      <c r="O80" s="1"/>
      <c r="P80" s="1"/>
    </row>
    <row r="81" spans="2:16" x14ac:dyDescent="0.3">
      <c r="B81" s="41" t="s">
        <v>47</v>
      </c>
      <c r="D81" s="164">
        <f>D28</f>
        <v>-1</v>
      </c>
      <c r="E81" s="27">
        <f>IF(AND($B$14&lt;$F$2,$E$14&lt;$F$2),C6*$F$55,IF($B$14&lt;$F$2,(((I6*F55)*C14)+((I6*F56)*D14))/(C14+D14),I6*$F$56))</f>
        <v>0.36231070165333334</v>
      </c>
      <c r="F81" s="53">
        <f>F62</f>
        <v>0.32847799999999999</v>
      </c>
      <c r="G81" s="53">
        <f>E81+F81</f>
        <v>0.69078870165333339</v>
      </c>
      <c r="H81" s="54">
        <f>ROUND((D81*E81),2)+ROUND((D81*F81),2)</f>
        <v>-0.69</v>
      </c>
      <c r="I81" s="1"/>
      <c r="K81" s="90"/>
      <c r="L81" s="1"/>
      <c r="M81" s="90"/>
      <c r="N81" s="1"/>
      <c r="O81" s="1"/>
      <c r="P81" s="1"/>
    </row>
    <row r="82" spans="2:16" x14ac:dyDescent="0.3">
      <c r="B82" s="41"/>
      <c r="H82" s="54"/>
    </row>
    <row r="83" spans="2:16" x14ac:dyDescent="0.3">
      <c r="B83" s="41" t="s">
        <v>79</v>
      </c>
      <c r="D83" s="164">
        <f>D27</f>
        <v>0</v>
      </c>
      <c r="E83" s="53">
        <f>IF(AND($B$14&lt;$F$2,$E$14&lt;$F$2),C6*$F$55,IF($B$14&lt;$F$2,(((C6*F55)*C14)+((F6*F56)*D14))/(C14+D14),F6*$F$56))</f>
        <v>0.36243452586666663</v>
      </c>
      <c r="F83" s="53">
        <f>F81</f>
        <v>0.32847799999999999</v>
      </c>
      <c r="G83" s="53">
        <f>G81</f>
        <v>0.69078870165333339</v>
      </c>
      <c r="H83" s="54">
        <f>ROUND((D83*E83),2)+ROUND((D83*F83),2)</f>
        <v>0</v>
      </c>
      <c r="I83" s="1"/>
      <c r="J83" s="26" t="s">
        <v>283</v>
      </c>
      <c r="K83" s="90"/>
      <c r="L83" s="1"/>
      <c r="M83" s="90"/>
      <c r="N83" s="1"/>
      <c r="O83" s="1"/>
      <c r="P83" s="1"/>
    </row>
    <row r="84" spans="2:16" x14ac:dyDescent="0.3">
      <c r="B84" s="41" t="s">
        <v>80</v>
      </c>
      <c r="D84" s="93"/>
      <c r="E84" s="53"/>
      <c r="F84" s="53"/>
      <c r="G84" s="53"/>
      <c r="H84" s="54">
        <f>-H83*$H$57</f>
        <v>0</v>
      </c>
      <c r="I84" s="1"/>
      <c r="J84" s="318">
        <f>IFERROR((((D86*F86)+(D91*F91))-(D91*F91*$H$57))/(D86+D91), 0)</f>
        <v>1.8849999999999999E-2</v>
      </c>
      <c r="K84" s="90"/>
      <c r="L84" s="1"/>
      <c r="M84" s="90"/>
      <c r="N84" s="1"/>
      <c r="O84" s="1"/>
      <c r="P84" s="1"/>
    </row>
    <row r="85" spans="2:16" x14ac:dyDescent="0.3">
      <c r="B85" s="41"/>
      <c r="D85" s="55"/>
      <c r="E85" s="56"/>
      <c r="F85" s="57"/>
      <c r="G85" s="57"/>
      <c r="H85" s="54"/>
      <c r="I85" s="1"/>
      <c r="J85" s="318">
        <f>IFERROR((((D87*F87)+(D92*F92))-(D92*F92*$H$57))/(D87+D92), 0)</f>
        <v>0</v>
      </c>
      <c r="K85" s="90"/>
      <c r="L85" s="1"/>
      <c r="M85" s="1"/>
      <c r="N85" s="1"/>
      <c r="O85" s="1"/>
      <c r="P85" s="1"/>
    </row>
    <row r="86" spans="2:16" x14ac:dyDescent="0.3">
      <c r="B86" s="41" t="s">
        <v>81</v>
      </c>
      <c r="D86" s="58">
        <f>IF($K$12=M4,(D81*(K14)/(K14+L14)),0)+IF($L$12=M4,(D81*(L14)/(K14+L14)),0)</f>
        <v>-1</v>
      </c>
      <c r="F86" s="59">
        <f>F66</f>
        <v>1.8849999999999999E-2</v>
      </c>
      <c r="G86" s="59"/>
      <c r="H86" s="54">
        <f>ROUND(D86*(E86+F86),2)</f>
        <v>-0.02</v>
      </c>
      <c r="I86" s="1"/>
      <c r="J86" s="318">
        <f>IFERROR((((D88*F88)+(D93*F93))-(D93*F93*$H$57))/(D88+D93), 0)</f>
        <v>0</v>
      </c>
      <c r="K86" s="1"/>
      <c r="L86" s="1"/>
      <c r="M86" s="1"/>
      <c r="N86" s="1"/>
      <c r="O86" s="1"/>
      <c r="P86" s="1"/>
    </row>
    <row r="87" spans="2:16" x14ac:dyDescent="0.3">
      <c r="B87" s="41" t="s">
        <v>82</v>
      </c>
      <c r="D87" s="58">
        <f>IF($K$12=M5,(D81*(K14)/(K14+L14)),0)+IF($L$12=M5,(D81*(L14)/(K14+L14)),0)</f>
        <v>0</v>
      </c>
      <c r="F87" s="59">
        <f>F67</f>
        <v>4.4630000000000003E-2</v>
      </c>
      <c r="G87" s="59"/>
      <c r="H87" s="54">
        <f>ROUND(D87*(E87+F87),2)</f>
        <v>0</v>
      </c>
      <c r="I87" s="1"/>
      <c r="J87" s="318">
        <f>IFERROR((((D89*F89)+(D94*F94))-(D94*F94*$H$57))/(D89+D94), 0)</f>
        <v>0</v>
      </c>
      <c r="K87" s="1"/>
      <c r="L87" s="1"/>
      <c r="M87" s="1"/>
      <c r="N87" s="1"/>
      <c r="O87" s="1"/>
      <c r="P87" s="1"/>
    </row>
    <row r="88" spans="2:16" x14ac:dyDescent="0.3">
      <c r="B88" s="41" t="s">
        <v>83</v>
      </c>
      <c r="D88" s="58">
        <f>IF($K$12=M6,(D81*(K14)/(K14+L14)),0)+IF($L$12=M6,(D81*(L14)/(K14+L14)),0)</f>
        <v>0</v>
      </c>
      <c r="F88" s="59">
        <f>F68</f>
        <v>7.8770000000000007E-2</v>
      </c>
      <c r="G88" s="59"/>
      <c r="H88" s="54">
        <f>ROUND(D88*(E88+F88),2)</f>
        <v>0</v>
      </c>
      <c r="I88" s="1"/>
      <c r="J88" s="1"/>
      <c r="K88" s="1"/>
      <c r="L88" s="1"/>
      <c r="M88" s="1"/>
      <c r="N88" s="1"/>
      <c r="O88" s="1"/>
      <c r="P88" s="1"/>
    </row>
    <row r="89" spans="2:16" x14ac:dyDescent="0.3">
      <c r="B89" s="41" t="s">
        <v>46</v>
      </c>
      <c r="D89" s="58">
        <f>IF($K$12=M8,(D81*(K14)/(K14+L14)),0)+IF($L$12=M8,(D81*(L14)/(K14+L14)),0)</f>
        <v>0</v>
      </c>
      <c r="F89" s="59">
        <f>F69</f>
        <v>0.14199999999999999</v>
      </c>
      <c r="G89" s="59"/>
      <c r="H89" s="54">
        <f>ROUND(D89*(E89+F89),2)</f>
        <v>0</v>
      </c>
      <c r="J89" s="1"/>
      <c r="K89" s="1"/>
      <c r="L89" s="1"/>
      <c r="M89" s="1"/>
      <c r="N89" s="1"/>
      <c r="O89" s="1"/>
      <c r="P89" s="1"/>
    </row>
    <row r="90" spans="2:16" x14ac:dyDescent="0.3">
      <c r="B90" s="41"/>
      <c r="D90" s="58"/>
      <c r="F90" s="59"/>
      <c r="G90" s="59"/>
      <c r="H90" s="54"/>
      <c r="J90" s="1"/>
      <c r="K90" s="1"/>
      <c r="L90" s="1"/>
      <c r="M90" s="1"/>
      <c r="N90" s="1"/>
      <c r="O90" s="1"/>
      <c r="P90" s="1"/>
    </row>
    <row r="91" spans="2:16" x14ac:dyDescent="0.3">
      <c r="B91" s="41" t="s">
        <v>84</v>
      </c>
      <c r="D91" s="58">
        <f>IF($K$12=M4,((D83)*(K14)/(K14+L14)),0)+IF($L$12=M4,((D83)*(L14)/(K14+L14)),0)</f>
        <v>0</v>
      </c>
      <c r="F91" s="59">
        <f>F86</f>
        <v>1.8849999999999999E-2</v>
      </c>
      <c r="G91" s="59"/>
      <c r="H91" s="54">
        <f>ROUND(D91*(E91+F91),2)</f>
        <v>0</v>
      </c>
      <c r="I91" s="1"/>
      <c r="J91" s="1"/>
      <c r="K91" s="90"/>
      <c r="L91" s="1"/>
      <c r="M91" s="1"/>
      <c r="N91" s="1"/>
      <c r="O91" s="1"/>
      <c r="P91" s="1"/>
    </row>
    <row r="92" spans="2:16" x14ac:dyDescent="0.3">
      <c r="B92" s="41" t="s">
        <v>85</v>
      </c>
      <c r="D92" s="58">
        <f>IF($K$12=M5,((D83)*(K14)/(K14+L14)),0)+IF($L$12=M5,((D83)*(L14)/(K14+L14)),0)</f>
        <v>0</v>
      </c>
      <c r="F92" s="59">
        <f>F87</f>
        <v>4.4630000000000003E-2</v>
      </c>
      <c r="G92" s="59"/>
      <c r="H92" s="54">
        <f>ROUND(D92*(E92+F92),2)</f>
        <v>0</v>
      </c>
      <c r="I92" s="1"/>
      <c r="J92" s="1"/>
      <c r="K92" s="90"/>
      <c r="L92" s="1"/>
      <c r="M92" s="1"/>
      <c r="N92" s="1"/>
      <c r="O92" s="1"/>
      <c r="P92" s="1"/>
    </row>
    <row r="93" spans="2:16" x14ac:dyDescent="0.3">
      <c r="B93" s="41" t="s">
        <v>86</v>
      </c>
      <c r="D93" s="58">
        <f>IF($K$12=M6,((D83)*(K14)/(K14+L14)),0)+IF($L$12=M6,((D83)*(L14)/(K14+L14)),0)</f>
        <v>0</v>
      </c>
      <c r="F93" s="59">
        <f>F88</f>
        <v>7.8770000000000007E-2</v>
      </c>
      <c r="G93" s="59"/>
      <c r="H93" s="54">
        <f>ROUND(D93*(E93+F93),2)</f>
        <v>0</v>
      </c>
      <c r="I93" s="1"/>
      <c r="J93" s="1"/>
      <c r="K93" s="90"/>
      <c r="L93" s="1"/>
      <c r="M93" s="1"/>
      <c r="N93" s="1"/>
      <c r="O93" s="1"/>
      <c r="P93" s="1"/>
    </row>
    <row r="94" spans="2:16" x14ac:dyDescent="0.3">
      <c r="B94" s="41" t="s">
        <v>74</v>
      </c>
      <c r="D94" s="58">
        <f>IF($K$12=M8,((D83)*(K14)/(K14+L14)),0)+IF($L$12=M8,((D83)*(L14)/(K14+L14)),0)</f>
        <v>0</v>
      </c>
      <c r="F94" s="59">
        <f>F89</f>
        <v>0.14199999999999999</v>
      </c>
      <c r="G94" s="59"/>
      <c r="H94" s="54">
        <f>ROUND(D94*(E94+F94),2)</f>
        <v>0</v>
      </c>
      <c r="I94" s="1"/>
      <c r="J94" s="1"/>
      <c r="K94" s="90"/>
      <c r="L94" s="1"/>
      <c r="M94" s="1"/>
      <c r="N94" s="1"/>
      <c r="O94" s="1"/>
      <c r="P94" s="1"/>
    </row>
    <row r="95" spans="2:16" x14ac:dyDescent="0.3">
      <c r="B95" s="41"/>
      <c r="D95" s="58"/>
      <c r="F95" s="59"/>
      <c r="G95" s="59"/>
      <c r="H95" s="54"/>
      <c r="I95" s="1"/>
      <c r="J95" s="1"/>
      <c r="K95" s="90"/>
      <c r="L95" s="1"/>
      <c r="M95" s="1"/>
      <c r="N95" s="1"/>
      <c r="O95" s="1"/>
      <c r="P95" s="1"/>
    </row>
    <row r="96" spans="2:16" x14ac:dyDescent="0.3">
      <c r="B96" s="41" t="s">
        <v>87</v>
      </c>
      <c r="D96" s="58"/>
      <c r="F96" s="59"/>
      <c r="G96" s="59"/>
      <c r="H96" s="54">
        <f>-H91*$H$57</f>
        <v>0</v>
      </c>
      <c r="I96" s="1"/>
      <c r="J96" s="1"/>
      <c r="K96" s="90"/>
      <c r="L96" s="1"/>
      <c r="M96" s="1"/>
      <c r="N96" s="1"/>
      <c r="O96" s="1"/>
      <c r="P96" s="1"/>
    </row>
    <row r="97" spans="2:16" x14ac:dyDescent="0.3">
      <c r="B97" s="41" t="s">
        <v>88</v>
      </c>
      <c r="D97" s="58"/>
      <c r="F97" s="59"/>
      <c r="G97" s="59"/>
      <c r="H97" s="54">
        <f t="shared" ref="H97:H99" si="22">-H92*$H$57</f>
        <v>0</v>
      </c>
      <c r="I97" s="1"/>
      <c r="J97" s="1"/>
      <c r="K97" s="90"/>
      <c r="L97" s="1"/>
      <c r="M97" s="1"/>
      <c r="N97" s="1"/>
      <c r="O97" s="1"/>
      <c r="P97" s="1"/>
    </row>
    <row r="98" spans="2:16" x14ac:dyDescent="0.3">
      <c r="B98" s="41" t="s">
        <v>89</v>
      </c>
      <c r="D98" s="58"/>
      <c r="F98" s="59"/>
      <c r="G98" s="59"/>
      <c r="H98" s="54">
        <f t="shared" si="22"/>
        <v>0</v>
      </c>
      <c r="I98" s="1"/>
      <c r="J98" s="1"/>
      <c r="K98" s="90"/>
      <c r="L98" s="1"/>
      <c r="M98" s="1"/>
      <c r="N98" s="1"/>
      <c r="O98" s="1"/>
      <c r="P98" s="1"/>
    </row>
    <row r="99" spans="2:16" x14ac:dyDescent="0.3">
      <c r="B99" s="41" t="s">
        <v>78</v>
      </c>
      <c r="D99" s="104"/>
      <c r="H99" s="54">
        <f t="shared" si="22"/>
        <v>0</v>
      </c>
      <c r="I99" s="1"/>
      <c r="J99" s="1"/>
      <c r="K99" s="90"/>
      <c r="L99" s="1"/>
      <c r="M99" s="1"/>
      <c r="N99" s="1"/>
      <c r="O99" s="1"/>
      <c r="P99" s="1"/>
    </row>
    <row r="100" spans="2:16" x14ac:dyDescent="0.3">
      <c r="B100" s="41"/>
      <c r="D100" s="58"/>
      <c r="F100" s="59"/>
      <c r="G100" s="59"/>
      <c r="H100" s="54"/>
      <c r="J100" s="1"/>
      <c r="K100" s="1"/>
      <c r="L100" s="1"/>
      <c r="M100" s="1"/>
      <c r="N100" s="1"/>
      <c r="O100" s="1"/>
      <c r="P100" s="1"/>
    </row>
    <row r="101" spans="2:16" x14ac:dyDescent="0.3">
      <c r="B101" s="119"/>
      <c r="C101" s="120"/>
      <c r="D101" s="121"/>
      <c r="E101" s="122"/>
      <c r="F101" s="122"/>
      <c r="G101" s="122"/>
      <c r="H101" s="124"/>
      <c r="I101" s="1"/>
      <c r="J101" s="1"/>
      <c r="K101" s="1"/>
      <c r="L101" s="1"/>
      <c r="M101" s="1"/>
      <c r="N101" s="1"/>
      <c r="O101" s="1"/>
      <c r="P101" s="1"/>
    </row>
    <row r="102" spans="2:16" x14ac:dyDescent="0.3">
      <c r="B102" s="119"/>
      <c r="C102" s="120"/>
      <c r="D102" s="121"/>
      <c r="E102" s="122"/>
      <c r="F102" s="122"/>
      <c r="G102" s="122"/>
      <c r="H102" s="124"/>
      <c r="I102" s="1"/>
      <c r="J102" s="1"/>
      <c r="K102" s="1"/>
      <c r="L102" s="1"/>
      <c r="M102" s="1"/>
      <c r="N102" s="1"/>
      <c r="O102" s="1"/>
      <c r="P102" s="1"/>
    </row>
    <row r="103" spans="2:16" x14ac:dyDescent="0.3">
      <c r="B103" s="119"/>
      <c r="C103" s="120"/>
      <c r="D103" s="121"/>
      <c r="E103" s="122"/>
      <c r="F103" s="122"/>
      <c r="G103" s="122"/>
      <c r="H103" s="124"/>
      <c r="I103" s="1"/>
      <c r="J103" s="1"/>
      <c r="K103" s="1"/>
      <c r="L103" s="1"/>
      <c r="M103" s="1"/>
      <c r="N103" s="1"/>
      <c r="O103" s="1"/>
      <c r="P103" s="1"/>
    </row>
    <row r="104" spans="2:16" x14ac:dyDescent="0.3">
      <c r="B104" s="119"/>
      <c r="C104" s="120"/>
      <c r="D104" s="125"/>
      <c r="E104" s="120"/>
      <c r="F104" s="120"/>
      <c r="G104" s="126"/>
      <c r="H104" s="124"/>
      <c r="I104" s="1"/>
      <c r="J104" s="1"/>
      <c r="K104" s="1"/>
      <c r="L104" s="1"/>
      <c r="M104" s="1"/>
      <c r="N104" s="1"/>
      <c r="O104" s="1"/>
      <c r="P104" s="1"/>
    </row>
    <row r="105" spans="2:16" x14ac:dyDescent="0.3">
      <c r="B105" s="119"/>
      <c r="C105" s="120"/>
      <c r="D105" s="121"/>
      <c r="E105" s="122"/>
      <c r="F105" s="122"/>
      <c r="G105" s="122"/>
      <c r="H105" s="124"/>
      <c r="I105" s="97">
        <f>H101+H105</f>
        <v>0</v>
      </c>
      <c r="J105" s="1"/>
      <c r="K105" s="1"/>
      <c r="L105" s="1"/>
      <c r="M105" s="1"/>
      <c r="N105" s="1"/>
      <c r="O105" s="1"/>
      <c r="P105" s="1"/>
    </row>
    <row r="106" spans="2:16" x14ac:dyDescent="0.3">
      <c r="B106" s="119"/>
      <c r="C106" s="120"/>
      <c r="D106" s="121"/>
      <c r="E106" s="122"/>
      <c r="F106" s="122"/>
      <c r="G106" s="122"/>
      <c r="H106" s="124"/>
      <c r="I106" s="97"/>
      <c r="J106" s="1"/>
      <c r="K106" s="1"/>
      <c r="L106" s="1"/>
      <c r="M106" s="1"/>
      <c r="N106" s="1"/>
      <c r="O106" s="1"/>
      <c r="P106" s="1"/>
    </row>
    <row r="107" spans="2:16" x14ac:dyDescent="0.3">
      <c r="B107" s="119"/>
      <c r="C107" s="120"/>
      <c r="D107" s="121"/>
      <c r="E107" s="122"/>
      <c r="F107" s="122"/>
      <c r="G107" s="122"/>
      <c r="H107" s="124"/>
      <c r="I107" s="97"/>
      <c r="J107" s="1"/>
      <c r="K107" s="1"/>
      <c r="L107" s="1"/>
      <c r="M107" s="1"/>
      <c r="N107" s="1"/>
      <c r="O107" s="1"/>
      <c r="P107" s="1"/>
    </row>
    <row r="108" spans="2:16" x14ac:dyDescent="0.3">
      <c r="B108" s="61"/>
      <c r="C108" s="24"/>
      <c r="D108" s="24"/>
      <c r="E108" s="24"/>
      <c r="F108" s="24"/>
      <c r="G108" s="24"/>
      <c r="H108" s="62"/>
      <c r="I108"/>
      <c r="J108" s="1"/>
      <c r="K108" s="1"/>
      <c r="L108" s="1"/>
      <c r="M108" s="1"/>
      <c r="N108" s="1"/>
      <c r="O108" s="1"/>
      <c r="P108" s="1"/>
    </row>
    <row r="109" spans="2:16" x14ac:dyDescent="0.3">
      <c r="B109" s="34"/>
      <c r="C109" s="35"/>
      <c r="D109" s="35"/>
      <c r="E109" s="35"/>
      <c r="F109" s="35"/>
      <c r="G109" s="35"/>
      <c r="H109" s="96">
        <f>SUM(H62:H108)</f>
        <v>5834.7859999999991</v>
      </c>
      <c r="I109" s="1"/>
      <c r="L109" s="1"/>
      <c r="M109" s="1"/>
      <c r="N109" s="1"/>
      <c r="O109" s="1"/>
      <c r="P109" s="1"/>
    </row>
    <row r="110" spans="2:16" x14ac:dyDescent="0.3">
      <c r="B110" s="95"/>
      <c r="C110" s="1"/>
      <c r="D110" s="1"/>
      <c r="E110" s="1"/>
      <c r="F110" s="1"/>
      <c r="G110" s="1"/>
      <c r="H110" s="43"/>
      <c r="I110" s="1"/>
      <c r="L110" s="1"/>
      <c r="M110" s="1"/>
      <c r="N110" s="1"/>
      <c r="O110" s="1"/>
      <c r="P110" s="1"/>
    </row>
    <row r="111" spans="2:16" x14ac:dyDescent="0.3">
      <c r="B111" s="41"/>
      <c r="D111" s="63" t="s">
        <v>48</v>
      </c>
      <c r="E111" s="64"/>
      <c r="F111" s="64"/>
      <c r="G111" s="64"/>
      <c r="H111" s="65"/>
      <c r="I111" s="66"/>
      <c r="K111" s="67"/>
      <c r="L111" s="1"/>
      <c r="M111" s="1"/>
      <c r="N111" s="1"/>
      <c r="O111" s="1"/>
      <c r="P111" s="1"/>
    </row>
    <row r="112" spans="2:16" x14ac:dyDescent="0.3">
      <c r="B112" s="41" t="s">
        <v>49</v>
      </c>
      <c r="D112" s="68">
        <f>SUM(H62:H64,H66:H69,H71:H74,H76:H79)/(1-E112-E114)</f>
        <v>6219.2219972290304</v>
      </c>
      <c r="E112" s="69">
        <f>N18</f>
        <v>1.0999999999999999E-2</v>
      </c>
      <c r="H112" s="70">
        <f>D112*E112</f>
        <v>68.411441969519331</v>
      </c>
      <c r="I112" s="67"/>
      <c r="L112" s="1"/>
      <c r="M112" s="1"/>
      <c r="N112" s="1"/>
      <c r="O112" s="1"/>
      <c r="P112" s="1"/>
    </row>
    <row r="113" spans="1:19" x14ac:dyDescent="0.3">
      <c r="B113" s="41" t="s">
        <v>50</v>
      </c>
      <c r="D113" s="68">
        <f>SUM(H81:H84,H86:H89,H91:H94,H96:H99,H101:H103,H105:H107)/(1-E112-E114)</f>
        <v>-0.75668762655866983</v>
      </c>
      <c r="E113" s="71">
        <f>E112</f>
        <v>1.0999999999999999E-2</v>
      </c>
      <c r="H113" s="70">
        <f t="shared" ref="H113:H115" si="23">D113*E113</f>
        <v>-8.3235638921453671E-3</v>
      </c>
      <c r="I113" s="67"/>
      <c r="L113" s="1"/>
      <c r="M113" s="1"/>
      <c r="N113" s="1"/>
      <c r="O113" s="1"/>
      <c r="P113" s="1"/>
    </row>
    <row r="114" spans="1:19" x14ac:dyDescent="0.3">
      <c r="B114" s="41" t="s">
        <v>51</v>
      </c>
      <c r="D114" s="68">
        <f>D112</f>
        <v>6219.2219972290304</v>
      </c>
      <c r="E114" s="69">
        <f>N20</f>
        <v>5.0700000000000002E-2</v>
      </c>
      <c r="H114" s="70">
        <f t="shared" si="23"/>
        <v>315.31455525951185</v>
      </c>
      <c r="I114" s="67"/>
      <c r="L114" s="1"/>
      <c r="M114" s="1"/>
      <c r="N114" s="1"/>
      <c r="O114" s="1"/>
      <c r="P114" s="1"/>
    </row>
    <row r="115" spans="1:19" x14ac:dyDescent="0.3">
      <c r="B115" s="41" t="s">
        <v>52</v>
      </c>
      <c r="D115" s="68">
        <f>D113</f>
        <v>-0.75668762655866983</v>
      </c>
      <c r="E115" s="71">
        <f>E114</f>
        <v>5.0700000000000002E-2</v>
      </c>
      <c r="H115" s="70">
        <f t="shared" si="23"/>
        <v>-3.8364062666524562E-2</v>
      </c>
      <c r="I115" s="67"/>
      <c r="L115" s="1"/>
      <c r="M115" s="1"/>
      <c r="N115" s="1"/>
      <c r="O115" s="1"/>
      <c r="P115" s="1"/>
    </row>
    <row r="116" spans="1:19" x14ac:dyDescent="0.3">
      <c r="B116" s="41" t="s">
        <v>11</v>
      </c>
      <c r="D116" s="72">
        <f>D112/(1-E116)</f>
        <v>7067.2977241238978</v>
      </c>
      <c r="E116" s="73">
        <f>I18</f>
        <v>0.12</v>
      </c>
      <c r="H116" s="70">
        <f>D116*E116</f>
        <v>848.07572689486767</v>
      </c>
      <c r="I116" s="67"/>
      <c r="L116" s="1"/>
      <c r="M116" s="1"/>
      <c r="N116" s="1"/>
      <c r="O116" s="1"/>
      <c r="P116" s="1"/>
    </row>
    <row r="117" spans="1:19" x14ac:dyDescent="0.3">
      <c r="B117" s="74" t="s">
        <v>53</v>
      </c>
      <c r="C117" s="75"/>
      <c r="D117" s="76">
        <f>((D81*F81)+(H86+H87+H88+H89)+(D83*F83)+(D83*F83*-H57)+(H91+H92+H93+H94+H96+H97+H98+H99)+(D101*F101)+(D102*F102)+(D102*F102*-H57)+(D106*F106)+(D106*F106*-H57)+(D105*F105))/(1-E113-E115)/(1-E117)</f>
        <v>-0.42203743714454572</v>
      </c>
      <c r="E117" s="77">
        <f>E116</f>
        <v>0.12</v>
      </c>
      <c r="F117" s="75"/>
      <c r="G117" s="75"/>
      <c r="H117" s="78">
        <f>D117*E117</f>
        <v>-5.0644492457345487E-2</v>
      </c>
      <c r="L117" s="1"/>
      <c r="M117" s="1"/>
      <c r="N117" s="1"/>
      <c r="O117" s="1"/>
      <c r="P117" s="1"/>
    </row>
    <row r="118" spans="1:19" x14ac:dyDescent="0.3">
      <c r="L118" s="1"/>
      <c r="M118" s="1"/>
      <c r="N118" s="1"/>
      <c r="O118" s="1"/>
      <c r="P118" s="1"/>
    </row>
    <row r="119" spans="1:19" x14ac:dyDescent="0.3">
      <c r="H119" s="67"/>
      <c r="L119" s="1"/>
      <c r="M119" s="1"/>
      <c r="N119" s="1"/>
      <c r="O119" s="1"/>
      <c r="P119" s="1"/>
    </row>
    <row r="120" spans="1:19" x14ac:dyDescent="0.3">
      <c r="B120" s="19" t="s">
        <v>90</v>
      </c>
      <c r="M120" s="24"/>
    </row>
    <row r="121" spans="1:19" x14ac:dyDescent="0.3">
      <c r="B121" s="118" t="s">
        <v>134</v>
      </c>
      <c r="C121" s="105"/>
      <c r="D121" s="106" t="s">
        <v>91</v>
      </c>
      <c r="F121" s="106"/>
    </row>
    <row r="122" spans="1:19" x14ac:dyDescent="0.3">
      <c r="B122" s="107" t="s">
        <v>92</v>
      </c>
      <c r="C122" s="108">
        <f>E112</f>
        <v>1.0999999999999999E-2</v>
      </c>
      <c r="D122" s="109">
        <f>SUM(H62:H79)/(1-C122-C123)</f>
        <v>6219.2219972290304</v>
      </c>
      <c r="E122" s="2" t="s">
        <v>93</v>
      </c>
      <c r="F122" s="108">
        <f>C122</f>
        <v>1.0999999999999999E-2</v>
      </c>
      <c r="G122" s="110">
        <f>D122*F122</f>
        <v>68.411441969519331</v>
      </c>
    </row>
    <row r="123" spans="1:19" x14ac:dyDescent="0.3">
      <c r="B123" s="107" t="s">
        <v>51</v>
      </c>
      <c r="C123" s="108">
        <f>E114</f>
        <v>5.0700000000000002E-2</v>
      </c>
      <c r="D123" s="109">
        <f>D122</f>
        <v>6219.2219972290304</v>
      </c>
      <c r="E123" s="2" t="s">
        <v>93</v>
      </c>
      <c r="F123" s="108">
        <f>C123</f>
        <v>5.0700000000000002E-2</v>
      </c>
      <c r="G123" s="110">
        <f>D123*F123</f>
        <v>315.31455525951185</v>
      </c>
    </row>
    <row r="124" spans="1:19" x14ac:dyDescent="0.3">
      <c r="A124" s="111" t="s">
        <v>94</v>
      </c>
      <c r="B124" s="107" t="s">
        <v>11</v>
      </c>
      <c r="C124" s="112">
        <v>0.04</v>
      </c>
      <c r="D124" s="113">
        <f>H124/F124*C124</f>
        <v>2159.4520823711914</v>
      </c>
      <c r="E124" s="2" t="s">
        <v>93</v>
      </c>
      <c r="F124" s="114">
        <v>0.12</v>
      </c>
      <c r="G124" s="110">
        <f>D124*F124</f>
        <v>259.13424988454295</v>
      </c>
      <c r="H124" s="110">
        <f>((SUM(H62:H79))/(1-F122-F123)/(1-(C124)))</f>
        <v>6478.3562471135738</v>
      </c>
      <c r="I124" s="115">
        <f>H124*C124</f>
        <v>259.13424988454295</v>
      </c>
    </row>
    <row r="125" spans="1:19" x14ac:dyDescent="0.3">
      <c r="B125" s="105"/>
      <c r="C125" s="105"/>
      <c r="D125" s="105"/>
      <c r="E125" s="110">
        <f>(O114)/(1-C122-C123-C124)</f>
        <v>0</v>
      </c>
      <c r="F125" s="116"/>
      <c r="G125" s="116"/>
      <c r="H125" s="105"/>
      <c r="I125" s="105"/>
      <c r="J125" s="117"/>
      <c r="K125" s="117"/>
      <c r="L125" s="117"/>
      <c r="M125" s="106"/>
      <c r="N125" s="106"/>
      <c r="O125" s="118"/>
    </row>
    <row r="126" spans="1:19" customFormat="1" x14ac:dyDescent="0.3">
      <c r="S126" s="19"/>
    </row>
    <row r="127" spans="1:19" x14ac:dyDescent="0.3">
      <c r="B127" s="118" t="s">
        <v>95</v>
      </c>
      <c r="C127" s="105"/>
      <c r="D127" s="106" t="s">
        <v>91</v>
      </c>
      <c r="F127" s="106"/>
      <c r="S127"/>
    </row>
    <row r="128" spans="1:19" x14ac:dyDescent="0.3">
      <c r="B128" s="107" t="s">
        <v>92</v>
      </c>
      <c r="C128" s="108">
        <f>C122</f>
        <v>1.0999999999999999E-2</v>
      </c>
      <c r="D128" s="109">
        <f>SUM(H81:H107)/(1-C128-C129)</f>
        <v>-0.75668762655866983</v>
      </c>
      <c r="E128" s="2" t="s">
        <v>93</v>
      </c>
      <c r="F128" s="108">
        <f>C128</f>
        <v>1.0999999999999999E-2</v>
      </c>
      <c r="G128" s="110">
        <f>D128*F128</f>
        <v>-8.3235638921453671E-3</v>
      </c>
    </row>
    <row r="129" spans="1:9" x14ac:dyDescent="0.3">
      <c r="B129" s="107" t="s">
        <v>51</v>
      </c>
      <c r="C129" s="108">
        <f>C123</f>
        <v>5.0700000000000002E-2</v>
      </c>
      <c r="D129" s="109">
        <f>D128</f>
        <v>-0.75668762655866983</v>
      </c>
      <c r="E129" s="2" t="s">
        <v>93</v>
      </c>
      <c r="F129" s="108">
        <f>C129</f>
        <v>5.0700000000000002E-2</v>
      </c>
      <c r="G129" s="110">
        <f>D129*F129</f>
        <v>-3.8364062666524562E-2</v>
      </c>
    </row>
    <row r="130" spans="1:9" x14ac:dyDescent="0.3">
      <c r="A130" s="111" t="s">
        <v>94</v>
      </c>
      <c r="B130" s="107" t="s">
        <v>11</v>
      </c>
      <c r="C130" s="112">
        <v>0.04</v>
      </c>
      <c r="D130" s="113">
        <f>H130/F130*C130</f>
        <v>-0.12895588357194457</v>
      </c>
      <c r="E130" s="2" t="s">
        <v>93</v>
      </c>
      <c r="F130" s="114">
        <v>0.12</v>
      </c>
      <c r="G130" s="110">
        <f>D130*F130</f>
        <v>-1.5474706028633347E-2</v>
      </c>
      <c r="H130" s="110">
        <f>((D81*F81)+(H86+H87+H88+H89)+(D83*F83)+(D83*F83*-H57)+(H91+H92+H93+H94+H96+H97+H98+H99)+(D101*F101)+(D102*F102)+(D102*F102*-H57)+(D106*F106)+(D106*F106*-H57)+(D105*F105))/(1-F128-F129)/(1-C130)</f>
        <v>-0.38686765071583362</v>
      </c>
      <c r="I130" s="115">
        <f>H130*C130</f>
        <v>-1.5474706028633345E-2</v>
      </c>
    </row>
  </sheetData>
  <mergeCells count="12">
    <mergeCell ref="U4:W4"/>
    <mergeCell ref="X4:Z4"/>
    <mergeCell ref="K11:L11"/>
    <mergeCell ref="B58:H58"/>
    <mergeCell ref="B4:B5"/>
    <mergeCell ref="C4:E4"/>
    <mergeCell ref="F4:H4"/>
    <mergeCell ref="I4:K4"/>
    <mergeCell ref="Q4:Q5"/>
    <mergeCell ref="R4:T4"/>
    <mergeCell ref="P16:S16"/>
    <mergeCell ref="G52:H52"/>
  </mergeCells>
  <conditionalFormatting sqref="K12:L12">
    <cfRule type="cellIs" dxfId="125" priority="1" operator="equal">
      <formula>"Escassez Hídrica"</formula>
    </cfRule>
    <cfRule type="cellIs" dxfId="124" priority="2" operator="equal">
      <formula>"VERDE"</formula>
    </cfRule>
    <cfRule type="cellIs" dxfId="123" priority="3" operator="equal">
      <formula>"BVM2"</formula>
    </cfRule>
    <cfRule type="cellIs" dxfId="122" priority="4" operator="equal">
      <formula>"BVM1"</formula>
    </cfRule>
    <cfRule type="cellIs" dxfId="121" priority="5" operator="equal">
      <formula>"BAM"</formula>
    </cfRule>
  </conditionalFormatting>
  <conditionalFormatting sqref="M3">
    <cfRule type="cellIs" dxfId="120" priority="16" operator="equal">
      <formula>"VERDE"</formula>
    </cfRule>
    <cfRule type="cellIs" dxfId="119" priority="17" operator="equal">
      <formula>"BVM2"</formula>
    </cfRule>
    <cfRule type="cellIs" dxfId="118" priority="18" operator="equal">
      <formula>"BVM1"</formula>
    </cfRule>
    <cfRule type="cellIs" dxfId="117" priority="19" operator="equal">
      <formula>"BAM"</formula>
    </cfRule>
  </conditionalFormatting>
  <conditionalFormatting sqref="M8">
    <cfRule type="containsText" dxfId="116" priority="7" operator="containsText" text="Escassez Hídrica">
      <formula>NOT(ISERROR(SEARCH("Escassez Hídrica",M8)))</formula>
    </cfRule>
    <cfRule type="cellIs" dxfId="115" priority="8" operator="equal">
      <formula>"VERDE"</formula>
    </cfRule>
    <cfRule type="cellIs" dxfId="114" priority="9" operator="equal">
      <formula>"BVM2"</formula>
    </cfRule>
    <cfRule type="cellIs" dxfId="113" priority="10" operator="equal">
      <formula>"BVM1"</formula>
    </cfRule>
    <cfRule type="cellIs" dxfId="112" priority="11" operator="equal">
      <formula>"BAM"</formula>
    </cfRule>
  </conditionalFormatting>
  <dataValidations disablePrompts="1" count="1">
    <dataValidation type="list" allowBlank="1" showInputMessage="1" showErrorMessage="1" sqref="K12:L12" xr:uid="{0995F4EC-E9D5-49D6-A6EC-AD66E8D84964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E113 E116 N20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2956-D72E-4419-B2F1-4D9CDA8BB23F}">
  <dimension ref="A1:Z130"/>
  <sheetViews>
    <sheetView showGridLines="0" topLeftCell="A22" zoomScale="80" zoomScaleNormal="80" workbookViewId="0">
      <selection activeCell="L50" sqref="L50"/>
    </sheetView>
  </sheetViews>
  <sheetFormatPr defaultColWidth="9.109375" defaultRowHeight="14.4" x14ac:dyDescent="0.3"/>
  <cols>
    <col min="1" max="1" width="5.44140625" style="19" customWidth="1"/>
    <col min="2" max="2" width="32.33203125" style="19" customWidth="1"/>
    <col min="3" max="3" width="20.5546875" style="19" customWidth="1"/>
    <col min="4" max="4" width="12.6640625" style="19" customWidth="1"/>
    <col min="5" max="6" width="15.33203125" style="19" customWidth="1"/>
    <col min="7" max="10" width="12.6640625" style="19" customWidth="1"/>
    <col min="11" max="12" width="13.88671875" style="19" customWidth="1"/>
    <col min="13" max="16" width="12.6640625" style="19" customWidth="1"/>
    <col min="17" max="17" width="14.109375" style="19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0" style="19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67</v>
      </c>
      <c r="E2" s="20" t="s">
        <v>28</v>
      </c>
      <c r="F2" s="21">
        <f>'Fatura B1 (GD II) OK'!F2</f>
        <v>46241</v>
      </c>
      <c r="G2" s="329" t="s">
        <v>290</v>
      </c>
      <c r="H2" s="330">
        <v>45658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13" t="s">
        <v>31</v>
      </c>
      <c r="C4" s="418" t="str">
        <f>'Fatura B1 (GD II) OK'!C4:E4</f>
        <v>TARIFA ANTIGA - REH 3370/2024</v>
      </c>
      <c r="D4" s="418"/>
      <c r="E4" s="418"/>
      <c r="F4" s="418" t="str">
        <f>'Fatura B1 (GD II) OK'!F4:H4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'[1]Fatura B1 (Res) OK'!$N$4</f>
        <v>1.8849999999999999E-2</v>
      </c>
      <c r="Q4" s="413" t="s">
        <v>31</v>
      </c>
      <c r="R4" s="405" t="str">
        <f>C4</f>
        <v>TARIFA ANTIGA - REH 3370/2024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'[1]Fatura B1 (Res) OK'!$N$5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67</v>
      </c>
      <c r="C6" s="31">
        <f>'TABELA DE TARIFAS ANTIGAS'!G77/1000</f>
        <v>0.46862999999999999</v>
      </c>
      <c r="D6" s="31">
        <f>'TABELA DE TARIFAS ANTIGAS'!H77/1000</f>
        <v>0.32068000000000002</v>
      </c>
      <c r="E6" s="31">
        <f t="shared" ref="E6" si="0">C6+D6</f>
        <v>0.78930999999999996</v>
      </c>
      <c r="F6" s="31">
        <f>'TABELA DE TARIFAS NOVAS'!G79/1000</f>
        <v>0.50631999999999999</v>
      </c>
      <c r="G6" s="31">
        <f>'TABELA DE TARIFAS NOVAS'!H79/1000</f>
        <v>0.33738999999999997</v>
      </c>
      <c r="H6" s="31">
        <f t="shared" ref="H6:H7" si="1">F6+G6</f>
        <v>0.84370999999999996</v>
      </c>
      <c r="I6" s="31">
        <f t="shared" ref="I6:J6" si="2">((C6*$C$14)+(F6*$D$14))/($D$14+$C$14)</f>
        <v>0.47451906249999998</v>
      </c>
      <c r="J6" s="31">
        <f t="shared" si="2"/>
        <v>0.32329093749999999</v>
      </c>
      <c r="K6" s="32">
        <f t="shared" ref="K6:K7" si="3">I6+J6</f>
        <v>0.79780999999999991</v>
      </c>
      <c r="M6" s="13" t="s">
        <v>16</v>
      </c>
      <c r="N6" s="14">
        <f>'[1]Fatura B1 (Res) OK'!$N$6</f>
        <v>7.8770000000000007E-2</v>
      </c>
      <c r="P6" s="33"/>
      <c r="Q6" s="30" t="str">
        <f>B6</f>
        <v>B2</v>
      </c>
      <c r="R6" s="31">
        <f>'FIO B'!H20/1000</f>
        <v>0.20383072193179136</v>
      </c>
      <c r="S6"/>
      <c r="T6"/>
      <c r="U6" s="31">
        <f>'FIO B'!K20/1000</f>
        <v>0.20915159219558199</v>
      </c>
      <c r="V6"/>
      <c r="W6"/>
      <c r="X6" s="31">
        <f>((R6*$C$14)+(U6*$D$14))/($D$14+$C$14)</f>
        <v>0.20466210791050865</v>
      </c>
      <c r="Y6"/>
      <c r="Z6"/>
    </row>
    <row r="7" spans="1:26" x14ac:dyDescent="0.3">
      <c r="B7" s="243" t="s">
        <v>200</v>
      </c>
      <c r="C7" s="278">
        <v>1.8774721494831901E-4</v>
      </c>
      <c r="D7" s="277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si="1"/>
        <v>-3.4764051714327999E-4</v>
      </c>
      <c r="I7" s="31">
        <f>((C7*$C$14)+(F7*$D$14))/($D$14+$C$14)</f>
        <v>1.8719128004533714E-4</v>
      </c>
      <c r="J7" s="31">
        <f>((D7*$C$14)+(G7*$D$14))/($D$14+$C$14)</f>
        <v>-3.7982399613330636E-3</v>
      </c>
      <c r="K7" s="32">
        <f t="shared" si="3"/>
        <v>-3.6110486812877263E-3</v>
      </c>
      <c r="M7" s="227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7.9075781249999984E-3</v>
      </c>
      <c r="K8" s="84"/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5" t="s">
        <v>198</v>
      </c>
      <c r="Q10" s="236"/>
      <c r="R10" s="237"/>
      <c r="S10" s="237"/>
      <c r="T10" s="238"/>
      <c r="U10" s="277">
        <v>0</v>
      </c>
      <c r="V10"/>
      <c r="W10"/>
      <c r="X10"/>
      <c r="Y10"/>
      <c r="Z10"/>
    </row>
    <row r="11" spans="1:26" x14ac:dyDescent="0.3">
      <c r="B11" s="38" t="s">
        <v>38</v>
      </c>
      <c r="C11" s="403">
        <v>838840</v>
      </c>
      <c r="E11" s="1"/>
      <c r="F11" s="1"/>
      <c r="G11" s="1"/>
      <c r="H11" s="40">
        <f>E14</f>
        <v>46245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'Fatura B1 (GD II) OK'!T11</f>
        <v>1.84189231569235E-4</v>
      </c>
      <c r="U11" s="277">
        <f>'Fatura B1 (GD II) OK'!U11</f>
        <v>-5.3182974871251499E-4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tr">
        <f>'Fatura B1 (GD II) OK'!K12</f>
        <v>BAM</v>
      </c>
      <c r="L12" s="7" t="str">
        <f>'Fatura B1 (GD II) OK'!L12</f>
        <v>BAM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46213</v>
      </c>
      <c r="C14" s="18">
        <f>IF((F2-B14-1)&lt;0,0,(F2-B14-1))</f>
        <v>27</v>
      </c>
      <c r="D14" s="18">
        <f>E14-F2+1</f>
        <v>5</v>
      </c>
      <c r="E14" s="17">
        <v>46245</v>
      </c>
      <c r="F14" s="44"/>
      <c r="G14" s="44"/>
      <c r="H14" s="45"/>
      <c r="J14" s="22">
        <f>B14</f>
        <v>46213</v>
      </c>
      <c r="K14" s="23">
        <f>IF((M10-J14-1)&lt;0,0,(M10-J14-1))</f>
        <v>21</v>
      </c>
      <c r="L14" s="23">
        <f>M14-M10+1</f>
        <v>11</v>
      </c>
      <c r="M14" s="22">
        <f>E14</f>
        <v>46245</v>
      </c>
      <c r="O14" s="315" t="s">
        <v>278</v>
      </c>
      <c r="P14" s="316"/>
      <c r="Q14" s="317">
        <v>1025310494</v>
      </c>
    </row>
    <row r="15" spans="1:26" x14ac:dyDescent="0.3">
      <c r="N15" s="102" t="s">
        <v>68</v>
      </c>
      <c r="O15" s="103">
        <v>0.6</v>
      </c>
    </row>
    <row r="16" spans="1:26" ht="42" customHeight="1" x14ac:dyDescent="0.3">
      <c r="B16" s="288" t="s">
        <v>245</v>
      </c>
      <c r="C16" s="288" t="s">
        <v>246</v>
      </c>
      <c r="D16" s="288" t="s">
        <v>247</v>
      </c>
      <c r="E16" s="289" t="s">
        <v>248</v>
      </c>
      <c r="F16" s="289" t="s">
        <v>249</v>
      </c>
      <c r="G16" s="289" t="s">
        <v>250</v>
      </c>
      <c r="H16" s="289" t="s">
        <v>251</v>
      </c>
      <c r="I16" s="289" t="s">
        <v>252</v>
      </c>
      <c r="J16" s="289" t="s">
        <v>253</v>
      </c>
      <c r="K16" s="290" t="s">
        <v>254</v>
      </c>
      <c r="L16" s="288" t="s">
        <v>255</v>
      </c>
      <c r="M16" s="289" t="s">
        <v>256</v>
      </c>
      <c r="N16" s="289" t="s">
        <v>257</v>
      </c>
      <c r="O16" s="289" t="s">
        <v>258</v>
      </c>
      <c r="P16" s="409" t="s">
        <v>379</v>
      </c>
      <c r="Q16" s="410"/>
      <c r="R16" s="410"/>
      <c r="S16" s="410"/>
    </row>
    <row r="17" spans="2:19" x14ac:dyDescent="0.3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3"/>
      <c r="N17" s="293"/>
      <c r="O17" s="293"/>
      <c r="R17" s="26" t="s">
        <v>105</v>
      </c>
      <c r="S17" s="26" t="s">
        <v>106</v>
      </c>
    </row>
    <row r="18" spans="2:19" x14ac:dyDescent="0.3">
      <c r="B18" s="319" t="s">
        <v>291</v>
      </c>
      <c r="C18" s="320" t="s">
        <v>2</v>
      </c>
      <c r="D18" s="295">
        <v>4480</v>
      </c>
      <c r="E18" s="321">
        <f>IFERROR((ROUND(D18*K18,2)+ROUND(G18,2)+ROUND(J18,2))/ROUND(D18,4), 0)</f>
        <v>0.60930580357142861</v>
      </c>
      <c r="F18" s="322">
        <f>ROUND(D18*E18,2)</f>
        <v>2729.69</v>
      </c>
      <c r="G18" s="322">
        <f t="shared" ref="G18:G25" si="4">((D18*K18)/(1-$N$18-$N$20))*($N$18+$N$20)</f>
        <v>139.78968472769901</v>
      </c>
      <c r="H18" s="323">
        <f t="shared" ref="H18:H25" si="5">(IF($I$18=12%,(D18*K18)/(1-$N$18-$N$20)/(1-$C$124)/$F$124*$C$124,(D18*K18)/(1-$N$18-$N$20)/(1-$I$18)))</f>
        <v>2729.6808249731307</v>
      </c>
      <c r="I18" s="333">
        <v>0.17</v>
      </c>
      <c r="J18" s="323">
        <f>(H18*$I$18)</f>
        <v>464.04574024543223</v>
      </c>
      <c r="K18" s="321">
        <f>IF(AND($B$14&lt;$F$2,$E$14&lt;$F$2),C6,IF($B$14&lt;$F$2,I6,F6))</f>
        <v>0.47451906249999998</v>
      </c>
      <c r="L18" s="47" t="s">
        <v>92</v>
      </c>
      <c r="M18" s="297">
        <f>D112</f>
        <v>4957.5785995950118</v>
      </c>
      <c r="N18" s="300">
        <f>'Fatura B1 (GD II) OK'!N18</f>
        <v>1.0999999999999999E-2</v>
      </c>
      <c r="O18" s="301">
        <f t="shared" ref="O18" si="6">ROUND(M18*N18,2)</f>
        <v>54.53</v>
      </c>
      <c r="R18" s="258">
        <f>IF(AND($B$14&lt;$F$2,$E$14&lt;$F$2),R6,IF($B$14&lt;$F$2,X6,U6))</f>
        <v>0.20466210791050865</v>
      </c>
      <c r="S18" s="137">
        <f>D18*R18</f>
        <v>916.88624343907873</v>
      </c>
    </row>
    <row r="19" spans="2:19" x14ac:dyDescent="0.3">
      <c r="B19" s="319" t="s">
        <v>279</v>
      </c>
      <c r="C19" s="320" t="s">
        <v>2</v>
      </c>
      <c r="D19" s="295">
        <v>3040</v>
      </c>
      <c r="E19" s="321">
        <f>IFERROR((ROUND(D19*K19,2)+ROUND(G19,2)+ROUND(J19,2))/ROUND(D19,4), 0)</f>
        <v>0.24372368421052634</v>
      </c>
      <c r="F19" s="322">
        <f>ROUND(D19*E19,2)</f>
        <v>740.92</v>
      </c>
      <c r="G19" s="322">
        <f t="shared" si="4"/>
        <v>37.942914426089736</v>
      </c>
      <c r="H19" s="323">
        <f t="shared" si="5"/>
        <v>740.91336677842139</v>
      </c>
      <c r="I19" s="299">
        <f>I18</f>
        <v>0.17</v>
      </c>
      <c r="J19" s="323">
        <f t="shared" ref="J19:J25" si="7">(H19*$I$18)</f>
        <v>125.95527235233165</v>
      </c>
      <c r="K19" s="321">
        <f>(K18+(K18*(-$H$57)))</f>
        <v>0.18980762499999998</v>
      </c>
      <c r="L19" s="47" t="s">
        <v>261</v>
      </c>
      <c r="M19" s="297">
        <f>D113</f>
        <v>-3135.095385271235</v>
      </c>
      <c r="N19" s="300">
        <f>N18</f>
        <v>1.0999999999999999E-2</v>
      </c>
      <c r="O19" s="301">
        <f>ROUND(M19*N19,2)</f>
        <v>-34.49</v>
      </c>
      <c r="R19" s="258">
        <f>IF(AND($B$14&lt;$F$2,$E$14&lt;$F$2),R6,IF($B$14&lt;$F$2,X6,U6))</f>
        <v>0.20466210791050865</v>
      </c>
      <c r="S19" s="137">
        <f>D19*R19</f>
        <v>622.17280804794632</v>
      </c>
    </row>
    <row r="20" spans="2:19" x14ac:dyDescent="0.3">
      <c r="B20" s="319" t="s">
        <v>260</v>
      </c>
      <c r="C20" s="320" t="s">
        <v>2</v>
      </c>
      <c r="D20" s="324">
        <f>D18</f>
        <v>4480</v>
      </c>
      <c r="E20" s="321">
        <f>IFERROR((ROUND(D20*K20,2)+ROUND(G20,2)+ROUND(J20,2))/ROUND(D20,4), 0)</f>
        <v>0.4151205357142857</v>
      </c>
      <c r="F20" s="322">
        <f>ROUND(D20*E20,2)</f>
        <v>1859.74</v>
      </c>
      <c r="G20" s="322">
        <f t="shared" si="4"/>
        <v>95.239036321006083</v>
      </c>
      <c r="H20" s="323">
        <f t="shared" si="5"/>
        <v>1859.7378750855496</v>
      </c>
      <c r="I20" s="404"/>
      <c r="J20" s="323">
        <f t="shared" si="7"/>
        <v>316.15543876454348</v>
      </c>
      <c r="K20" s="321">
        <f>IF(AND($B$14&lt;$F$2,$E$14&lt;$F$2),D6,IF($B$14&lt;$F$2,J6,G6))</f>
        <v>0.32329093749999999</v>
      </c>
      <c r="L20" s="47" t="s">
        <v>51</v>
      </c>
      <c r="M20" s="297">
        <f>M18</f>
        <v>4957.5785995950118</v>
      </c>
      <c r="N20" s="300">
        <f>'Fatura B1 (GD II) OK'!N20</f>
        <v>5.0700000000000002E-2</v>
      </c>
      <c r="O20" s="301">
        <f>ROUND(M20*N20,2)</f>
        <v>251.35</v>
      </c>
      <c r="S20" s="137">
        <f>-S19*60%</f>
        <v>-373.30368482876776</v>
      </c>
    </row>
    <row r="21" spans="2:19" x14ac:dyDescent="0.3">
      <c r="B21" s="319" t="s">
        <v>280</v>
      </c>
      <c r="C21" s="320" t="s">
        <v>2</v>
      </c>
      <c r="D21" s="324">
        <f>D19</f>
        <v>3040</v>
      </c>
      <c r="E21" s="321">
        <f>IFERROR((ROUND(D21*K21,2)+ROUND(G21,2)+ROUND(J21,2))/ROUND(D21,4), 0)</f>
        <v>0.16604605263157896</v>
      </c>
      <c r="F21" s="322">
        <f>ROUND(D21*E21,2)</f>
        <v>504.78</v>
      </c>
      <c r="G21" s="322">
        <f t="shared" si="4"/>
        <v>25.850596572354259</v>
      </c>
      <c r="H21" s="323">
        <f t="shared" si="5"/>
        <v>504.78601418355936</v>
      </c>
      <c r="I21" s="319"/>
      <c r="J21" s="323">
        <f t="shared" si="7"/>
        <v>85.813622411205102</v>
      </c>
      <c r="K21" s="321">
        <f>ROUND(K20+(K20*(-$H$57)),8)</f>
        <v>0.12931638000000001</v>
      </c>
      <c r="L21" s="47" t="s">
        <v>263</v>
      </c>
      <c r="M21" s="297">
        <f>M19</f>
        <v>-3135.095385271235</v>
      </c>
      <c r="N21" s="300">
        <f>N20</f>
        <v>5.0700000000000002E-2</v>
      </c>
      <c r="O21" s="301">
        <f>ROUND(M21*N21,2)</f>
        <v>-158.94999999999999</v>
      </c>
      <c r="S21" s="391">
        <f>SUM(S18:S20)</f>
        <v>1165.7553666582573</v>
      </c>
    </row>
    <row r="22" spans="2:19" x14ac:dyDescent="0.3">
      <c r="B22" s="319" t="s">
        <v>43</v>
      </c>
      <c r="C22" s="320" t="s">
        <v>2</v>
      </c>
      <c r="D22" s="324">
        <f>IF($K$12=M4,(($D$18+$D$19)*($K$14)/($K$14+$L$14)),0)+IF($L$12=M4,(($D$18+$D$19)*($L$14)/($K$14+$L$14)),0)</f>
        <v>7520</v>
      </c>
      <c r="E22" s="321">
        <f>IFERROR((ROUND(D22*K22,2)+ROUND(G22,2)+ROUND(J22,2))/ROUND(D22,4), 0)</f>
        <v>1.8333776595744682E-2</v>
      </c>
      <c r="F22" s="322">
        <f>ROUND(D22*E22,2)</f>
        <v>137.87</v>
      </c>
      <c r="G22" s="322">
        <f t="shared" si="4"/>
        <v>7.0603264627517852</v>
      </c>
      <c r="H22" s="323">
        <f t="shared" si="5"/>
        <v>137.86738128042384</v>
      </c>
      <c r="I22" s="319"/>
      <c r="J22" s="323">
        <f t="shared" si="7"/>
        <v>23.437454817672055</v>
      </c>
      <c r="K22" s="321">
        <f>J63</f>
        <v>1.427787234042553E-2</v>
      </c>
      <c r="L22" s="47"/>
      <c r="M22" s="297"/>
      <c r="N22" s="297"/>
      <c r="O22" s="297"/>
      <c r="Q22" s="403">
        <v>838840</v>
      </c>
      <c r="R22" s="19" t="s">
        <v>382</v>
      </c>
    </row>
    <row r="23" spans="2:19" x14ac:dyDescent="0.3">
      <c r="B23" s="319" t="s">
        <v>262</v>
      </c>
      <c r="C23" s="320" t="s">
        <v>2</v>
      </c>
      <c r="D23" s="324">
        <f>IF($K$12=M5,(($D$18+$D$19)*($K$14)/($K$14+$L$14)),0)+IF($L$12=M5,(($D$18+$D$19)*($L$14)/($K$14+$L$14)),0)</f>
        <v>0</v>
      </c>
      <c r="E23" s="321">
        <f t="shared" ref="E23:E25" si="8">IFERROR((ROUND(D23*K23,2)+ROUND(G23,2)+ROUND(J23,2))/ROUND(D23,4), 0)</f>
        <v>0</v>
      </c>
      <c r="F23" s="322">
        <f t="shared" ref="F23:F25" si="9">ROUND(D23*E23,2)</f>
        <v>0</v>
      </c>
      <c r="G23" s="322">
        <f t="shared" si="4"/>
        <v>0</v>
      </c>
      <c r="H23" s="323">
        <f t="shared" si="5"/>
        <v>0</v>
      </c>
      <c r="I23" s="319"/>
      <c r="J23" s="323">
        <f t="shared" si="7"/>
        <v>0</v>
      </c>
      <c r="K23" s="321">
        <f t="shared" ref="K23:K25" si="10">J64</f>
        <v>0</v>
      </c>
      <c r="L23" s="47"/>
      <c r="M23" s="297"/>
      <c r="N23" s="297"/>
      <c r="O23" s="297"/>
    </row>
    <row r="24" spans="2:19" x14ac:dyDescent="0.3">
      <c r="B24" s="319" t="s">
        <v>276</v>
      </c>
      <c r="C24" s="320" t="s">
        <v>2</v>
      </c>
      <c r="D24" s="324">
        <f>IF($K$12=M6,(($D$18+$D$19)*($K$14)/($K$14+$L$14)),0)+IF($L$12=M6,(($D$18+$D$19)*($L$14)/($K$14+$L$14)),0)</f>
        <v>0</v>
      </c>
      <c r="E24" s="321">
        <f t="shared" si="8"/>
        <v>0</v>
      </c>
      <c r="F24" s="322">
        <f t="shared" si="9"/>
        <v>0</v>
      </c>
      <c r="G24" s="322">
        <f t="shared" si="4"/>
        <v>0</v>
      </c>
      <c r="H24" s="323">
        <f t="shared" si="5"/>
        <v>0</v>
      </c>
      <c r="I24" s="319"/>
      <c r="J24" s="323">
        <f t="shared" si="7"/>
        <v>0</v>
      </c>
      <c r="K24" s="321">
        <f t="shared" si="10"/>
        <v>0</v>
      </c>
      <c r="L24" s="47"/>
      <c r="M24" s="297"/>
      <c r="N24" s="297"/>
      <c r="O24" s="297"/>
    </row>
    <row r="25" spans="2:19" x14ac:dyDescent="0.3">
      <c r="B25" s="319" t="s">
        <v>277</v>
      </c>
      <c r="C25" s="320" t="s">
        <v>2</v>
      </c>
      <c r="D25" s="324">
        <f>IF($K$12=M7,(($D$18+$D$19)*($K$14)/($K$14+$L$14)),0)+IF($L$12=M7,(($D$18+$D$19)*($L$14)/($K$14+$L$14)),0)</f>
        <v>0</v>
      </c>
      <c r="E25" s="321">
        <f t="shared" si="8"/>
        <v>0</v>
      </c>
      <c r="F25" s="322">
        <f t="shared" si="9"/>
        <v>0</v>
      </c>
      <c r="G25" s="322">
        <f t="shared" si="4"/>
        <v>0</v>
      </c>
      <c r="H25" s="323">
        <f t="shared" si="5"/>
        <v>0</v>
      </c>
      <c r="I25" s="319"/>
      <c r="J25" s="323">
        <f t="shared" si="7"/>
        <v>0</v>
      </c>
      <c r="K25" s="321">
        <f t="shared" si="10"/>
        <v>0</v>
      </c>
      <c r="L25" s="47"/>
      <c r="M25" s="297"/>
      <c r="N25" s="297"/>
      <c r="O25" s="297"/>
      <c r="P25" s="390"/>
    </row>
    <row r="26" spans="2:19" x14ac:dyDescent="0.3">
      <c r="B26" s="319"/>
      <c r="C26" s="320"/>
      <c r="D26" s="324"/>
      <c r="E26" s="321"/>
      <c r="F26" s="322"/>
      <c r="G26" s="322"/>
      <c r="H26" s="323"/>
      <c r="I26" s="293"/>
      <c r="J26" s="298"/>
      <c r="K26" s="296"/>
      <c r="L26" s="47"/>
      <c r="M26" s="297"/>
      <c r="N26" s="297"/>
      <c r="O26" s="297"/>
      <c r="P26" s="390"/>
    </row>
    <row r="27" spans="2:19" x14ac:dyDescent="0.3">
      <c r="B27" s="319" t="s">
        <v>281</v>
      </c>
      <c r="C27" s="320" t="s">
        <v>2</v>
      </c>
      <c r="D27" s="295">
        <v>0</v>
      </c>
      <c r="E27" s="321">
        <f>IFERROR((ROUND(D27*K27,2)+ROUND(G27,2)+ROUND(J27,2))/ROUND(D27,4), 0)</f>
        <v>0</v>
      </c>
      <c r="F27" s="319">
        <f>ROUND(D27*E27,2)</f>
        <v>0</v>
      </c>
      <c r="G27" s="322">
        <f t="shared" ref="G27:G34" si="11">((D27*K27)/(1-$N$19-$N$21))*($N$19+$N$21)</f>
        <v>0</v>
      </c>
      <c r="H27" s="323">
        <v>0</v>
      </c>
      <c r="I27" s="299">
        <v>0</v>
      </c>
      <c r="J27" s="293">
        <f>H27*$I$21</f>
        <v>0</v>
      </c>
      <c r="K27" s="296">
        <f>(K28+(K28*(-$H$57)))</f>
        <v>0.14065931310156252</v>
      </c>
      <c r="L27" s="47"/>
      <c r="M27" s="297"/>
      <c r="N27" s="297"/>
      <c r="O27" s="297"/>
    </row>
    <row r="28" spans="2:19" x14ac:dyDescent="0.3">
      <c r="B28" s="319" t="s">
        <v>266</v>
      </c>
      <c r="C28" s="320" t="s">
        <v>2</v>
      </c>
      <c r="D28" s="396">
        <v>-4240</v>
      </c>
      <c r="E28" s="321">
        <f t="shared" ref="E28:E30" si="12">IFERROR((ROUND(D28*K28,2)+ROUND(G28,2)+ROUND(J28,2))/ROUND(D28,4), 0)</f>
        <v>0.37477122641509436</v>
      </c>
      <c r="F28" s="319">
        <f>ROUND(D28*E28,2)</f>
        <v>-1589.03</v>
      </c>
      <c r="G28" s="322">
        <f t="shared" si="11"/>
        <v>-98.043273957885447</v>
      </c>
      <c r="H28" s="323">
        <v>0</v>
      </c>
      <c r="I28" s="299">
        <v>0</v>
      </c>
      <c r="J28" s="319">
        <f>H28*$I$21</f>
        <v>0</v>
      </c>
      <c r="K28" s="389">
        <f>E81</f>
        <v>0.35164828275390625</v>
      </c>
      <c r="L28" s="47"/>
      <c r="M28" s="297"/>
      <c r="N28" s="297"/>
      <c r="O28" s="297"/>
    </row>
    <row r="29" spans="2:19" x14ac:dyDescent="0.3">
      <c r="B29" s="319" t="s">
        <v>282</v>
      </c>
      <c r="C29" s="320" t="s">
        <v>2</v>
      </c>
      <c r="D29" s="324">
        <f>D27</f>
        <v>0</v>
      </c>
      <c r="E29" s="321">
        <f t="shared" si="12"/>
        <v>0</v>
      </c>
      <c r="F29" s="319">
        <f>ROUND(D29*E29,2)</f>
        <v>0</v>
      </c>
      <c r="G29" s="322">
        <f t="shared" si="11"/>
        <v>0</v>
      </c>
      <c r="H29" s="323">
        <f t="shared" ref="H29:H34" si="13">(IF($I$29=12%,(D29*K29)/(1-$N$19-$N$21)/(1-$C$130)/$F$130*$C$130,(D29*K29)/(1-$N$19-$N$21)/(1-$I$29)))</f>
        <v>0</v>
      </c>
      <c r="I29" s="299">
        <f>I18</f>
        <v>0.17</v>
      </c>
      <c r="J29" s="298">
        <f>H29*$I$29</f>
        <v>0</v>
      </c>
      <c r="K29" s="296">
        <f>K30+(K30*(-$H$57))</f>
        <v>0.12931637500000001</v>
      </c>
      <c r="L29" s="47"/>
      <c r="M29" s="297"/>
      <c r="N29" s="297"/>
      <c r="O29" s="297"/>
    </row>
    <row r="30" spans="2:19" x14ac:dyDescent="0.3">
      <c r="B30" s="319" t="s">
        <v>267</v>
      </c>
      <c r="C30" s="320" t="s">
        <v>2</v>
      </c>
      <c r="D30" s="324">
        <f>D28</f>
        <v>-4240</v>
      </c>
      <c r="E30" s="321">
        <f t="shared" si="12"/>
        <v>0.41512028301886794</v>
      </c>
      <c r="F30" s="332">
        <f>ROUND(D30*E30,2)</f>
        <v>-1760.11</v>
      </c>
      <c r="G30" s="322">
        <f t="shared" si="11"/>
        <v>-90.136945089523607</v>
      </c>
      <c r="H30" s="323">
        <f t="shared" si="13"/>
        <v>-1760.1090603488237</v>
      </c>
      <c r="I30" s="299">
        <f>I19</f>
        <v>0.17</v>
      </c>
      <c r="J30" s="323">
        <f t="shared" ref="J30:J34" si="14">H30*$I$29</f>
        <v>-299.21854025930003</v>
      </c>
      <c r="K30" s="321">
        <f>K20</f>
        <v>0.32329093749999999</v>
      </c>
      <c r="L30" s="47"/>
      <c r="M30" s="297"/>
      <c r="N30" s="297"/>
      <c r="O30" s="297"/>
    </row>
    <row r="31" spans="2:19" x14ac:dyDescent="0.3">
      <c r="B31" s="319" t="s">
        <v>268</v>
      </c>
      <c r="C31" s="320" t="s">
        <v>2</v>
      </c>
      <c r="D31" s="324">
        <f>IF($K$12=M4,(($D$27+$D$28)*($K$14)/($K$14+$L$14)),0)+IF($L$12=M4,(($D$27+$D$28)*($L$14)/($K$14+$L$14)),0)</f>
        <v>-4240</v>
      </c>
      <c r="E31" s="321">
        <f>IFERROR((ROUND(D31*K31,2)+ROUND(G31,2)+ROUND(J31,2))/ROUND(D31,4), 0)</f>
        <v>2.4205188679245284E-2</v>
      </c>
      <c r="F31" s="322">
        <f t="shared" ref="F31:F34" si="15">ROUND(D31*E31,2)</f>
        <v>-102.63</v>
      </c>
      <c r="G31" s="322">
        <f t="shared" si="11"/>
        <v>-5.255580091655121</v>
      </c>
      <c r="H31" s="323">
        <f t="shared" si="13"/>
        <v>-102.62600011042785</v>
      </c>
      <c r="I31" s="319"/>
      <c r="J31" s="323">
        <f t="shared" si="14"/>
        <v>-17.446420018772738</v>
      </c>
      <c r="K31" s="321">
        <f>J84</f>
        <v>1.8849999999999999E-2</v>
      </c>
      <c r="L31" s="268"/>
      <c r="M31" s="304"/>
      <c r="N31" s="304"/>
      <c r="O31" s="304"/>
      <c r="R31" s="303"/>
    </row>
    <row r="32" spans="2:19" x14ac:dyDescent="0.3">
      <c r="B32" s="319" t="s">
        <v>269</v>
      </c>
      <c r="C32" s="320" t="s">
        <v>2</v>
      </c>
      <c r="D32" s="324">
        <f>IF($K$12=M5,(($D$27+$D$28)*($K$14)/($K$14+$L$14)),0)+IF($L$12=M5,(($D$27+$D$28)*($L$14)/($K$14+$L$14)),0)</f>
        <v>0</v>
      </c>
      <c r="E32" s="321">
        <f t="shared" ref="E32:E34" si="16">IFERROR((ROUND(D32*K32,2)+ROUND(G32,2)+ROUND(J32,2))/ROUND(D32,4), 0)</f>
        <v>0</v>
      </c>
      <c r="F32" s="322">
        <f t="shared" si="15"/>
        <v>0</v>
      </c>
      <c r="G32" s="322">
        <f t="shared" si="11"/>
        <v>0</v>
      </c>
      <c r="H32" s="323">
        <f t="shared" si="13"/>
        <v>0</v>
      </c>
      <c r="I32" s="319"/>
      <c r="J32" s="323">
        <f t="shared" si="14"/>
        <v>0</v>
      </c>
      <c r="K32" s="321">
        <f>J85</f>
        <v>0</v>
      </c>
      <c r="O32" s="292"/>
    </row>
    <row r="33" spans="2:19" x14ac:dyDescent="0.3">
      <c r="B33" s="319" t="s">
        <v>270</v>
      </c>
      <c r="C33" s="320" t="s">
        <v>2</v>
      </c>
      <c r="D33" s="324">
        <f>IF($K$12=M6,(($D$27+$D$28)*($K$14)/($K$14+$L$14)),0)+IF($L$12=M6,(($D$27+$D$28)*($L$14)/($K$14+$L$14)),0)</f>
        <v>0</v>
      </c>
      <c r="E33" s="321">
        <f t="shared" si="16"/>
        <v>0</v>
      </c>
      <c r="F33" s="322">
        <f t="shared" si="15"/>
        <v>0</v>
      </c>
      <c r="G33" s="322">
        <f t="shared" si="11"/>
        <v>0</v>
      </c>
      <c r="H33" s="323">
        <f t="shared" si="13"/>
        <v>0</v>
      </c>
      <c r="I33" s="319"/>
      <c r="J33" s="323">
        <f t="shared" si="14"/>
        <v>0</v>
      </c>
      <c r="K33" s="321">
        <f>J86</f>
        <v>0</v>
      </c>
      <c r="O33" s="292"/>
      <c r="S33" s="305"/>
    </row>
    <row r="34" spans="2:19" x14ac:dyDescent="0.3">
      <c r="B34" s="319" t="s">
        <v>271</v>
      </c>
      <c r="C34" s="320" t="s">
        <v>2</v>
      </c>
      <c r="D34" s="324">
        <f>IF($K$12=M7,(($D$27+$D$28)*($K$14)/($K$14+$L$14)),0)+IF($L$12=M7,(($D$27+$D$28)*($L$14)/($K$14+$L$14)),0)</f>
        <v>0</v>
      </c>
      <c r="E34" s="321">
        <f t="shared" si="16"/>
        <v>0</v>
      </c>
      <c r="F34" s="322">
        <f t="shared" si="15"/>
        <v>0</v>
      </c>
      <c r="G34" s="322">
        <f t="shared" si="11"/>
        <v>0</v>
      </c>
      <c r="H34" s="323">
        <f t="shared" si="13"/>
        <v>0</v>
      </c>
      <c r="I34" s="319"/>
      <c r="J34" s="323">
        <f t="shared" si="14"/>
        <v>0</v>
      </c>
      <c r="K34" s="321">
        <f>J87</f>
        <v>0</v>
      </c>
      <c r="O34" s="292"/>
      <c r="S34" s="305"/>
    </row>
    <row r="35" spans="2:19" x14ac:dyDescent="0.3">
      <c r="B35" s="293"/>
      <c r="C35" s="294"/>
      <c r="D35" s="302"/>
      <c r="E35" s="296"/>
      <c r="F35" s="297"/>
      <c r="G35" s="297"/>
      <c r="H35" s="298"/>
      <c r="I35" s="293"/>
      <c r="J35" s="298"/>
      <c r="K35" s="296"/>
      <c r="O35" s="292"/>
      <c r="S35" s="305"/>
    </row>
    <row r="36" spans="2:19" x14ac:dyDescent="0.3">
      <c r="B36" s="293" t="s">
        <v>272</v>
      </c>
      <c r="C36" s="293"/>
      <c r="D36" s="302"/>
      <c r="E36" s="293"/>
      <c r="F36" s="306">
        <v>27.77</v>
      </c>
      <c r="G36" s="293"/>
      <c r="H36" s="293"/>
      <c r="I36" s="293"/>
      <c r="J36" s="293"/>
      <c r="K36" s="293"/>
      <c r="O36" s="292"/>
      <c r="S36" s="305"/>
    </row>
    <row r="37" spans="2:19" x14ac:dyDescent="0.3">
      <c r="B37" s="293" t="s">
        <v>273</v>
      </c>
      <c r="C37" s="293"/>
      <c r="D37" s="302"/>
      <c r="E37" s="293"/>
      <c r="F37" s="306">
        <v>0.93</v>
      </c>
      <c r="G37" s="293"/>
      <c r="H37" s="293"/>
      <c r="I37" s="293"/>
      <c r="J37" s="293"/>
      <c r="K37" s="293"/>
      <c r="O37" s="292"/>
      <c r="S37" s="305"/>
    </row>
    <row r="38" spans="2:19" x14ac:dyDescent="0.3">
      <c r="B38" s="293" t="s">
        <v>274</v>
      </c>
      <c r="C38" s="293"/>
      <c r="D38" s="302"/>
      <c r="E38" s="293"/>
      <c r="F38" s="306"/>
      <c r="G38" s="293"/>
      <c r="H38" s="293"/>
      <c r="I38" s="293"/>
      <c r="J38" s="293"/>
      <c r="K38" s="293"/>
      <c r="O38" s="292"/>
      <c r="S38" s="305"/>
    </row>
    <row r="39" spans="2:19" x14ac:dyDescent="0.3">
      <c r="B39" s="293" t="s">
        <v>289</v>
      </c>
      <c r="C39" s="293"/>
      <c r="D39" s="302"/>
      <c r="E39" s="293"/>
      <c r="F39" s="306"/>
      <c r="G39" s="293"/>
      <c r="H39" s="293"/>
      <c r="I39" s="293"/>
      <c r="J39" s="293"/>
      <c r="K39" s="293"/>
      <c r="O39" s="292"/>
      <c r="S39" s="305"/>
    </row>
    <row r="40" spans="2:19" x14ac:dyDescent="0.3">
      <c r="B40" s="293" t="s">
        <v>275</v>
      </c>
      <c r="C40" s="293"/>
      <c r="D40" s="302"/>
      <c r="E40" s="293"/>
      <c r="F40" s="306"/>
      <c r="G40" s="293"/>
      <c r="H40" s="293"/>
      <c r="I40" s="293"/>
      <c r="J40" s="293"/>
      <c r="K40" s="293"/>
      <c r="O40" s="292"/>
      <c r="S40" s="305"/>
    </row>
    <row r="41" spans="2:19" x14ac:dyDescent="0.3">
      <c r="B41" s="293"/>
      <c r="C41" s="293"/>
      <c r="D41" s="302"/>
      <c r="E41" s="293"/>
      <c r="F41" s="293"/>
      <c r="G41" s="293"/>
      <c r="H41" s="293"/>
      <c r="I41" s="293"/>
      <c r="J41" s="293"/>
      <c r="K41" s="293"/>
      <c r="O41" s="292"/>
    </row>
    <row r="42" spans="2:19" x14ac:dyDescent="0.3">
      <c r="B42" s="307" t="s">
        <v>162</v>
      </c>
      <c r="C42" s="304"/>
      <c r="D42" s="308"/>
      <c r="E42" s="304"/>
      <c r="F42" s="309">
        <f>SUM(F18:F41)</f>
        <v>2549.9300000000003</v>
      </c>
      <c r="G42" s="310">
        <f>SUM(G18:G41)</f>
        <v>112.44675937083672</v>
      </c>
      <c r="H42" s="311">
        <f>SUM(H18:H41)</f>
        <v>4110.2504018418331</v>
      </c>
      <c r="I42" s="304"/>
      <c r="J42" s="311">
        <f>SUM(J18:J41)</f>
        <v>698.74256831311152</v>
      </c>
      <c r="K42" s="304"/>
      <c r="L42" s="75"/>
      <c r="M42" s="75"/>
      <c r="N42" s="75"/>
      <c r="O42" s="268"/>
    </row>
    <row r="44" spans="2:19" x14ac:dyDescent="0.3">
      <c r="B44" s="312" t="s">
        <v>284</v>
      </c>
      <c r="C44" s="313">
        <f>D18</f>
        <v>4480</v>
      </c>
      <c r="D44" s="314">
        <f>IF(AND($B$14&lt;$F$2,$E$14&lt;$F$2),C7,IF($B$14&lt;$F$2,I7,F7))</f>
        <v>1.8719128004533714E-4</v>
      </c>
      <c r="E44" s="314">
        <f>IF(AND($B$14&lt;$F$2,$E$14&lt;$F$2),D7,IF($B$14&lt;$F$2,J7,G7))</f>
        <v>-3.7982399613330636E-3</v>
      </c>
      <c r="F44" s="312">
        <f>C44*(D44+E44)</f>
        <v>-16.177498092169014</v>
      </c>
      <c r="G44" s="398" t="s">
        <v>378</v>
      </c>
    </row>
    <row r="45" spans="2:19" x14ac:dyDescent="0.3">
      <c r="B45" s="312"/>
      <c r="C45" s="313">
        <f>D19</f>
        <v>3040</v>
      </c>
      <c r="D45" s="314">
        <f>IF(AND($B$14&lt;$F$2,$E$14&lt;$F$2),C7,IF($B$14&lt;$F$2,I7,F7))</f>
        <v>1.8719128004533714E-4</v>
      </c>
      <c r="E45" s="314">
        <f>IF(AND($B$14&lt;$F$2,$E$14&lt;$F$2),D7,IF($B$14&lt;$F$2,J7,G7))</f>
        <v>-3.7982399613330636E-3</v>
      </c>
      <c r="F45" s="312">
        <f>C45*(D45+E45)</f>
        <v>-10.977587991114689</v>
      </c>
      <c r="G45" s="397"/>
    </row>
    <row r="46" spans="2:19" x14ac:dyDescent="0.3">
      <c r="B46" s="312"/>
      <c r="C46" s="313"/>
      <c r="D46" s="314"/>
      <c r="E46" s="314"/>
      <c r="F46" s="312">
        <f>-F45*H57</f>
        <v>6.5865527946688127</v>
      </c>
    </row>
    <row r="47" spans="2:19" x14ac:dyDescent="0.3">
      <c r="B47" s="312"/>
      <c r="C47" s="313">
        <f>D28</f>
        <v>-4240</v>
      </c>
      <c r="D47" s="314">
        <f>IF(AND($B$14&lt;$F$2,$E$14&lt;$F$2),C7*$F$55,IF($B$14&lt;$F$2,(((I7*F55)*C14)+((I7*F56)*D14))/(C14+D14),I7*$F$56))</f>
        <v>1.3872043796859767E-4</v>
      </c>
      <c r="E47" s="314">
        <f>IF(AND($B$14&lt;$F$2,$E$14&lt;$F$2),D7,IF($B$14&lt;$F$2,J7,G7))</f>
        <v>-3.7982399613330636E-3</v>
      </c>
      <c r="F47" s="312">
        <f>C47*(D47+E47)</f>
        <v>15.516362779065336</v>
      </c>
    </row>
    <row r="48" spans="2:19" x14ac:dyDescent="0.3">
      <c r="B48" s="312"/>
      <c r="C48" s="313">
        <f>D27</f>
        <v>0</v>
      </c>
      <c r="D48" s="314">
        <f>IF(AND($B$14&lt;$F$2,$E$14&lt;$F$2),C7*$F$55,IF($B$14&lt;$F$2,(((I7*F55)*C14)+((I7*F56)*D14))/(C14+D14),I7*$F$56))</f>
        <v>1.3872043796859767E-4</v>
      </c>
      <c r="E48" s="314">
        <f>IF(AND($B$14&lt;$F$2,$E$14&lt;$F$2),D7,IF($B$14&lt;$F$2,J7,G7))</f>
        <v>-3.7982399613330636E-3</v>
      </c>
      <c r="F48" s="312">
        <f>C48*(D48+E48)</f>
        <v>0</v>
      </c>
    </row>
    <row r="49" spans="1:22" x14ac:dyDescent="0.3">
      <c r="B49" s="312"/>
      <c r="C49" s="313"/>
      <c r="D49" s="314"/>
      <c r="E49" s="314"/>
      <c r="F49" s="312">
        <f>-F48*H57</f>
        <v>0</v>
      </c>
    </row>
    <row r="50" spans="1:22" x14ac:dyDescent="0.3">
      <c r="B50" s="312"/>
      <c r="C50" s="313"/>
      <c r="D50" s="314"/>
      <c r="E50" s="314"/>
      <c r="F50" s="312">
        <f>SUM(F44:F49)</f>
        <v>-5.0521705095495548</v>
      </c>
    </row>
    <row r="51" spans="1:22" ht="15" thickBot="1" x14ac:dyDescent="0.35"/>
    <row r="52" spans="1:22" ht="16.2" thickBot="1" x14ac:dyDescent="0.35">
      <c r="B52" s="399" t="s">
        <v>380</v>
      </c>
      <c r="C52" s="400"/>
      <c r="D52" s="401"/>
      <c r="E52" s="401"/>
      <c r="F52" s="402">
        <f>SUM(H76+H64+H77+H78+H79+H84+H96+H97+H98+H99)</f>
        <v>-1489.5839999999998</v>
      </c>
      <c r="G52" s="411" t="s">
        <v>378</v>
      </c>
      <c r="H52" s="412"/>
    </row>
    <row r="54" spans="1:22" x14ac:dyDescent="0.3">
      <c r="B54" s="1"/>
      <c r="F54" s="254"/>
      <c r="G54"/>
      <c r="H54" s="3"/>
    </row>
    <row r="55" spans="1:22" x14ac:dyDescent="0.3">
      <c r="B55" s="5" t="s">
        <v>55</v>
      </c>
      <c r="E55" s="26" t="s">
        <v>10</v>
      </c>
      <c r="F55" s="85">
        <v>0.73899999999999999</v>
      </c>
      <c r="G55" s="86" t="s">
        <v>9</v>
      </c>
      <c r="H55" s="85">
        <v>1</v>
      </c>
      <c r="I55" s="280" t="str">
        <f>'Fatura B1 (GD II) OK'!I44</f>
        <v>A partir de 01/01/2026</v>
      </c>
      <c r="J55"/>
      <c r="M55"/>
      <c r="N55"/>
      <c r="O55"/>
      <c r="P55"/>
      <c r="Q55"/>
      <c r="R55"/>
      <c r="T55"/>
      <c r="U55"/>
      <c r="V55"/>
    </row>
    <row r="56" spans="1:22" x14ac:dyDescent="0.3">
      <c r="E56" s="26" t="s">
        <v>10</v>
      </c>
      <c r="F56" s="85">
        <v>0.75219999999999998</v>
      </c>
      <c r="G56" s="86" t="s">
        <v>9</v>
      </c>
      <c r="H56" s="85">
        <v>1</v>
      </c>
      <c r="I56" s="280" t="str">
        <f>'Fatura B1 (GD II) OK'!I45</f>
        <v>A partir de 07/08/2026</v>
      </c>
      <c r="J56"/>
      <c r="M56"/>
      <c r="N56"/>
      <c r="O56"/>
      <c r="P56"/>
      <c r="Q56"/>
      <c r="R56"/>
      <c r="S56"/>
      <c r="T56"/>
      <c r="U56"/>
      <c r="V56"/>
    </row>
    <row r="57" spans="1:22" x14ac:dyDescent="0.3">
      <c r="G57" s="102" t="s">
        <v>68</v>
      </c>
      <c r="H57" s="103">
        <f>O15</f>
        <v>0.6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x14ac:dyDescent="0.3">
      <c r="B58" s="415" t="s">
        <v>135</v>
      </c>
      <c r="C58" s="416"/>
      <c r="D58" s="416"/>
      <c r="E58" s="416"/>
      <c r="F58" s="416"/>
      <c r="G58" s="416"/>
      <c r="H58" s="417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x14ac:dyDescent="0.3">
      <c r="B59" s="41"/>
      <c r="D59" s="46" t="s">
        <v>40</v>
      </c>
      <c r="E59" s="46" t="s">
        <v>10</v>
      </c>
      <c r="F59" s="46" t="s">
        <v>9</v>
      </c>
      <c r="G59" s="46" t="s">
        <v>34</v>
      </c>
      <c r="H59" s="47" t="s">
        <v>7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x14ac:dyDescent="0.3">
      <c r="A60" s="19" t="s">
        <v>8</v>
      </c>
      <c r="B60" s="48" t="s">
        <v>41</v>
      </c>
      <c r="C60" s="49"/>
      <c r="D60" s="50"/>
      <c r="E60" s="50"/>
      <c r="F60" s="50"/>
      <c r="G60" s="50"/>
      <c r="H60" s="51">
        <f>SUM(H62:H107)+SUM(H112:H117)</f>
        <v>2521.2267921734897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x14ac:dyDescent="0.3">
      <c r="A61" s="19" t="s">
        <v>8</v>
      </c>
      <c r="B61" s="41"/>
      <c r="D61" s="46"/>
      <c r="E61" s="46"/>
      <c r="F61" s="46"/>
      <c r="G61" s="46"/>
      <c r="H61" s="52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x14ac:dyDescent="0.3">
      <c r="A62" s="19" t="s">
        <v>8</v>
      </c>
      <c r="B62" s="41" t="s">
        <v>42</v>
      </c>
      <c r="D62" s="89">
        <f>D18</f>
        <v>4480</v>
      </c>
      <c r="E62" s="53">
        <f>IF(AND($B$14&lt;$F$2,$E$14&lt;$F$2),C6,IF($B$14&lt;$F$2,I6,F6))</f>
        <v>0.47451906249999998</v>
      </c>
      <c r="F62" s="53">
        <f>IF(AND($B$14&lt;$F$2,$E$14&lt;$F$2),D6,IF($B$14&lt;$F$2,J6,G6))</f>
        <v>0.32329093749999999</v>
      </c>
      <c r="G62" s="53">
        <f>E62+F62</f>
        <v>0.79780999999999991</v>
      </c>
      <c r="H62" s="54">
        <f>ROUND((D62*E62),2)+ROUND((D62*F62),2)</f>
        <v>3574.1899999999996</v>
      </c>
      <c r="I62"/>
      <c r="J62" s="26" t="s">
        <v>283</v>
      </c>
      <c r="K62"/>
      <c r="L62"/>
      <c r="M62" s="90"/>
      <c r="N62"/>
      <c r="O62"/>
      <c r="P62"/>
      <c r="Q62"/>
      <c r="R62"/>
      <c r="S62"/>
      <c r="T62"/>
      <c r="U62"/>
      <c r="V62"/>
    </row>
    <row r="63" spans="1:22" x14ac:dyDescent="0.3">
      <c r="B63" s="41" t="s">
        <v>69</v>
      </c>
      <c r="D63" s="89">
        <f>D19</f>
        <v>3040</v>
      </c>
      <c r="E63" s="53">
        <f>E62</f>
        <v>0.47451906249999998</v>
      </c>
      <c r="F63" s="53">
        <f t="shared" ref="F63:G63" si="17">F62</f>
        <v>0.32329093749999999</v>
      </c>
      <c r="G63" s="53">
        <f t="shared" si="17"/>
        <v>0.79780999999999991</v>
      </c>
      <c r="H63" s="54">
        <f>ROUND((D63*E63),2)+ROUND((D63*F63),2)</f>
        <v>2425.34</v>
      </c>
      <c r="I63"/>
      <c r="J63" s="318">
        <f>IFERROR((((D66*F66)+(D71*F71))-(D71*F71*$H$57))/(D66+D71), 0)</f>
        <v>1.427787234042553E-2</v>
      </c>
      <c r="K63"/>
      <c r="L63"/>
      <c r="M63" s="90"/>
      <c r="N63"/>
      <c r="O63"/>
      <c r="P63"/>
      <c r="Q63"/>
      <c r="R63"/>
      <c r="S63"/>
      <c r="T63"/>
      <c r="U63"/>
      <c r="V63"/>
    </row>
    <row r="64" spans="1:22" x14ac:dyDescent="0.3">
      <c r="B64" s="41" t="s">
        <v>70</v>
      </c>
      <c r="D64" s="93"/>
      <c r="E64" s="53"/>
      <c r="F64" s="53"/>
      <c r="G64" s="53"/>
      <c r="H64" s="54">
        <f>-H63*$H$57</f>
        <v>-1455.204</v>
      </c>
      <c r="I64"/>
      <c r="J64" s="318">
        <f t="shared" ref="J64:J66" si="18">IFERROR((((D67*F67)+(D72*F72))-(D72*F72*$H$57))/(D67+D72), 0)</f>
        <v>0</v>
      </c>
      <c r="K64"/>
      <c r="L64"/>
      <c r="M64" s="90"/>
      <c r="N64"/>
      <c r="O64"/>
      <c r="P64"/>
      <c r="Q64"/>
      <c r="R64"/>
      <c r="S64"/>
      <c r="T64"/>
      <c r="U64"/>
      <c r="V64"/>
    </row>
    <row r="65" spans="2:22" x14ac:dyDescent="0.3">
      <c r="B65" s="41"/>
      <c r="D65" s="55"/>
      <c r="E65" s="56"/>
      <c r="F65" s="57"/>
      <c r="G65" s="57"/>
      <c r="H65" s="54"/>
      <c r="I65"/>
      <c r="J65" s="318">
        <f t="shared" si="18"/>
        <v>0</v>
      </c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3">
      <c r="B66" s="41" t="s">
        <v>43</v>
      </c>
      <c r="D66" s="58">
        <f>IF($K$12=M4,(D62*(K14)/(K14+L14)),0)+IF($L$12=M4,(D62*(L14)/(K14+L14)),0)</f>
        <v>4480</v>
      </c>
      <c r="F66" s="59">
        <f>N4</f>
        <v>1.8849999999999999E-2</v>
      </c>
      <c r="G66" s="59"/>
      <c r="H66" s="54">
        <f>ROUND(D66*(E66+F66),2)</f>
        <v>84.45</v>
      </c>
      <c r="I66"/>
      <c r="J66" s="318">
        <f t="shared" si="18"/>
        <v>0</v>
      </c>
      <c r="K66"/>
      <c r="L66"/>
      <c r="M66"/>
      <c r="N66"/>
      <c r="O66"/>
      <c r="P66"/>
      <c r="Q66"/>
      <c r="R66"/>
      <c r="S66"/>
      <c r="T66"/>
      <c r="U66"/>
      <c r="V66"/>
    </row>
    <row r="67" spans="2:22" x14ac:dyDescent="0.3">
      <c r="B67" s="41" t="s">
        <v>44</v>
      </c>
      <c r="D67" s="58">
        <f>IF($K$12=M5,(D62*(K14)/(K14+L14)),0)+IF($L$12=M5,(D62*(L14)/(K14+L14)),0)</f>
        <v>0</v>
      </c>
      <c r="F67" s="59">
        <f>N5</f>
        <v>4.4630000000000003E-2</v>
      </c>
      <c r="G67" s="59"/>
      <c r="H67" s="54">
        <f>ROUND(D67*(E67+F67),2)</f>
        <v>0</v>
      </c>
      <c r="I67"/>
      <c r="J67"/>
      <c r="K67"/>
      <c r="L67" s="98"/>
      <c r="M67"/>
      <c r="N67"/>
      <c r="O67"/>
      <c r="P67"/>
      <c r="Q67"/>
      <c r="R67"/>
      <c r="S67"/>
      <c r="T67"/>
      <c r="U67"/>
      <c r="V67"/>
    </row>
    <row r="68" spans="2:22" x14ac:dyDescent="0.3">
      <c r="B68" s="41" t="s">
        <v>45</v>
      </c>
      <c r="D68" s="58">
        <f>IF($K$12=M6,(D62*(K14)/(K14+L14)),0)+IF($L$12=M6,(D62*(L14)/(K14+L14)),0)</f>
        <v>0</v>
      </c>
      <c r="F68" s="59">
        <f>N6</f>
        <v>7.8770000000000007E-2</v>
      </c>
      <c r="G68" s="59"/>
      <c r="H68" s="54">
        <f>ROUND(D68*(E68+F68),2)</f>
        <v>0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2:22" x14ac:dyDescent="0.3">
      <c r="B69" s="41" t="s">
        <v>46</v>
      </c>
      <c r="D69" s="58">
        <f>IF($K$12=M8,(D62*(K14)/(K14+L14)),0)+IF($L$12=M8,(D62*(L14)/(K14+L14)),0)</f>
        <v>0</v>
      </c>
      <c r="F69" s="59">
        <f>N8</f>
        <v>0.14199999999999999</v>
      </c>
      <c r="G69" s="59"/>
      <c r="H69" s="54">
        <f>ROUND(D69*(E69+F69),2)</f>
        <v>0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2:22" x14ac:dyDescent="0.3">
      <c r="B70" s="41"/>
      <c r="D70" s="60"/>
      <c r="H70" s="54"/>
      <c r="I70" s="1"/>
      <c r="J70" s="1"/>
      <c r="K70" s="90"/>
      <c r="L70" s="1"/>
      <c r="M70" s="1"/>
      <c r="N70" s="1"/>
      <c r="O70" s="1"/>
      <c r="P70" s="1"/>
      <c r="S70"/>
    </row>
    <row r="71" spans="2:22" x14ac:dyDescent="0.3">
      <c r="B71" s="41" t="s">
        <v>71</v>
      </c>
      <c r="D71" s="58">
        <f>IF($K$12=M4,((D63)*(K14)/(K14+L14)),0)+IF($L$12=M4,((D63)*(L14)/(K14+L14)),0)</f>
        <v>3040</v>
      </c>
      <c r="F71" s="59">
        <f>F66</f>
        <v>1.8849999999999999E-2</v>
      </c>
      <c r="G71" s="59"/>
      <c r="H71" s="54">
        <f>ROUND(D71*(E71+F71),2)</f>
        <v>57.3</v>
      </c>
      <c r="I71" s="1"/>
      <c r="J71" s="1"/>
      <c r="K71" s="90"/>
      <c r="L71" s="1"/>
      <c r="M71" s="1"/>
      <c r="N71" s="1"/>
      <c r="O71" s="1"/>
      <c r="P71" s="1"/>
    </row>
    <row r="72" spans="2:22" x14ac:dyDescent="0.3">
      <c r="B72" s="41" t="s">
        <v>72</v>
      </c>
      <c r="D72" s="58">
        <f>IF($K$12=M5,((D63)*(K14)/(K14+L14)),0)+IF($L$12=M5,((D63)*(L14)/(K14+L14)),0)</f>
        <v>0</v>
      </c>
      <c r="F72" s="59">
        <f>F67</f>
        <v>4.4630000000000003E-2</v>
      </c>
      <c r="G72" s="59"/>
      <c r="H72" s="54">
        <f>ROUND(D72*(E72+F72),2)</f>
        <v>0</v>
      </c>
      <c r="I72" s="1"/>
      <c r="J72" s="1"/>
      <c r="K72" s="90"/>
      <c r="L72" s="1"/>
      <c r="M72" s="1"/>
      <c r="N72" s="1"/>
      <c r="O72" s="1"/>
      <c r="P72" s="1"/>
    </row>
    <row r="73" spans="2:22" x14ac:dyDescent="0.3">
      <c r="B73" s="41" t="s">
        <v>73</v>
      </c>
      <c r="D73" s="58">
        <f>IF($K$12=M6,((D63)*(K14)/(K14+L14)),0)+IF($L$12=M6,((D63)*(L14)/(K14+L14)),0)</f>
        <v>0</v>
      </c>
      <c r="F73" s="59">
        <f>F68</f>
        <v>7.8770000000000007E-2</v>
      </c>
      <c r="G73" s="59"/>
      <c r="H73" s="54">
        <f>ROUND(D73*(E73+F73),2)</f>
        <v>0</v>
      </c>
      <c r="I73" s="1"/>
      <c r="J73" s="116"/>
      <c r="K73" s="90"/>
      <c r="L73" s="1"/>
      <c r="M73" s="1"/>
      <c r="N73" s="1"/>
      <c r="O73" s="1"/>
      <c r="P73" s="1"/>
    </row>
    <row r="74" spans="2:22" x14ac:dyDescent="0.3">
      <c r="B74" s="41" t="s">
        <v>74</v>
      </c>
      <c r="D74" s="58">
        <f>IF($K$12=M8,((D63)*(K14)/(K14+L14)),0)+IF($L$12=M8,((D63)*(L14)/(K14+L14)),0)</f>
        <v>0</v>
      </c>
      <c r="F74" s="59">
        <f>F69</f>
        <v>0.14199999999999999</v>
      </c>
      <c r="G74" s="59"/>
      <c r="H74" s="54">
        <f>ROUND(D74*(E74+F74),2)</f>
        <v>0</v>
      </c>
      <c r="I74" s="1"/>
      <c r="J74" s="1"/>
      <c r="K74" s="90"/>
      <c r="L74" s="1"/>
      <c r="M74" s="1"/>
      <c r="N74" s="1"/>
      <c r="O74" s="1"/>
      <c r="P74" s="1"/>
    </row>
    <row r="75" spans="2:22" x14ac:dyDescent="0.3">
      <c r="B75" s="41"/>
      <c r="D75" s="58"/>
      <c r="F75" s="59"/>
      <c r="G75" s="59"/>
      <c r="H75" s="54"/>
      <c r="I75" s="1"/>
      <c r="J75" s="1"/>
      <c r="K75" s="90"/>
      <c r="L75" s="1"/>
      <c r="M75" s="1"/>
      <c r="N75" s="1"/>
      <c r="O75" s="1"/>
      <c r="P75" s="1"/>
    </row>
    <row r="76" spans="2:22" x14ac:dyDescent="0.3">
      <c r="B76" s="41" t="s">
        <v>75</v>
      </c>
      <c r="D76" s="58"/>
      <c r="F76" s="59"/>
      <c r="G76" s="59"/>
      <c r="H76" s="54">
        <f>-H71*$H$57</f>
        <v>-34.379999999999995</v>
      </c>
      <c r="I76" s="1"/>
      <c r="J76" s="1"/>
      <c r="K76" s="90"/>
      <c r="M76" s="1"/>
      <c r="N76" s="1"/>
      <c r="O76" s="1"/>
      <c r="P76" s="1"/>
    </row>
    <row r="77" spans="2:22" x14ac:dyDescent="0.3">
      <c r="B77" s="41" t="s">
        <v>76</v>
      </c>
      <c r="D77" s="58"/>
      <c r="F77" s="59"/>
      <c r="G77" s="59"/>
      <c r="H77" s="54">
        <f t="shared" ref="H77:H79" si="19">-H72*$H$57</f>
        <v>0</v>
      </c>
      <c r="I77" s="1"/>
      <c r="J77" s="1"/>
      <c r="K77" s="90"/>
      <c r="L77" s="1"/>
      <c r="M77" s="1"/>
      <c r="N77" s="1"/>
      <c r="O77" s="1"/>
      <c r="P77" s="1"/>
    </row>
    <row r="78" spans="2:22" x14ac:dyDescent="0.3">
      <c r="B78" s="41" t="s">
        <v>77</v>
      </c>
      <c r="D78" s="58"/>
      <c r="F78" s="59"/>
      <c r="G78" s="59"/>
      <c r="H78" s="54">
        <f t="shared" si="19"/>
        <v>0</v>
      </c>
      <c r="I78" s="1"/>
      <c r="J78" s="1"/>
      <c r="K78" s="90"/>
      <c r="L78" s="1"/>
      <c r="M78" s="1"/>
      <c r="N78" s="1"/>
      <c r="O78" s="1"/>
      <c r="P78" s="1"/>
    </row>
    <row r="79" spans="2:22" x14ac:dyDescent="0.3">
      <c r="B79" s="41" t="s">
        <v>78</v>
      </c>
      <c r="D79" s="104"/>
      <c r="H79" s="54">
        <f t="shared" si="19"/>
        <v>0</v>
      </c>
      <c r="I79" s="1"/>
      <c r="J79" s="1"/>
      <c r="K79" s="90"/>
      <c r="M79" s="1"/>
      <c r="N79" s="1"/>
      <c r="O79" s="1"/>
      <c r="P79" s="1"/>
    </row>
    <row r="80" spans="2:22" x14ac:dyDescent="0.3">
      <c r="B80" s="41"/>
      <c r="D80" s="60"/>
      <c r="H80" s="54"/>
      <c r="I80" s="1"/>
      <c r="J80" s="1"/>
      <c r="K80" s="90"/>
      <c r="L80" s="1"/>
      <c r="M80" s="1"/>
      <c r="N80" s="1"/>
      <c r="O80" s="1"/>
      <c r="P80" s="1"/>
    </row>
    <row r="81" spans="2:16" x14ac:dyDescent="0.3">
      <c r="B81" s="41" t="s">
        <v>47</v>
      </c>
      <c r="D81" s="164">
        <f>D28</f>
        <v>-4240</v>
      </c>
      <c r="E81" s="257">
        <f>IF(AND($B$14&lt;$F$2,$E$14&lt;$F$2),C6*$F$55,IF($B$14&lt;$F$2,(((I6*F55)*C14)+((I6*F56)*D14))/(C14+D14),I6*$F$56))</f>
        <v>0.35164828275390625</v>
      </c>
      <c r="F81" s="53">
        <f>F62</f>
        <v>0.32329093749999999</v>
      </c>
      <c r="G81" s="53">
        <f>E81+F81</f>
        <v>0.67493922025390618</v>
      </c>
      <c r="H81" s="54">
        <f>ROUND((D81*E81),2)+ROUND((D81*F81),2)</f>
        <v>-2861.74</v>
      </c>
      <c r="I81" s="1"/>
      <c r="K81" s="90"/>
      <c r="L81" s="27">
        <v>0.35166607999999999</v>
      </c>
      <c r="M81" s="90"/>
      <c r="N81" s="1"/>
      <c r="O81" s="1"/>
      <c r="P81" s="1"/>
    </row>
    <row r="82" spans="2:16" x14ac:dyDescent="0.3">
      <c r="B82" s="41"/>
      <c r="H82" s="54"/>
    </row>
    <row r="83" spans="2:16" x14ac:dyDescent="0.3">
      <c r="B83" s="41" t="s">
        <v>79</v>
      </c>
      <c r="D83" s="164">
        <f>D27</f>
        <v>0</v>
      </c>
      <c r="E83" s="53">
        <f>IF(AND($B$14&lt;$F$2,$E$14&lt;$F$2),C6*$F$55,IF($B$14&lt;$F$2,(((C6*F55)*C14)+((F6*F56)*D14))/(C14+D14),F6*$F$56))</f>
        <v>0.35171387218749994</v>
      </c>
      <c r="F83" s="53">
        <f>F81</f>
        <v>0.32329093749999999</v>
      </c>
      <c r="G83" s="53">
        <f>G81</f>
        <v>0.67493922025390618</v>
      </c>
      <c r="H83" s="54">
        <f>ROUND((D83*E83),2)+ROUND((D83*F83),2)</f>
        <v>0</v>
      </c>
      <c r="I83" s="1"/>
      <c r="J83" s="26" t="s">
        <v>283</v>
      </c>
      <c r="K83" s="90"/>
      <c r="L83" s="1"/>
      <c r="M83" s="90"/>
      <c r="N83" s="1"/>
      <c r="O83" s="1"/>
      <c r="P83" s="1"/>
    </row>
    <row r="84" spans="2:16" x14ac:dyDescent="0.3">
      <c r="B84" s="41" t="s">
        <v>80</v>
      </c>
      <c r="D84" s="93"/>
      <c r="E84" s="53"/>
      <c r="F84" s="53"/>
      <c r="G84" s="53"/>
      <c r="H84" s="54">
        <f>-H83*$H$57</f>
        <v>0</v>
      </c>
      <c r="I84" s="1"/>
      <c r="J84" s="318">
        <f>IFERROR((((D86*F86)+(D91*F91))-(D91*F91*$H$57))/(D86+D91), 0)</f>
        <v>1.8849999999999999E-2</v>
      </c>
      <c r="K84" s="90"/>
      <c r="L84" s="1"/>
      <c r="M84" s="90"/>
      <c r="N84" s="1"/>
      <c r="O84" s="1"/>
      <c r="P84" s="1"/>
    </row>
    <row r="85" spans="2:16" x14ac:dyDescent="0.3">
      <c r="B85" s="41"/>
      <c r="D85" s="55"/>
      <c r="E85" s="56"/>
      <c r="F85" s="57"/>
      <c r="G85" s="57"/>
      <c r="H85" s="54"/>
      <c r="I85" s="1"/>
      <c r="J85" s="318">
        <f>IFERROR((((D87*F87)+(D92*F92))-(D92*F92*$H$57))/(D87+D92), 0)</f>
        <v>0</v>
      </c>
      <c r="K85" s="90"/>
      <c r="L85" s="1"/>
      <c r="M85" s="1"/>
      <c r="N85" s="1"/>
      <c r="O85" s="1"/>
      <c r="P85" s="1"/>
    </row>
    <row r="86" spans="2:16" x14ac:dyDescent="0.3">
      <c r="B86" s="41" t="s">
        <v>81</v>
      </c>
      <c r="D86" s="58">
        <f>IF($K$12=M4,(D81*(K14)/(K14+L14)),0)+IF($L$12=M4,(D81*(L14)/(K14+L14)),0)</f>
        <v>-4240</v>
      </c>
      <c r="F86" s="59">
        <f>F66</f>
        <v>1.8849999999999999E-2</v>
      </c>
      <c r="G86" s="59"/>
      <c r="H86" s="54">
        <f>ROUND(D86*(E86+F86),2)</f>
        <v>-79.92</v>
      </c>
      <c r="I86" s="1"/>
      <c r="J86" s="318">
        <f>IFERROR((((D88*F88)+(D93*F93))-(D93*F93*$H$57))/(D88+D93), 0)</f>
        <v>0</v>
      </c>
      <c r="K86" s="1"/>
      <c r="L86" s="1"/>
      <c r="M86" s="1"/>
      <c r="N86" s="1"/>
      <c r="O86" s="1"/>
      <c r="P86" s="1"/>
    </row>
    <row r="87" spans="2:16" x14ac:dyDescent="0.3">
      <c r="B87" s="41" t="s">
        <v>82</v>
      </c>
      <c r="D87" s="58">
        <f>IF($K$12=M5,(D81*(K14)/(K14+L14)),0)+IF($L$12=M5,(D81*(L14)/(K14+L14)),0)</f>
        <v>0</v>
      </c>
      <c r="F87" s="59">
        <f>F67</f>
        <v>4.4630000000000003E-2</v>
      </c>
      <c r="G87" s="59"/>
      <c r="H87" s="54">
        <f>ROUND(D87*(E87+F87),2)</f>
        <v>0</v>
      </c>
      <c r="I87" s="1"/>
      <c r="J87" s="318">
        <f>IFERROR((((D89*F89)+(D94*F94))-(D94*F94*$H$57))/(D89+D94), 0)</f>
        <v>0</v>
      </c>
      <c r="K87" s="1"/>
      <c r="L87" s="1"/>
      <c r="M87" s="1"/>
      <c r="N87" s="1"/>
      <c r="O87" s="1"/>
      <c r="P87" s="1"/>
    </row>
    <row r="88" spans="2:16" x14ac:dyDescent="0.3">
      <c r="B88" s="41" t="s">
        <v>83</v>
      </c>
      <c r="D88" s="58">
        <f>IF($K$12=M6,(D81*(K14)/(K14+L14)),0)+IF($L$12=M6,(D81*(L14)/(K14+L14)),0)</f>
        <v>0</v>
      </c>
      <c r="F88" s="59">
        <f>F68</f>
        <v>7.8770000000000007E-2</v>
      </c>
      <c r="G88" s="59"/>
      <c r="H88" s="54">
        <f>ROUND(D88*(E88+F88),2)</f>
        <v>0</v>
      </c>
      <c r="I88" s="1"/>
      <c r="J88" s="1"/>
      <c r="K88" s="1"/>
      <c r="L88" s="1"/>
      <c r="M88" s="1"/>
      <c r="N88" s="1"/>
      <c r="O88" s="1"/>
      <c r="P88" s="1"/>
    </row>
    <row r="89" spans="2:16" x14ac:dyDescent="0.3">
      <c r="B89" s="41" t="s">
        <v>46</v>
      </c>
      <c r="D89" s="58">
        <f>IF($K$12=M8,(D81*(K14)/(K14+L14)),0)+IF($L$12=M8,(D81*(L14)/(K14+L14)),0)</f>
        <v>0</v>
      </c>
      <c r="F89" s="59">
        <f>F69</f>
        <v>0.14199999999999999</v>
      </c>
      <c r="G89" s="59"/>
      <c r="H89" s="54">
        <f>ROUND(D89*(E89+F89),2)</f>
        <v>0</v>
      </c>
      <c r="J89" s="1"/>
      <c r="K89" s="1"/>
      <c r="L89" s="1"/>
      <c r="M89" s="1"/>
      <c r="N89" s="1"/>
      <c r="O89" s="1"/>
      <c r="P89" s="1"/>
    </row>
    <row r="90" spans="2:16" x14ac:dyDescent="0.3">
      <c r="B90" s="41"/>
      <c r="D90" s="58"/>
      <c r="F90" s="59"/>
      <c r="G90" s="59"/>
      <c r="H90" s="54"/>
      <c r="J90" s="1"/>
      <c r="K90" s="1"/>
      <c r="L90" s="1"/>
      <c r="M90" s="1"/>
      <c r="N90" s="1"/>
      <c r="O90" s="1"/>
      <c r="P90" s="1"/>
    </row>
    <row r="91" spans="2:16" x14ac:dyDescent="0.3">
      <c r="B91" s="41" t="s">
        <v>84</v>
      </c>
      <c r="D91" s="58">
        <f>IF($K$12=M4,((D83)*(K14)/(K14+L14)),0)+IF($L$12=M4,((D83)*(L14)/(K14+L14)),0)</f>
        <v>0</v>
      </c>
      <c r="F91" s="59">
        <f>F86</f>
        <v>1.8849999999999999E-2</v>
      </c>
      <c r="G91" s="59"/>
      <c r="H91" s="54">
        <f>ROUND(D91*(E91+F91),2)</f>
        <v>0</v>
      </c>
      <c r="I91" s="1"/>
      <c r="J91" s="1"/>
      <c r="K91" s="90"/>
      <c r="L91" s="1"/>
      <c r="M91" s="1"/>
      <c r="N91" s="1"/>
      <c r="O91" s="1"/>
      <c r="P91" s="1"/>
    </row>
    <row r="92" spans="2:16" x14ac:dyDescent="0.3">
      <c r="B92" s="41" t="s">
        <v>85</v>
      </c>
      <c r="D92" s="58">
        <f>IF($K$12=M5,((D83)*(K14)/(K14+L14)),0)+IF($L$12=M5,((D83)*(L14)/(K14+L14)),0)</f>
        <v>0</v>
      </c>
      <c r="F92" s="59">
        <f>F87</f>
        <v>4.4630000000000003E-2</v>
      </c>
      <c r="G92" s="59"/>
      <c r="H92" s="54">
        <f>ROUND(D92*(E92+F92),2)</f>
        <v>0</v>
      </c>
      <c r="I92" s="1"/>
      <c r="J92" s="1"/>
      <c r="K92" s="90"/>
      <c r="L92" s="1"/>
      <c r="M92" s="1"/>
      <c r="N92" s="1"/>
      <c r="O92" s="1"/>
      <c r="P92" s="1"/>
    </row>
    <row r="93" spans="2:16" x14ac:dyDescent="0.3">
      <c r="B93" s="41" t="s">
        <v>86</v>
      </c>
      <c r="D93" s="58">
        <f>IF($K$12=M6,((D83)*(K14)/(K14+L14)),0)+IF($L$12=M6,((D83)*(L14)/(K14+L14)),0)</f>
        <v>0</v>
      </c>
      <c r="F93" s="59">
        <f>F88</f>
        <v>7.8770000000000007E-2</v>
      </c>
      <c r="G93" s="59"/>
      <c r="H93" s="54">
        <f>ROUND(D93*(E93+F93),2)</f>
        <v>0</v>
      </c>
      <c r="I93" s="1"/>
      <c r="J93" s="1"/>
      <c r="K93" s="90"/>
      <c r="L93" s="1"/>
      <c r="M93" s="1"/>
      <c r="N93" s="1"/>
      <c r="O93" s="1"/>
      <c r="P93" s="1"/>
    </row>
    <row r="94" spans="2:16" x14ac:dyDescent="0.3">
      <c r="B94" s="41" t="s">
        <v>74</v>
      </c>
      <c r="D94" s="58">
        <f>IF($K$12=M8,((D83)*(K14)/(K14+L14)),0)+IF($L$12=M8,((D83)*(L14)/(K14+L14)),0)</f>
        <v>0</v>
      </c>
      <c r="F94" s="59">
        <f>F89</f>
        <v>0.14199999999999999</v>
      </c>
      <c r="G94" s="59"/>
      <c r="H94" s="54">
        <f>ROUND(D94*(E94+F94),2)</f>
        <v>0</v>
      </c>
      <c r="I94" s="1"/>
      <c r="J94" s="1"/>
      <c r="K94" s="90"/>
      <c r="L94" s="1"/>
      <c r="M94" s="1"/>
      <c r="N94" s="1"/>
      <c r="O94" s="1"/>
      <c r="P94" s="1"/>
    </row>
    <row r="95" spans="2:16" x14ac:dyDescent="0.3">
      <c r="B95" s="41"/>
      <c r="D95" s="58"/>
      <c r="F95" s="59"/>
      <c r="G95" s="59"/>
      <c r="H95" s="54"/>
      <c r="I95" s="1"/>
      <c r="J95" s="1"/>
      <c r="K95" s="90"/>
      <c r="L95" s="1"/>
      <c r="M95" s="1"/>
      <c r="N95" s="1"/>
      <c r="O95" s="1"/>
      <c r="P95" s="1"/>
    </row>
    <row r="96" spans="2:16" x14ac:dyDescent="0.3">
      <c r="B96" s="41" t="s">
        <v>87</v>
      </c>
      <c r="D96" s="58"/>
      <c r="F96" s="59"/>
      <c r="G96" s="59"/>
      <c r="H96" s="54">
        <f>-H91*$H$57</f>
        <v>0</v>
      </c>
      <c r="I96" s="1"/>
      <c r="J96" s="1"/>
      <c r="K96" s="90"/>
      <c r="L96" s="1"/>
      <c r="M96" s="1"/>
      <c r="N96" s="1"/>
      <c r="O96" s="1"/>
      <c r="P96" s="1"/>
    </row>
    <row r="97" spans="2:16" x14ac:dyDescent="0.3">
      <c r="B97" s="41" t="s">
        <v>88</v>
      </c>
      <c r="D97" s="58"/>
      <c r="F97" s="59"/>
      <c r="G97" s="59"/>
      <c r="H97" s="54">
        <f t="shared" ref="H97:H99" si="20">-H92*$H$57</f>
        <v>0</v>
      </c>
      <c r="I97" s="1"/>
      <c r="J97" s="1"/>
      <c r="K97" s="90"/>
      <c r="L97" s="1"/>
      <c r="M97" s="1"/>
      <c r="N97" s="1"/>
      <c r="O97" s="1"/>
      <c r="P97" s="1"/>
    </row>
    <row r="98" spans="2:16" x14ac:dyDescent="0.3">
      <c r="B98" s="41" t="s">
        <v>89</v>
      </c>
      <c r="D98" s="58"/>
      <c r="F98" s="59"/>
      <c r="G98" s="59"/>
      <c r="H98" s="54">
        <f t="shared" si="20"/>
        <v>0</v>
      </c>
      <c r="I98" s="1"/>
      <c r="J98" s="1"/>
      <c r="K98" s="90"/>
      <c r="L98" s="1"/>
      <c r="M98" s="1"/>
      <c r="N98" s="1"/>
      <c r="O98" s="1"/>
      <c r="P98" s="1"/>
    </row>
    <row r="99" spans="2:16" x14ac:dyDescent="0.3">
      <c r="B99" s="41" t="s">
        <v>78</v>
      </c>
      <c r="D99" s="104"/>
      <c r="H99" s="54">
        <f t="shared" si="20"/>
        <v>0</v>
      </c>
      <c r="I99" s="1"/>
      <c r="J99" s="1"/>
      <c r="K99" s="90"/>
      <c r="L99" s="1"/>
      <c r="M99" s="1"/>
      <c r="N99" s="1"/>
      <c r="O99" s="1"/>
      <c r="P99" s="1"/>
    </row>
    <row r="100" spans="2:16" x14ac:dyDescent="0.3">
      <c r="B100" s="41"/>
      <c r="D100" s="58"/>
      <c r="F100" s="59"/>
      <c r="G100" s="59"/>
      <c r="H100" s="54"/>
      <c r="J100" s="1"/>
      <c r="K100" s="1"/>
      <c r="L100" s="1"/>
      <c r="M100" s="1"/>
      <c r="N100" s="1"/>
      <c r="O100" s="1"/>
      <c r="P100" s="1"/>
    </row>
    <row r="101" spans="2:16" x14ac:dyDescent="0.3">
      <c r="B101" s="119"/>
      <c r="C101" s="120"/>
      <c r="D101" s="121"/>
      <c r="E101" s="122"/>
      <c r="F101" s="122"/>
      <c r="G101" s="122"/>
      <c r="H101" s="124"/>
      <c r="I101" s="1"/>
      <c r="J101" s="1"/>
      <c r="K101" s="1"/>
      <c r="L101" s="1"/>
      <c r="M101" s="1"/>
      <c r="N101" s="1"/>
      <c r="O101" s="1"/>
      <c r="P101" s="1"/>
    </row>
    <row r="102" spans="2:16" x14ac:dyDescent="0.3">
      <c r="B102" s="119"/>
      <c r="C102" s="120"/>
      <c r="D102" s="121"/>
      <c r="E102" s="122"/>
      <c r="F102" s="122"/>
      <c r="G102" s="122"/>
      <c r="H102" s="124"/>
      <c r="I102" s="1"/>
      <c r="J102" s="1"/>
      <c r="K102" s="1"/>
      <c r="L102" s="1"/>
      <c r="M102" s="1"/>
      <c r="N102" s="1"/>
      <c r="O102" s="1"/>
      <c r="P102" s="1"/>
    </row>
    <row r="103" spans="2:16" x14ac:dyDescent="0.3">
      <c r="B103" s="119"/>
      <c r="C103" s="120"/>
      <c r="D103" s="121"/>
      <c r="E103" s="122"/>
      <c r="F103" s="122"/>
      <c r="G103" s="122"/>
      <c r="H103" s="124"/>
      <c r="I103" s="1"/>
      <c r="J103" s="1"/>
      <c r="K103" s="1"/>
      <c r="L103" s="1"/>
      <c r="M103" s="1"/>
      <c r="N103" s="1"/>
      <c r="O103" s="1"/>
      <c r="P103" s="1"/>
    </row>
    <row r="104" spans="2:16" x14ac:dyDescent="0.3">
      <c r="B104" s="119"/>
      <c r="C104" s="120"/>
      <c r="D104" s="125"/>
      <c r="E104" s="120"/>
      <c r="F104" s="120"/>
      <c r="G104" s="126"/>
      <c r="H104" s="124"/>
      <c r="I104" s="1"/>
      <c r="J104" s="1"/>
      <c r="K104" s="1"/>
      <c r="L104" s="1"/>
      <c r="M104" s="1"/>
      <c r="N104" s="1"/>
      <c r="O104" s="1"/>
      <c r="P104" s="1"/>
    </row>
    <row r="105" spans="2:16" x14ac:dyDescent="0.3">
      <c r="B105" s="119"/>
      <c r="C105" s="120"/>
      <c r="D105" s="121"/>
      <c r="E105" s="122"/>
      <c r="F105" s="122"/>
      <c r="G105" s="122"/>
      <c r="H105" s="124"/>
      <c r="I105" s="97">
        <f>H101+H105</f>
        <v>0</v>
      </c>
      <c r="J105" s="1"/>
      <c r="K105" s="1"/>
      <c r="L105" s="1"/>
      <c r="M105" s="1"/>
      <c r="N105" s="1"/>
      <c r="O105" s="1"/>
      <c r="P105" s="1"/>
    </row>
    <row r="106" spans="2:16" x14ac:dyDescent="0.3">
      <c r="B106" s="119"/>
      <c r="C106" s="120"/>
      <c r="D106" s="121"/>
      <c r="E106" s="122"/>
      <c r="F106" s="122"/>
      <c r="G106" s="122"/>
      <c r="H106" s="124"/>
      <c r="I106" s="97"/>
      <c r="J106" s="1"/>
      <c r="K106" s="1"/>
      <c r="L106" s="1"/>
      <c r="M106" s="1"/>
      <c r="N106" s="1"/>
      <c r="O106" s="1"/>
      <c r="P106" s="1"/>
    </row>
    <row r="107" spans="2:16" x14ac:dyDescent="0.3">
      <c r="B107" s="119"/>
      <c r="C107" s="120"/>
      <c r="D107" s="121"/>
      <c r="E107" s="122"/>
      <c r="F107" s="122"/>
      <c r="G107" s="122"/>
      <c r="H107" s="124"/>
      <c r="I107" s="97"/>
      <c r="J107" s="1"/>
      <c r="K107" s="1"/>
      <c r="L107" s="1"/>
      <c r="M107" s="1"/>
      <c r="N107" s="1"/>
      <c r="O107" s="1"/>
      <c r="P107" s="1"/>
    </row>
    <row r="108" spans="2:16" x14ac:dyDescent="0.3">
      <c r="B108" s="61"/>
      <c r="C108" s="24"/>
      <c r="D108" s="24"/>
      <c r="E108" s="24"/>
      <c r="F108" s="24"/>
      <c r="G108" s="24"/>
      <c r="H108" s="62"/>
      <c r="I108"/>
      <c r="J108" s="1"/>
      <c r="K108" s="1"/>
      <c r="L108" s="1"/>
      <c r="M108" s="1"/>
      <c r="N108" s="1"/>
      <c r="O108" s="1"/>
      <c r="P108" s="1"/>
    </row>
    <row r="109" spans="2:16" x14ac:dyDescent="0.3">
      <c r="B109" s="34"/>
      <c r="C109" s="35"/>
      <c r="D109" s="35"/>
      <c r="E109" s="35"/>
      <c r="F109" s="35"/>
      <c r="G109" s="35"/>
      <c r="H109" s="96">
        <f>SUM(H62:H108)</f>
        <v>1710.0360000000001</v>
      </c>
      <c r="I109" s="1"/>
      <c r="L109" s="1"/>
      <c r="M109" s="1"/>
      <c r="N109" s="1"/>
      <c r="O109" s="1"/>
      <c r="P109" s="1"/>
    </row>
    <row r="110" spans="2:16" x14ac:dyDescent="0.3">
      <c r="B110" s="95"/>
      <c r="C110" s="1"/>
      <c r="D110" s="1"/>
      <c r="E110" s="1"/>
      <c r="F110" s="1"/>
      <c r="G110" s="1"/>
      <c r="H110" s="43"/>
      <c r="I110" s="1"/>
      <c r="L110" s="1"/>
      <c r="M110" s="1"/>
      <c r="N110" s="1"/>
      <c r="O110" s="1"/>
      <c r="P110" s="1"/>
    </row>
    <row r="111" spans="2:16" x14ac:dyDescent="0.3">
      <c r="B111" s="41"/>
      <c r="D111" s="63" t="s">
        <v>48</v>
      </c>
      <c r="E111" s="64"/>
      <c r="F111" s="64"/>
      <c r="G111" s="64"/>
      <c r="H111" s="65"/>
      <c r="I111" s="66"/>
      <c r="K111" s="67"/>
      <c r="L111" s="1"/>
      <c r="M111" s="1"/>
      <c r="N111" s="1"/>
      <c r="O111" s="1"/>
      <c r="P111" s="1"/>
    </row>
    <row r="112" spans="2:16" x14ac:dyDescent="0.3">
      <c r="B112" s="41" t="s">
        <v>49</v>
      </c>
      <c r="D112" s="68">
        <f>SUM(H62:H64,H66:H69,H71:H74,H76:H79)/(1-E112-E114)</f>
        <v>4957.5785995950118</v>
      </c>
      <c r="E112" s="69">
        <f>N18</f>
        <v>1.0999999999999999E-2</v>
      </c>
      <c r="H112" s="70">
        <f>D112*E112</f>
        <v>54.53336459554513</v>
      </c>
      <c r="I112" s="67"/>
      <c r="L112" s="1"/>
      <c r="M112" s="1"/>
      <c r="N112" s="1"/>
      <c r="O112" s="1"/>
      <c r="P112" s="1"/>
    </row>
    <row r="113" spans="1:19" x14ac:dyDescent="0.3">
      <c r="B113" s="41" t="s">
        <v>50</v>
      </c>
      <c r="D113" s="68">
        <f>SUM(H81:H84,H86:H89,H91:H94,H96:H99,H101:H103,H105:H107)/(1-E112-E114)</f>
        <v>-3135.095385271235</v>
      </c>
      <c r="E113" s="71">
        <f>E112</f>
        <v>1.0999999999999999E-2</v>
      </c>
      <c r="H113" s="70">
        <f t="shared" ref="H113:H115" si="21">D113*E113</f>
        <v>-34.486049237983586</v>
      </c>
      <c r="I113" s="67"/>
      <c r="L113" s="1"/>
      <c r="M113" s="1"/>
      <c r="N113" s="1"/>
      <c r="O113" s="1"/>
      <c r="P113" s="1"/>
    </row>
    <row r="114" spans="1:19" x14ac:dyDescent="0.3">
      <c r="B114" s="41" t="s">
        <v>51</v>
      </c>
      <c r="D114" s="68">
        <f>D112</f>
        <v>4957.5785995950118</v>
      </c>
      <c r="E114" s="69">
        <f>N20</f>
        <v>5.0700000000000002E-2</v>
      </c>
      <c r="H114" s="70">
        <f t="shared" si="21"/>
        <v>251.34923499946711</v>
      </c>
      <c r="I114" s="67"/>
      <c r="L114" s="1"/>
      <c r="M114" s="1"/>
      <c r="N114" s="1"/>
      <c r="O114" s="1"/>
      <c r="P114" s="1"/>
    </row>
    <row r="115" spans="1:19" x14ac:dyDescent="0.3">
      <c r="B115" s="41" t="s">
        <v>52</v>
      </c>
      <c r="D115" s="68">
        <f>D113</f>
        <v>-3135.095385271235</v>
      </c>
      <c r="E115" s="71">
        <f>E114</f>
        <v>5.0700000000000002E-2</v>
      </c>
      <c r="H115" s="70">
        <f t="shared" si="21"/>
        <v>-158.94933603325163</v>
      </c>
      <c r="I115" s="67"/>
      <c r="L115" s="1"/>
      <c r="M115" s="1"/>
      <c r="N115" s="1"/>
      <c r="O115" s="1"/>
      <c r="P115" s="1"/>
    </row>
    <row r="116" spans="1:19" x14ac:dyDescent="0.3">
      <c r="B116" s="41" t="s">
        <v>11</v>
      </c>
      <c r="D116" s="72">
        <f>D112/(1-E116)</f>
        <v>5972.9862645723033</v>
      </c>
      <c r="E116" s="73">
        <f>I18</f>
        <v>0.17</v>
      </c>
      <c r="H116" s="70">
        <f>D116*E116</f>
        <v>1015.4076649772917</v>
      </c>
      <c r="I116" s="67"/>
      <c r="L116" s="1"/>
      <c r="M116" s="1"/>
      <c r="N116" s="1"/>
      <c r="O116" s="1"/>
      <c r="P116" s="1"/>
    </row>
    <row r="117" spans="1:19" x14ac:dyDescent="0.3">
      <c r="B117" s="74" t="s">
        <v>53</v>
      </c>
      <c r="C117" s="75"/>
      <c r="D117" s="76">
        <f>((D81*F81)+(H86+H87+H88+H89)+(D83*F83)+(D83*F83*-H57)+(H91+H92+H93+H94+H96+H97+H98+H99)+(D101*F101)+(D102*F102)+(D102*F102*-H57)+(D106*F106)+(D106*F106*-H57)+(D105*F105))/(1-E113-E115)/(1-E117)</f>
        <v>-1862.7299242798758</v>
      </c>
      <c r="E117" s="77">
        <f>E116</f>
        <v>0.17</v>
      </c>
      <c r="F117" s="75"/>
      <c r="G117" s="75"/>
      <c r="H117" s="78">
        <f>D117*E117</f>
        <v>-316.66408712757891</v>
      </c>
      <c r="L117" s="1"/>
      <c r="M117" s="1"/>
      <c r="N117" s="1"/>
      <c r="O117" s="1"/>
      <c r="P117" s="1"/>
    </row>
    <row r="118" spans="1:19" x14ac:dyDescent="0.3">
      <c r="L118" s="1"/>
      <c r="M118" s="1"/>
      <c r="N118" s="1"/>
      <c r="O118" s="1"/>
      <c r="P118" s="1"/>
    </row>
    <row r="119" spans="1:19" x14ac:dyDescent="0.3">
      <c r="H119" s="67"/>
      <c r="L119" s="1"/>
      <c r="M119" s="1"/>
      <c r="N119" s="1"/>
      <c r="O119" s="1"/>
      <c r="P119" s="1"/>
    </row>
    <row r="120" spans="1:19" x14ac:dyDescent="0.3">
      <c r="B120" s="19" t="s">
        <v>90</v>
      </c>
      <c r="M120" s="24"/>
    </row>
    <row r="121" spans="1:19" x14ac:dyDescent="0.3">
      <c r="B121" s="118" t="s">
        <v>134</v>
      </c>
      <c r="C121" s="105"/>
      <c r="D121" s="106" t="s">
        <v>91</v>
      </c>
      <c r="F121" s="106"/>
    </row>
    <row r="122" spans="1:19" x14ac:dyDescent="0.3">
      <c r="B122" s="107" t="s">
        <v>92</v>
      </c>
      <c r="C122" s="108">
        <f>E112</f>
        <v>1.0999999999999999E-2</v>
      </c>
      <c r="D122" s="109">
        <f>SUM(H62:H79)/(1-C122-C123)</f>
        <v>4957.5785995950118</v>
      </c>
      <c r="E122" s="2" t="s">
        <v>93</v>
      </c>
      <c r="F122" s="108">
        <f>C122</f>
        <v>1.0999999999999999E-2</v>
      </c>
      <c r="G122" s="110">
        <f>D122*F122</f>
        <v>54.53336459554513</v>
      </c>
    </row>
    <row r="123" spans="1:19" x14ac:dyDescent="0.3">
      <c r="B123" s="107" t="s">
        <v>51</v>
      </c>
      <c r="C123" s="108">
        <f>E114</f>
        <v>5.0700000000000002E-2</v>
      </c>
      <c r="D123" s="109">
        <f>D122</f>
        <v>4957.5785995950118</v>
      </c>
      <c r="E123" s="2" t="s">
        <v>93</v>
      </c>
      <c r="F123" s="108">
        <f>C123</f>
        <v>5.0700000000000002E-2</v>
      </c>
      <c r="G123" s="110">
        <f>D123*F123</f>
        <v>251.34923499946711</v>
      </c>
    </row>
    <row r="124" spans="1:19" x14ac:dyDescent="0.3">
      <c r="A124" s="111" t="s">
        <v>94</v>
      </c>
      <c r="B124" s="107" t="s">
        <v>11</v>
      </c>
      <c r="C124" s="112">
        <v>0.04</v>
      </c>
      <c r="D124" s="113">
        <f>H124/F124*C124</f>
        <v>1721.3814581927124</v>
      </c>
      <c r="E124" s="2" t="s">
        <v>93</v>
      </c>
      <c r="F124" s="114">
        <v>0.12</v>
      </c>
      <c r="G124" s="110">
        <f>D124*F124</f>
        <v>206.56577498312549</v>
      </c>
      <c r="H124" s="110">
        <f>((SUM(H62:H79))/(1-F122-F123)/(1-(C124)))</f>
        <v>5164.1443745781371</v>
      </c>
      <c r="I124" s="115">
        <f>H124*C124</f>
        <v>206.56577498312549</v>
      </c>
    </row>
    <row r="125" spans="1:19" x14ac:dyDescent="0.3">
      <c r="B125" s="105"/>
      <c r="C125" s="105"/>
      <c r="D125" s="105"/>
      <c r="E125" s="110">
        <f>(O114)/(1-C122-C123-C124)</f>
        <v>0</v>
      </c>
      <c r="F125" s="116"/>
      <c r="G125" s="116"/>
      <c r="H125" s="105"/>
      <c r="I125" s="105"/>
      <c r="J125" s="117"/>
      <c r="K125" s="117"/>
      <c r="L125" s="117"/>
      <c r="M125" s="106"/>
      <c r="N125" s="106"/>
      <c r="O125" s="118"/>
    </row>
    <row r="126" spans="1:19" customFormat="1" x14ac:dyDescent="0.3">
      <c r="S126" s="19"/>
    </row>
    <row r="127" spans="1:19" x14ac:dyDescent="0.3">
      <c r="B127" s="118" t="s">
        <v>95</v>
      </c>
      <c r="C127" s="105"/>
      <c r="D127" s="106" t="s">
        <v>91</v>
      </c>
      <c r="F127" s="106"/>
      <c r="S127"/>
    </row>
    <row r="128" spans="1:19" x14ac:dyDescent="0.3">
      <c r="B128" s="107" t="s">
        <v>92</v>
      </c>
      <c r="C128" s="108">
        <f>C122</f>
        <v>1.0999999999999999E-2</v>
      </c>
      <c r="D128" s="109">
        <f>SUM(H81:H107)/(1-C128-C129)</f>
        <v>-3135.095385271235</v>
      </c>
      <c r="E128" s="2" t="s">
        <v>93</v>
      </c>
      <c r="F128" s="108">
        <f>C128</f>
        <v>1.0999999999999999E-2</v>
      </c>
      <c r="G128" s="110">
        <f>D128*F128</f>
        <v>-34.486049237983586</v>
      </c>
    </row>
    <row r="129" spans="1:9" x14ac:dyDescent="0.3">
      <c r="B129" s="107" t="s">
        <v>51</v>
      </c>
      <c r="C129" s="108">
        <f>C123</f>
        <v>5.0700000000000002E-2</v>
      </c>
      <c r="D129" s="109">
        <f>D128</f>
        <v>-3135.095385271235</v>
      </c>
      <c r="E129" s="2" t="s">
        <v>93</v>
      </c>
      <c r="F129" s="108">
        <f>C129</f>
        <v>5.0700000000000002E-2</v>
      </c>
      <c r="G129" s="110">
        <f>D129*F129</f>
        <v>-158.94933603325163</v>
      </c>
    </row>
    <row r="130" spans="1:9" x14ac:dyDescent="0.3">
      <c r="A130" s="111" t="s">
        <v>94</v>
      </c>
      <c r="B130" s="107" t="s">
        <v>11</v>
      </c>
      <c r="C130" s="112">
        <v>0.04</v>
      </c>
      <c r="D130" s="113">
        <f>H130/F130*C130</f>
        <v>-536.8284156778808</v>
      </c>
      <c r="E130" s="2" t="s">
        <v>93</v>
      </c>
      <c r="F130" s="114">
        <v>0.12</v>
      </c>
      <c r="G130" s="110">
        <f>D130*F130</f>
        <v>-64.4194098813457</v>
      </c>
      <c r="H130" s="110">
        <f>((D81*F81)+(H86+H87+H88+H89)+(D83*F83)+(D83*F83*-H57)+(H91+H92+H93+H94+H96+H97+H98+H99)+(D101*F101)+(D102*F102)+(D102*F102*-H57)+(D106*F106)+(D106*F106*-H57)+(D105*F105))/(1-F128-F129)/(1-C130)</f>
        <v>-1610.4852470336425</v>
      </c>
      <c r="I130" s="115">
        <f>H130*C130</f>
        <v>-64.4194098813457</v>
      </c>
    </row>
  </sheetData>
  <mergeCells count="12">
    <mergeCell ref="B58:H58"/>
    <mergeCell ref="B4:B5"/>
    <mergeCell ref="C4:E4"/>
    <mergeCell ref="F4:H4"/>
    <mergeCell ref="I4:K4"/>
    <mergeCell ref="U4:W4"/>
    <mergeCell ref="X4:Z4"/>
    <mergeCell ref="K11:L11"/>
    <mergeCell ref="P16:S16"/>
    <mergeCell ref="G52:H52"/>
    <mergeCell ref="Q4:Q5"/>
    <mergeCell ref="R4:T4"/>
  </mergeCells>
  <conditionalFormatting sqref="K12:L12">
    <cfRule type="cellIs" dxfId="111" priority="1" operator="equal">
      <formula>"Escassez Hídrica"</formula>
    </cfRule>
    <cfRule type="cellIs" dxfId="110" priority="2" operator="equal">
      <formula>"VERDE"</formula>
    </cfRule>
    <cfRule type="cellIs" dxfId="109" priority="3" operator="equal">
      <formula>"BVM2"</formula>
    </cfRule>
    <cfRule type="cellIs" dxfId="108" priority="4" operator="equal">
      <formula>"BVM1"</formula>
    </cfRule>
    <cfRule type="cellIs" dxfId="107" priority="5" operator="equal">
      <formula>"BAM"</formula>
    </cfRule>
  </conditionalFormatting>
  <conditionalFormatting sqref="M3">
    <cfRule type="cellIs" dxfId="106" priority="11" operator="equal">
      <formula>"VERDE"</formula>
    </cfRule>
    <cfRule type="cellIs" dxfId="105" priority="12" operator="equal">
      <formula>"BVM2"</formula>
    </cfRule>
    <cfRule type="cellIs" dxfId="104" priority="13" operator="equal">
      <formula>"BVM1"</formula>
    </cfRule>
    <cfRule type="cellIs" dxfId="103" priority="14" operator="equal">
      <formula>"BAM"</formula>
    </cfRule>
  </conditionalFormatting>
  <conditionalFormatting sqref="M8">
    <cfRule type="containsText" dxfId="102" priority="6" operator="containsText" text="Escassez Hídrica">
      <formula>NOT(ISERROR(SEARCH("Escassez Hídrica",M8)))</formula>
    </cfRule>
    <cfRule type="cellIs" dxfId="101" priority="7" operator="equal">
      <formula>"VERDE"</formula>
    </cfRule>
    <cfRule type="cellIs" dxfId="100" priority="8" operator="equal">
      <formula>"BVM2"</formula>
    </cfRule>
    <cfRule type="cellIs" dxfId="99" priority="9" operator="equal">
      <formula>"BVM1"</formula>
    </cfRule>
    <cfRule type="cellIs" dxfId="98" priority="10" operator="equal">
      <formula>"BAM"</formula>
    </cfRule>
  </conditionalFormatting>
  <dataValidations count="1">
    <dataValidation type="list" allowBlank="1" showInputMessage="1" showErrorMessage="1" sqref="K12:L12" xr:uid="{6E943D92-D86D-45B8-B7A7-E5EF0F846396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E1A6-14B6-4FBD-AAF5-895324D10F79}">
  <dimension ref="A1:AF219"/>
  <sheetViews>
    <sheetView showGridLines="0" topLeftCell="A20" zoomScale="80" zoomScaleNormal="80" workbookViewId="0">
      <selection activeCell="K26" sqref="K26"/>
    </sheetView>
  </sheetViews>
  <sheetFormatPr defaultColWidth="9.109375" defaultRowHeight="14.4" x14ac:dyDescent="0.3"/>
  <cols>
    <col min="1" max="1" width="5.44140625" style="19" customWidth="1"/>
    <col min="2" max="2" width="19.33203125" style="19" customWidth="1"/>
    <col min="3" max="3" width="15.6640625" style="19" customWidth="1"/>
    <col min="4" max="10" width="12.6640625" style="19" customWidth="1"/>
    <col min="11" max="12" width="13.8867187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154</v>
      </c>
      <c r="E2" s="20" t="s">
        <v>28</v>
      </c>
      <c r="F2" s="21">
        <f>'Fatura B1 (GD II) OK'!F2</f>
        <v>46241</v>
      </c>
      <c r="G2" s="1" t="s">
        <v>8</v>
      </c>
      <c r="I2" s="101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54" t="s">
        <v>152</v>
      </c>
      <c r="C4" s="418" t="s">
        <v>58</v>
      </c>
      <c r="D4" s="418"/>
      <c r="E4" s="418"/>
      <c r="F4" s="418" t="str">
        <f>'Fatura B1 (GD II) OK'!F4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'[1]Fatura B1 (Res) OK'!$N$4</f>
        <v>1.8849999999999999E-2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5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'[1]Fatura B1 (Res) OK'!$N$5</f>
        <v>4.4630000000000003E-2</v>
      </c>
      <c r="Q5" s="414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3">
      <c r="B6" s="30" t="s">
        <v>153</v>
      </c>
      <c r="C6" s="284">
        <f>'[1]TABELA DE TARIFAS ANTIGAS'!G72/1000</f>
        <v>0.28337000000000001</v>
      </c>
      <c r="D6" s="284">
        <f>'[1]TABELA DE TARIFAS ANTIGAS'!H72/1000</f>
        <v>0.29880000000000001</v>
      </c>
      <c r="E6" s="284">
        <f t="shared" ref="E6:E7" si="0">C6+D6</f>
        <v>0.58217000000000008</v>
      </c>
      <c r="F6" s="284">
        <f>'[1]TABELA DE TARIFAS NOVAS'!G74/1000</f>
        <v>0.28935</v>
      </c>
      <c r="G6" s="284">
        <f>'[1]TABELA DE TARIFAS NOVAS'!H74/1000</f>
        <v>0.29333999999999999</v>
      </c>
      <c r="H6" s="284">
        <f t="shared" ref="H6" si="1">F6+G6</f>
        <v>0.58268999999999993</v>
      </c>
      <c r="I6" s="31">
        <f>((C6*$C$14)+(F6*$D$14))/($D$14+$C$14)</f>
        <v>9.7989999999999869E-2</v>
      </c>
      <c r="J6" s="31">
        <f>((D6*$C$14)+(G6*$D$14))/($D$14+$C$14)</f>
        <v>0.46806000000000125</v>
      </c>
      <c r="K6" s="32">
        <f t="shared" ref="K6:K7" si="2">I6+J6</f>
        <v>0.56605000000000116</v>
      </c>
      <c r="M6" s="13" t="s">
        <v>16</v>
      </c>
      <c r="N6" s="14">
        <f>'[1]Fatura B1 (Res) OK'!$N$6</f>
        <v>7.8770000000000007E-2</v>
      </c>
      <c r="P6" s="33"/>
      <c r="Q6" s="30" t="str">
        <f>B6</f>
        <v>Baixa renda</v>
      </c>
      <c r="R6" s="31">
        <f>'[1]FIO B'!H12/1000</f>
        <v>0.17652000000000001</v>
      </c>
      <c r="S6"/>
      <c r="T6"/>
      <c r="U6" s="31">
        <f>'[1]FIO B'!K12/1000</f>
        <v>6.17832676411392E-2</v>
      </c>
      <c r="V6"/>
      <c r="W6"/>
      <c r="X6" s="31">
        <f>((R6*$C$14)+(U6*$D$14))/($D$14+$C$14)</f>
        <v>3.7333587031246855</v>
      </c>
      <c r="Y6" s="1"/>
      <c r="Z6" s="1"/>
    </row>
    <row r="7" spans="1:26" x14ac:dyDescent="0.3">
      <c r="B7" s="243" t="s">
        <v>200</v>
      </c>
      <c r="C7" s="278">
        <f>0.207830737658616/1000</f>
        <v>2.0783073765861601E-4</v>
      </c>
      <c r="D7" s="277">
        <f>4.01792/1000</f>
        <v>4.0179200000000003E-3</v>
      </c>
      <c r="E7" s="32">
        <f t="shared" si="0"/>
        <v>4.225750737658616E-3</v>
      </c>
      <c r="F7" s="32">
        <f>T11</f>
        <v>2.0783073765861601E-4</v>
      </c>
      <c r="G7" s="32">
        <f>U11</f>
        <v>4.0199999999999993E-3</v>
      </c>
      <c r="H7" s="32">
        <f>F7+G7</f>
        <v>4.2278307376586149E-3</v>
      </c>
      <c r="I7" s="31">
        <f>((C7*$C$14)+(F7*$D$14))/($D$14+$C$14)</f>
        <v>2.0783073765861585E-4</v>
      </c>
      <c r="J7" s="31">
        <f>((D7*$C$14)+(G7*$D$14))/($D$14+$C$14)</f>
        <v>3.9534400000000225E-3</v>
      </c>
      <c r="K7" s="32">
        <f t="shared" si="2"/>
        <v>4.1612707376586381E-3</v>
      </c>
      <c r="M7" s="227"/>
      <c r="N7" s="14"/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4.4000999999999998E-2</v>
      </c>
      <c r="H8" s="83"/>
      <c r="I8" s="83"/>
      <c r="J8" s="31">
        <f>((D8*$C$14)+(G8*$D$14))/($D$14+$C$14)</f>
        <v>-1.364031</v>
      </c>
      <c r="K8" s="84"/>
      <c r="M8" s="7" t="s">
        <v>17</v>
      </c>
      <c r="N8" s="15">
        <v>0.14199999999999999</v>
      </c>
      <c r="P8" s="228" t="s">
        <v>194</v>
      </c>
      <c r="Q8" s="229"/>
      <c r="R8" s="230" t="s">
        <v>195</v>
      </c>
      <c r="S8" s="230" t="s">
        <v>196</v>
      </c>
      <c r="T8" s="230" t="s">
        <v>35</v>
      </c>
      <c r="U8" s="230" t="s">
        <v>100</v>
      </c>
      <c r="V8"/>
      <c r="W8"/>
      <c r="X8" s="83"/>
      <c r="Y8" s="1"/>
      <c r="Z8" s="1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31" t="s">
        <v>197</v>
      </c>
      <c r="Q9" s="232"/>
      <c r="R9" s="233"/>
      <c r="S9" s="233"/>
      <c r="T9" s="234"/>
      <c r="U9" s="234"/>
      <c r="V9"/>
      <c r="W9"/>
      <c r="X9" s="1"/>
      <c r="Y9" s="1"/>
      <c r="Z9" s="1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45352</v>
      </c>
      <c r="P10" s="235" t="s">
        <v>198</v>
      </c>
      <c r="Q10" s="236"/>
      <c r="R10" s="237"/>
      <c r="S10" s="237"/>
      <c r="T10" s="238"/>
      <c r="U10" s="277">
        <f>5.61/1000</f>
        <v>5.6100000000000004E-3</v>
      </c>
      <c r="V10" s="245"/>
      <c r="W10" s="245"/>
      <c r="X10" s="1"/>
      <c r="Y10" s="1"/>
      <c r="Z10" s="1"/>
    </row>
    <row r="11" spans="1:26" x14ac:dyDescent="0.3">
      <c r="B11" s="38" t="s">
        <v>38</v>
      </c>
      <c r="C11" s="283">
        <v>554681</v>
      </c>
      <c r="E11" s="1"/>
      <c r="F11" s="1"/>
      <c r="G11" s="1"/>
      <c r="H11" s="40">
        <f>E14</f>
        <v>45372</v>
      </c>
      <c r="K11" s="408" t="s">
        <v>26</v>
      </c>
      <c r="L11" s="408"/>
      <c r="P11" s="239" t="s">
        <v>199</v>
      </c>
      <c r="Q11" s="240"/>
      <c r="R11" s="241"/>
      <c r="S11" s="241"/>
      <c r="T11" s="278">
        <f>0.207830737658616/1000</f>
        <v>2.0783073765861601E-4</v>
      </c>
      <c r="U11" s="277">
        <f>4.02/1000</f>
        <v>4.0199999999999993E-3</v>
      </c>
      <c r="V11" s="245"/>
      <c r="W11" s="245" t="s">
        <v>205</v>
      </c>
      <c r="X11" s="1"/>
      <c r="Y11" s="1"/>
      <c r="Z11" s="1"/>
    </row>
    <row r="12" spans="1:26" x14ac:dyDescent="0.3">
      <c r="A12" s="19" t="s">
        <v>8</v>
      </c>
      <c r="B12" s="41"/>
      <c r="H12" s="43"/>
      <c r="K12" s="7" t="s">
        <v>14</v>
      </c>
      <c r="L12" s="7" t="s">
        <v>13</v>
      </c>
      <c r="P12" s="246" t="s">
        <v>201</v>
      </c>
      <c r="Q12" s="247">
        <v>0.65</v>
      </c>
      <c r="R12" s="245"/>
      <c r="S12" s="245"/>
      <c r="T12" s="245"/>
      <c r="U12" s="238">
        <f>$U$11*(1-Q12)</f>
        <v>1.4069999999999996E-3</v>
      </c>
      <c r="V12" s="245"/>
      <c r="W12" s="238">
        <f>((T12*$C$14)+(U12*$D$14))/($D$14+$C$14)</f>
        <v>-4.3616999999999982E-2</v>
      </c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  <c r="P13" s="248" t="s">
        <v>202</v>
      </c>
      <c r="Q13" s="249">
        <v>0.4</v>
      </c>
      <c r="R13" s="245"/>
      <c r="S13" s="245"/>
      <c r="T13" s="245"/>
      <c r="U13" s="238">
        <f t="shared" ref="U13:U15" si="3">$U$11*(1-Q13)</f>
        <v>2.4119999999999996E-3</v>
      </c>
      <c r="V13" s="245"/>
      <c r="W13" s="238">
        <f t="shared" ref="W13:W15" si="4">((T13*$C$14)+(U13*$D$14))/($D$14+$C$14)</f>
        <v>-7.4771999999999977E-2</v>
      </c>
    </row>
    <row r="14" spans="1:26" x14ac:dyDescent="0.3">
      <c r="B14" s="17">
        <v>45344</v>
      </c>
      <c r="C14" s="18">
        <f>IF((F2-B14-1)&lt;0,0,(F2-B14-1))</f>
        <v>896</v>
      </c>
      <c r="D14" s="18">
        <f>E14-F2+1</f>
        <v>-868</v>
      </c>
      <c r="E14" s="17">
        <v>45372</v>
      </c>
      <c r="F14" s="44"/>
      <c r="G14" s="44"/>
      <c r="H14" s="45"/>
      <c r="J14" s="22">
        <f>B14</f>
        <v>45344</v>
      </c>
      <c r="K14" s="23">
        <f>IF((M10-J14-1)&lt;0,0,(M10-J14-1))</f>
        <v>7</v>
      </c>
      <c r="L14" s="23">
        <f>M14-M10+1</f>
        <v>21</v>
      </c>
      <c r="M14" s="22">
        <f>E14</f>
        <v>45372</v>
      </c>
      <c r="P14" s="250" t="s">
        <v>203</v>
      </c>
      <c r="Q14" s="249">
        <v>0.1</v>
      </c>
      <c r="R14" s="245"/>
      <c r="S14"/>
      <c r="T14" s="251"/>
      <c r="U14" s="238">
        <f t="shared" si="3"/>
        <v>3.6179999999999993E-3</v>
      </c>
      <c r="V14" s="245"/>
      <c r="W14" s="238">
        <f t="shared" si="4"/>
        <v>-0.11215799999999998</v>
      </c>
    </row>
    <row r="15" spans="1:26" x14ac:dyDescent="0.3">
      <c r="P15" s="252" t="s">
        <v>204</v>
      </c>
      <c r="Q15" s="253">
        <v>0</v>
      </c>
      <c r="R15" s="1"/>
      <c r="S15" s="1"/>
      <c r="T15" s="1"/>
      <c r="U15" s="238">
        <f t="shared" si="3"/>
        <v>4.0199999999999993E-3</v>
      </c>
      <c r="V15" s="1"/>
      <c r="W15" s="238">
        <f t="shared" si="4"/>
        <v>-0.12461999999999998</v>
      </c>
    </row>
    <row r="16" spans="1:26" x14ac:dyDescent="0.3">
      <c r="B16" s="88" t="s">
        <v>1</v>
      </c>
      <c r="C16" s="88"/>
      <c r="D16" s="88"/>
      <c r="E16" s="88"/>
      <c r="F16" s="88"/>
      <c r="G16" s="89">
        <v>300</v>
      </c>
      <c r="H16" s="3" t="s">
        <v>2</v>
      </c>
    </row>
    <row r="17" spans="1:32" x14ac:dyDescent="0.3">
      <c r="B17" s="88" t="s">
        <v>3</v>
      </c>
      <c r="C17" s="88"/>
      <c r="D17" s="88"/>
      <c r="E17" s="88"/>
      <c r="F17" s="88"/>
      <c r="G17" s="89">
        <v>500</v>
      </c>
      <c r="H17" s="3" t="s">
        <v>2</v>
      </c>
      <c r="I17" s="91"/>
    </row>
    <row r="18" spans="1:32" x14ac:dyDescent="0.3">
      <c r="B18" s="1"/>
      <c r="F18" s="254" t="s">
        <v>206</v>
      </c>
      <c r="G18" s="244">
        <f>G17</f>
        <v>500</v>
      </c>
      <c r="H18" s="188">
        <f>G16-G18</f>
        <v>-200</v>
      </c>
      <c r="K18" s="285" t="s">
        <v>243</v>
      </c>
      <c r="L18" s="286">
        <v>30005966432</v>
      </c>
    </row>
    <row r="19" spans="1:32" x14ac:dyDescent="0.3">
      <c r="B19" s="5" t="s">
        <v>55</v>
      </c>
      <c r="E19" s="26" t="s">
        <v>10</v>
      </c>
      <c r="F19" s="85">
        <v>0.81310000000000004</v>
      </c>
      <c r="G19" s="86" t="s">
        <v>9</v>
      </c>
      <c r="H19" s="85">
        <v>1</v>
      </c>
      <c r="I19" s="280" t="s">
        <v>240</v>
      </c>
    </row>
    <row r="20" spans="1:32" x14ac:dyDescent="0.3">
      <c r="E20" s="26" t="s">
        <v>10</v>
      </c>
      <c r="F20" s="85">
        <v>0.80479999999999996</v>
      </c>
      <c r="G20" s="86" t="s">
        <v>9</v>
      </c>
      <c r="H20" s="85">
        <v>1</v>
      </c>
      <c r="I20" s="280" t="s">
        <v>242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32" x14ac:dyDescent="0.3">
      <c r="B21" s="415" t="s">
        <v>137</v>
      </c>
      <c r="C21" s="416"/>
      <c r="D21" s="416"/>
      <c r="E21" s="416"/>
      <c r="F21" s="416"/>
      <c r="G21" s="416"/>
      <c r="H21" s="417"/>
      <c r="I21" s="1"/>
      <c r="J21" s="1"/>
      <c r="K21" s="1"/>
      <c r="L21" s="1"/>
      <c r="M21" s="1"/>
      <c r="N21" s="1"/>
      <c r="O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2" x14ac:dyDescent="0.3">
      <c r="B22" s="41"/>
      <c r="D22" s="46" t="s">
        <v>40</v>
      </c>
      <c r="E22" s="46" t="s">
        <v>10</v>
      </c>
      <c r="F22" s="46" t="s">
        <v>9</v>
      </c>
      <c r="G22" s="46" t="s">
        <v>34</v>
      </c>
      <c r="H22" s="47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x14ac:dyDescent="0.3">
      <c r="A23" s="19" t="s">
        <v>8</v>
      </c>
      <c r="B23" s="48" t="s">
        <v>41</v>
      </c>
      <c r="C23" s="49"/>
      <c r="D23" s="50"/>
      <c r="E23" s="50"/>
      <c r="F23" s="50"/>
      <c r="G23" s="50"/>
      <c r="H23" s="51">
        <f>SUM(H25:H63)+SUM(H68:H73)</f>
        <v>51.360562417738137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 t="s">
        <v>8</v>
      </c>
      <c r="B24" s="41"/>
      <c r="D24" s="46"/>
      <c r="E24" s="46"/>
      <c r="F24" s="46"/>
      <c r="G24" s="46"/>
      <c r="H24" s="5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65">
        <v>0.65</v>
      </c>
      <c r="B25" s="41" t="s">
        <v>184</v>
      </c>
      <c r="D25" s="93">
        <f>IF(H18&gt;0,30,0)</f>
        <v>0</v>
      </c>
      <c r="E25" s="53">
        <f>$E$38*(1-A25)</f>
        <v>9.9179500000000004E-2</v>
      </c>
      <c r="F25" s="53">
        <f>$F$38*(1-A25)</f>
        <v>0.10457999999999999</v>
      </c>
      <c r="G25" s="53">
        <f>E25+F25</f>
        <v>0.20375949999999998</v>
      </c>
      <c r="H25" s="54">
        <f>ROUND((D25*E25),2)+ROUND((D25*F25),2)</f>
        <v>0</v>
      </c>
      <c r="I25" s="1"/>
      <c r="J25" s="1"/>
      <c r="K25" s="1"/>
      <c r="L25" s="1"/>
      <c r="M25" s="9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65">
        <v>0.4</v>
      </c>
      <c r="B26" s="41" t="s">
        <v>185</v>
      </c>
      <c r="D26" s="93">
        <f>IF(H18&gt;30,IF(H18&gt;100,70,H18-30),0)</f>
        <v>0</v>
      </c>
      <c r="E26" s="53">
        <f>$E$38*(1-A26)</f>
        <v>0.17002200000000001</v>
      </c>
      <c r="F26" s="53">
        <f t="shared" ref="F26:F27" si="5">$F$38*(1-A26)</f>
        <v>0.17927999999999999</v>
      </c>
      <c r="G26" s="53">
        <f t="shared" ref="G26:G27" si="6">E26+F26</f>
        <v>0.349302</v>
      </c>
      <c r="H26" s="54">
        <f t="shared" ref="H26:H28" si="7">ROUND((D26*E26),2)+ROUND((D26*F26),2)</f>
        <v>0</v>
      </c>
      <c r="I26" s="1"/>
      <c r="J26" s="1"/>
      <c r="K26" s="1"/>
      <c r="L26" s="1"/>
      <c r="M26" s="9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65">
        <v>0.1</v>
      </c>
      <c r="B27" s="41" t="s">
        <v>186</v>
      </c>
      <c r="D27" s="93">
        <f>IF(H18&gt;100,IF(H18&gt;220,220-100,H18-100),0)</f>
        <v>0</v>
      </c>
      <c r="E27" s="53">
        <f>$E$38*(1-A27)</f>
        <v>0.25503300000000001</v>
      </c>
      <c r="F27" s="53">
        <f t="shared" si="5"/>
        <v>0.26891999999999999</v>
      </c>
      <c r="G27" s="53">
        <f t="shared" si="6"/>
        <v>0.523953</v>
      </c>
      <c r="H27" s="54">
        <f t="shared" si="7"/>
        <v>0</v>
      </c>
      <c r="I27" s="1"/>
      <c r="J27" s="1"/>
      <c r="K27" s="1"/>
      <c r="L27" s="1"/>
      <c r="M27" s="9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65">
        <v>0</v>
      </c>
      <c r="B28" s="41" t="s">
        <v>187</v>
      </c>
      <c r="D28" s="93">
        <f>IF(H18&gt;220,H18-220,0)</f>
        <v>0</v>
      </c>
      <c r="E28" s="53">
        <f>$E$38*(1-A28)</f>
        <v>0.28337000000000001</v>
      </c>
      <c r="F28" s="53">
        <f t="shared" ref="F28" si="8">$F$38*(1-A28)</f>
        <v>0.29880000000000001</v>
      </c>
      <c r="G28" s="53">
        <f t="shared" ref="G28" si="9">E28+F28</f>
        <v>0.58217000000000008</v>
      </c>
      <c r="H28" s="54">
        <f t="shared" si="7"/>
        <v>0</v>
      </c>
      <c r="I28" s="1"/>
      <c r="J28" s="1"/>
      <c r="K28" s="1"/>
      <c r="L28" s="1"/>
      <c r="M28" s="9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B29" s="41"/>
      <c r="D29" s="55"/>
      <c r="E29" s="56"/>
      <c r="F29" s="57"/>
      <c r="G29" s="57"/>
      <c r="H29" s="5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B30" s="41" t="s">
        <v>43</v>
      </c>
      <c r="D30" s="58"/>
      <c r="F30" s="59"/>
      <c r="G30" s="59"/>
      <c r="H30" s="54">
        <f>O116</f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B31" s="41" t="s">
        <v>44</v>
      </c>
      <c r="D31" s="58"/>
      <c r="F31" s="59"/>
      <c r="G31" s="59"/>
      <c r="H31" s="54">
        <f>O125</f>
        <v>0</v>
      </c>
      <c r="I31" s="1"/>
      <c r="J31" s="1"/>
      <c r="K31" s="1"/>
      <c r="L31" s="18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B32" s="41" t="s">
        <v>45</v>
      </c>
      <c r="D32" s="58"/>
      <c r="F32" s="59"/>
      <c r="G32" s="59"/>
      <c r="H32" s="54">
        <f>O134</f>
        <v>0</v>
      </c>
      <c r="I32" s="1"/>
      <c r="J32" s="1"/>
      <c r="K32" s="1"/>
      <c r="L32" s="1"/>
      <c r="M32" s="1"/>
      <c r="N32" s="1"/>
      <c r="O32" s="1"/>
      <c r="AF32" s="1"/>
    </row>
    <row r="33" spans="1:32" x14ac:dyDescent="0.3">
      <c r="B33" s="41" t="s">
        <v>46</v>
      </c>
      <c r="D33" s="58"/>
      <c r="F33" s="59"/>
      <c r="G33" s="59"/>
      <c r="H33" s="54">
        <f>O143</f>
        <v>0</v>
      </c>
      <c r="I33" s="1"/>
      <c r="J33" s="1"/>
      <c r="K33" s="1"/>
      <c r="L33" s="1"/>
      <c r="M33" s="1"/>
      <c r="N33" s="1"/>
      <c r="O33" s="1"/>
      <c r="AF33" s="1"/>
    </row>
    <row r="34" spans="1:32" ht="14.25" customHeight="1" x14ac:dyDescent="0.3">
      <c r="B34" s="41"/>
      <c r="D34" s="60"/>
      <c r="H34" s="54"/>
      <c r="I34" s="1"/>
      <c r="J34" s="1" t="s">
        <v>8</v>
      </c>
      <c r="K34" s="90"/>
      <c r="L34" s="1"/>
      <c r="M34" s="1"/>
      <c r="N34" s="1"/>
      <c r="O34" s="1"/>
      <c r="AF34" s="1"/>
    </row>
    <row r="35" spans="1:32" x14ac:dyDescent="0.3">
      <c r="A35" s="165">
        <v>0.65</v>
      </c>
      <c r="B35" s="41" t="s">
        <v>148</v>
      </c>
      <c r="D35" s="93">
        <f>IF(G18&gt;0,30,0)</f>
        <v>30</v>
      </c>
      <c r="E35" s="53">
        <f>$E$38*(1-A35)</f>
        <v>9.9179500000000004E-2</v>
      </c>
      <c r="F35" s="53">
        <f>$F$38*(1-A35)</f>
        <v>0.10457999999999999</v>
      </c>
      <c r="G35" s="53">
        <f>E35+F35</f>
        <v>0.20375949999999998</v>
      </c>
      <c r="H35" s="54">
        <f>ROUND((D35*E35),2)+ROUND((D35*F35),2)</f>
        <v>6.12</v>
      </c>
      <c r="I35" s="1"/>
      <c r="J35" s="1"/>
      <c r="K35" s="1"/>
      <c r="L35" s="1"/>
      <c r="M35" s="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65">
        <v>0.4</v>
      </c>
      <c r="B36" s="41" t="s">
        <v>149</v>
      </c>
      <c r="D36" s="93">
        <f>IF(G18&gt;30,IF(G18&gt;100,70,G18-30),0)</f>
        <v>70</v>
      </c>
      <c r="E36" s="53">
        <f t="shared" ref="E36:E37" si="10">$E$38*(1-A36)</f>
        <v>0.17002200000000001</v>
      </c>
      <c r="F36" s="53">
        <f t="shared" ref="F36:F37" si="11">$F$38*(1-A36)</f>
        <v>0.17927999999999999</v>
      </c>
      <c r="G36" s="53">
        <f t="shared" ref="G36:G38" si="12">E36+F36</f>
        <v>0.349302</v>
      </c>
      <c r="H36" s="54">
        <f t="shared" ref="H36:H38" si="13">ROUND((D36*E36),2)+ROUND((D36*F36),2)</f>
        <v>24.450000000000003</v>
      </c>
      <c r="I36" s="1"/>
      <c r="J36" s="1"/>
      <c r="K36" s="1"/>
      <c r="L36" s="1"/>
      <c r="M36" s="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65">
        <v>0.1</v>
      </c>
      <c r="B37" s="41" t="s">
        <v>151</v>
      </c>
      <c r="D37" s="93">
        <f>IF(G18&gt;100,IF(G18&gt;220,220-100,G18-100),0)</f>
        <v>120</v>
      </c>
      <c r="E37" s="53">
        <f t="shared" si="10"/>
        <v>0.25503300000000001</v>
      </c>
      <c r="F37" s="53">
        <f t="shared" si="11"/>
        <v>0.26891999999999999</v>
      </c>
      <c r="G37" s="53">
        <f t="shared" si="12"/>
        <v>0.523953</v>
      </c>
      <c r="H37" s="54">
        <f t="shared" si="13"/>
        <v>62.870000000000005</v>
      </c>
      <c r="I37" s="1"/>
      <c r="J37" s="1"/>
      <c r="K37" s="1"/>
      <c r="L37" s="1"/>
      <c r="M37" s="9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65">
        <v>0</v>
      </c>
      <c r="B38" s="41" t="s">
        <v>150</v>
      </c>
      <c r="D38" s="93">
        <f>IF(G18&gt;220,G18-220,0)</f>
        <v>280</v>
      </c>
      <c r="E38" s="53">
        <f>IF(AND($B$14&lt;$F$2,$E$14&lt;$F$2),C6,IF($B$14&lt;$F$2,I6,F6))</f>
        <v>0.28337000000000001</v>
      </c>
      <c r="F38" s="53">
        <f>IF(AND($B$14&lt;$F$2,$E$14&lt;$F$2),D6,IF($B$14&lt;$F$2,J6,G6))</f>
        <v>0.29880000000000001</v>
      </c>
      <c r="G38" s="53">
        <f t="shared" si="12"/>
        <v>0.58217000000000008</v>
      </c>
      <c r="H38" s="54">
        <f t="shared" si="13"/>
        <v>163</v>
      </c>
      <c r="I38" s="1"/>
      <c r="J38" s="1"/>
      <c r="K38" s="1"/>
      <c r="L38" s="1"/>
      <c r="M38" s="9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B39" s="41"/>
      <c r="D39" s="55"/>
      <c r="E39" s="56"/>
      <c r="F39" s="57"/>
      <c r="G39" s="57"/>
      <c r="H39" s="5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B40" s="41" t="s">
        <v>43</v>
      </c>
      <c r="D40" s="58"/>
      <c r="F40" s="59"/>
      <c r="G40" s="59"/>
      <c r="H40" s="54">
        <f>O153</f>
        <v>2.08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B41" s="41" t="s">
        <v>44</v>
      </c>
      <c r="D41" s="58"/>
      <c r="F41" s="59"/>
      <c r="G41" s="59"/>
      <c r="H41" s="54">
        <f>O162</f>
        <v>0</v>
      </c>
      <c r="I41" s="1"/>
      <c r="J41" s="1"/>
      <c r="K41" s="1"/>
      <c r="L41" s="18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B42" s="41" t="s">
        <v>45</v>
      </c>
      <c r="D42" s="58"/>
      <c r="F42" s="59"/>
      <c r="G42" s="59"/>
      <c r="H42" s="54">
        <f>O171</f>
        <v>0</v>
      </c>
      <c r="I42" s="1"/>
      <c r="J42" s="1"/>
      <c r="K42" s="1"/>
      <c r="L42" s="1"/>
      <c r="M42" s="1"/>
      <c r="N42" s="1"/>
      <c r="O42" s="1"/>
      <c r="AF42" s="1"/>
    </row>
    <row r="43" spans="1:32" x14ac:dyDescent="0.3">
      <c r="B43" s="41" t="s">
        <v>46</v>
      </c>
      <c r="D43" s="58"/>
      <c r="F43" s="59"/>
      <c r="G43" s="59"/>
      <c r="H43" s="54">
        <f>O180</f>
        <v>0</v>
      </c>
      <c r="I43" s="1"/>
      <c r="J43" s="1"/>
      <c r="K43" s="1"/>
      <c r="L43" s="1"/>
      <c r="M43" s="1"/>
      <c r="N43" s="1"/>
      <c r="O43" s="1"/>
      <c r="AF43" s="1"/>
    </row>
    <row r="44" spans="1:32" ht="14.25" customHeight="1" x14ac:dyDescent="0.3">
      <c r="B44" s="41"/>
      <c r="D44" s="60"/>
      <c r="H44" s="54"/>
      <c r="I44" s="1"/>
      <c r="J44" s="1"/>
      <c r="K44" s="90"/>
      <c r="L44" s="1"/>
      <c r="M44" s="1"/>
      <c r="N44" s="1"/>
      <c r="O44" s="1"/>
      <c r="AF44" s="1"/>
    </row>
    <row r="45" spans="1:32" x14ac:dyDescent="0.3">
      <c r="A45" s="165">
        <v>0.65</v>
      </c>
      <c r="B45" s="41" t="s">
        <v>163</v>
      </c>
      <c r="D45" s="92">
        <f>-IF(G18&gt;0,30,0)</f>
        <v>-30</v>
      </c>
      <c r="E45" s="53">
        <f>$E$48*(1-A45)</f>
        <v>8.0642851450000011E-2</v>
      </c>
      <c r="F45" s="53">
        <f>F35</f>
        <v>0.10457999999999999</v>
      </c>
      <c r="G45" s="53">
        <f>E45+F45</f>
        <v>0.18522285145</v>
      </c>
      <c r="H45" s="54">
        <f>ROUND((D45*E45),2)+ROUND((D45*F45),2)</f>
        <v>-5.5600000000000005</v>
      </c>
      <c r="I45" s="1"/>
      <c r="J45" s="1"/>
      <c r="K45" s="90"/>
      <c r="L45" s="1"/>
      <c r="M45" s="90"/>
      <c r="N45" s="1"/>
      <c r="O45" s="1"/>
      <c r="AF45" s="1"/>
    </row>
    <row r="46" spans="1:32" x14ac:dyDescent="0.3">
      <c r="A46" s="165">
        <v>0.4</v>
      </c>
      <c r="B46" s="41" t="s">
        <v>164</v>
      </c>
      <c r="D46" s="92">
        <f>-IF(G18&gt;30,IF(G18&gt;100,70,G18-30),0)</f>
        <v>-70</v>
      </c>
      <c r="E46" s="53">
        <f t="shared" ref="E46:E47" si="14">$E$48*(1-A46)</f>
        <v>0.13824488820000003</v>
      </c>
      <c r="F46" s="53">
        <f t="shared" ref="F46" si="15">F36</f>
        <v>0.17927999999999999</v>
      </c>
      <c r="G46" s="53">
        <f t="shared" ref="G46:G48" si="16">E46+F46</f>
        <v>0.31752488820000002</v>
      </c>
      <c r="H46" s="54">
        <f t="shared" ref="H46:H48" si="17">ROUND((D46*E46),2)+ROUND((D46*F46),2)</f>
        <v>-22.23</v>
      </c>
      <c r="I46" s="1"/>
      <c r="J46" s="1"/>
      <c r="K46" s="90"/>
      <c r="L46" s="1"/>
      <c r="M46" s="1"/>
      <c r="N46" s="1"/>
      <c r="O46" s="1"/>
      <c r="AF46" s="1"/>
    </row>
    <row r="47" spans="1:32" x14ac:dyDescent="0.3">
      <c r="A47" s="165">
        <v>0.1</v>
      </c>
      <c r="B47" s="41" t="s">
        <v>165</v>
      </c>
      <c r="D47" s="92">
        <f>-IF(G18&gt;100,IF(G18&gt;220,220-100,G18-100),0)</f>
        <v>-120</v>
      </c>
      <c r="E47" s="53">
        <f t="shared" si="14"/>
        <v>0.20736733230000004</v>
      </c>
      <c r="F47" s="53">
        <f t="shared" ref="F47" si="18">F37</f>
        <v>0.26891999999999999</v>
      </c>
      <c r="G47" s="53">
        <f t="shared" si="16"/>
        <v>0.47628733230000003</v>
      </c>
      <c r="H47" s="54">
        <f t="shared" si="17"/>
        <v>-57.150000000000006</v>
      </c>
      <c r="I47" s="1"/>
      <c r="J47" s="1"/>
      <c r="K47" s="1"/>
      <c r="L47" s="1"/>
      <c r="M47" s="1"/>
      <c r="N47" s="1"/>
      <c r="O47" s="1"/>
      <c r="AF47" s="1"/>
    </row>
    <row r="48" spans="1:32" x14ac:dyDescent="0.3">
      <c r="A48" s="165">
        <v>0</v>
      </c>
      <c r="B48" s="41" t="s">
        <v>166</v>
      </c>
      <c r="D48" s="92">
        <f>-IF(G18&gt;220,G18-220,0)</f>
        <v>-280</v>
      </c>
      <c r="E48" s="53">
        <f>IF(AND($B$14&lt;$F$2,$E$14&lt;$F$2),C6*$F$19,IF($B$14&lt;$F$2,(((C6*F19)*C14)+((F6*F20)*D14))/(C14+D14),F6*$F$20))</f>
        <v>0.23040814700000004</v>
      </c>
      <c r="F48" s="53">
        <f t="shared" ref="F48" si="19">F38</f>
        <v>0.29880000000000001</v>
      </c>
      <c r="G48" s="53">
        <f t="shared" si="16"/>
        <v>0.52920814700000007</v>
      </c>
      <c r="H48" s="54">
        <f t="shared" si="17"/>
        <v>-148.17000000000002</v>
      </c>
      <c r="I48" s="1"/>
      <c r="J48" s="1"/>
      <c r="K48" s="1">
        <f>IF(AND($B$14&lt;$F$2,$E$14&lt;$F$2),C6*$F$19,IF($B$14&lt;$F$2,(((C6*F19)*C14)+((F6*F20)*D14))/(C14+D14),F6*$F$20))</f>
        <v>0.23040814700000004</v>
      </c>
      <c r="L48" s="1"/>
      <c r="M48" s="1"/>
      <c r="N48" s="1"/>
      <c r="O48" s="1"/>
      <c r="AF48" s="1"/>
    </row>
    <row r="49" spans="1:32" x14ac:dyDescent="0.3">
      <c r="B49" s="41"/>
      <c r="D49" s="55"/>
      <c r="E49" s="56"/>
      <c r="F49" s="57"/>
      <c r="G49" s="57"/>
      <c r="H49" s="54"/>
      <c r="J49" s="1"/>
      <c r="K49" s="1"/>
      <c r="L49" s="1"/>
      <c r="M49" s="1"/>
      <c r="N49" s="1"/>
      <c r="O49" s="1"/>
      <c r="AF49" s="1"/>
    </row>
    <row r="50" spans="1:32" x14ac:dyDescent="0.3">
      <c r="B50" s="41" t="s">
        <v>43</v>
      </c>
      <c r="D50" s="58"/>
      <c r="F50" s="59"/>
      <c r="G50" s="59"/>
      <c r="H50" s="54">
        <f>O192</f>
        <v>-2.08</v>
      </c>
      <c r="J50" s="1"/>
      <c r="K50" s="1"/>
      <c r="L50" s="1"/>
      <c r="M50" s="1"/>
      <c r="N50" s="1"/>
      <c r="O50" s="1"/>
      <c r="AF50" s="1"/>
    </row>
    <row r="51" spans="1:32" x14ac:dyDescent="0.3">
      <c r="B51" s="41" t="s">
        <v>44</v>
      </c>
      <c r="D51" s="58"/>
      <c r="F51" s="59"/>
      <c r="G51" s="59"/>
      <c r="H51" s="54">
        <f>O201</f>
        <v>0</v>
      </c>
      <c r="I51" s="1"/>
      <c r="J51" s="1"/>
      <c r="K51" s="1"/>
      <c r="L51" s="1"/>
      <c r="M51" s="1"/>
      <c r="N51" s="1"/>
      <c r="O51" s="1"/>
      <c r="AF51" s="1"/>
    </row>
    <row r="52" spans="1:32" x14ac:dyDescent="0.3">
      <c r="B52" s="41" t="s">
        <v>45</v>
      </c>
      <c r="D52" s="58"/>
      <c r="F52" s="59"/>
      <c r="G52" s="59"/>
      <c r="H52" s="54">
        <f>O210</f>
        <v>0</v>
      </c>
      <c r="I52" s="1"/>
      <c r="J52" s="1"/>
      <c r="K52" s="1"/>
      <c r="L52" s="1"/>
      <c r="M52" s="1"/>
      <c r="N52" s="1"/>
      <c r="O52" s="1"/>
      <c r="AF52" s="1"/>
    </row>
    <row r="53" spans="1:32" x14ac:dyDescent="0.3">
      <c r="B53" s="41" t="s">
        <v>46</v>
      </c>
      <c r="D53" s="58"/>
      <c r="F53" s="59"/>
      <c r="G53" s="59"/>
      <c r="H53" s="54">
        <f>O219</f>
        <v>0</v>
      </c>
      <c r="I53" s="97"/>
      <c r="J53" s="1"/>
      <c r="K53" s="1"/>
      <c r="L53" s="1"/>
      <c r="M53" s="1"/>
      <c r="N53" s="1"/>
      <c r="O53" s="1"/>
      <c r="AF53" s="1"/>
    </row>
    <row r="54" spans="1:32" x14ac:dyDescent="0.3">
      <c r="B54" s="41"/>
      <c r="D54" s="58"/>
      <c r="F54" s="59"/>
      <c r="G54" s="59"/>
      <c r="H54" s="54"/>
      <c r="I54" s="1"/>
      <c r="J54" s="1"/>
      <c r="K54" s="1"/>
      <c r="L54" s="1"/>
      <c r="M54" s="1"/>
      <c r="N54" s="1"/>
      <c r="O54" s="1"/>
      <c r="AF54" s="1"/>
    </row>
    <row r="55" spans="1:32" x14ac:dyDescent="0.3">
      <c r="A55" s="165">
        <v>0.65</v>
      </c>
      <c r="B55" s="181"/>
      <c r="C55" s="182"/>
      <c r="D55" s="183"/>
      <c r="E55" s="184"/>
      <c r="F55" s="184"/>
      <c r="G55" s="184"/>
      <c r="H55" s="185"/>
      <c r="I55" s="1"/>
      <c r="L55" s="1"/>
      <c r="M55" s="1"/>
      <c r="N55" s="1"/>
      <c r="O55" s="1"/>
      <c r="AF55" s="1"/>
    </row>
    <row r="56" spans="1:32" x14ac:dyDescent="0.3">
      <c r="A56" s="165">
        <v>0.4</v>
      </c>
      <c r="B56" s="181"/>
      <c r="C56" s="182"/>
      <c r="D56" s="183"/>
      <c r="E56" s="184"/>
      <c r="F56" s="184"/>
      <c r="G56" s="184"/>
      <c r="H56" s="185"/>
      <c r="I56" s="1"/>
      <c r="L56" s="1"/>
      <c r="M56" s="1"/>
      <c r="N56" s="1"/>
      <c r="O56" s="1"/>
      <c r="AF56" s="1"/>
    </row>
    <row r="57" spans="1:32" x14ac:dyDescent="0.3">
      <c r="A57" s="165">
        <v>0.1</v>
      </c>
      <c r="B57" s="181"/>
      <c r="C57" s="182"/>
      <c r="D57" s="183"/>
      <c r="E57" s="184"/>
      <c r="F57" s="184"/>
      <c r="G57" s="184"/>
      <c r="H57" s="185"/>
      <c r="I57" s="1"/>
      <c r="L57" s="1"/>
      <c r="M57" s="1"/>
      <c r="N57" s="1"/>
      <c r="O57" s="1"/>
      <c r="AF57" s="1"/>
    </row>
    <row r="58" spans="1:32" x14ac:dyDescent="0.3">
      <c r="A58" s="165">
        <v>0</v>
      </c>
      <c r="B58" s="181"/>
      <c r="C58" s="182"/>
      <c r="D58" s="183"/>
      <c r="E58" s="184"/>
      <c r="F58" s="184"/>
      <c r="G58" s="184"/>
      <c r="H58" s="185"/>
      <c r="I58" s="1"/>
      <c r="L58" s="1"/>
      <c r="M58" s="1"/>
      <c r="N58" s="1"/>
      <c r="O58" s="1"/>
      <c r="AF58" s="1"/>
    </row>
    <row r="59" spans="1:32" x14ac:dyDescent="0.3">
      <c r="B59" s="181"/>
      <c r="C59" s="182"/>
      <c r="D59" s="186"/>
      <c r="E59" s="182"/>
      <c r="F59" s="182"/>
      <c r="G59" s="187"/>
      <c r="H59" s="185"/>
      <c r="I59" s="1"/>
      <c r="L59" s="1"/>
      <c r="M59" s="1"/>
      <c r="N59" s="1"/>
      <c r="O59" s="1"/>
      <c r="AF59" s="1"/>
    </row>
    <row r="60" spans="1:32" x14ac:dyDescent="0.3">
      <c r="B60" s="181"/>
      <c r="C60" s="182"/>
      <c r="D60" s="183"/>
      <c r="E60" s="184"/>
      <c r="F60" s="184"/>
      <c r="G60" s="184"/>
      <c r="H60" s="185"/>
      <c r="I60" s="66"/>
      <c r="K60" s="67"/>
      <c r="L60" s="1"/>
      <c r="M60" s="1"/>
      <c r="N60" s="1"/>
      <c r="O60" s="1"/>
      <c r="AF60" s="1"/>
    </row>
    <row r="61" spans="1:32" x14ac:dyDescent="0.3">
      <c r="B61" s="181"/>
      <c r="C61" s="182"/>
      <c r="D61" s="183"/>
      <c r="E61" s="184"/>
      <c r="F61" s="184"/>
      <c r="G61" s="184"/>
      <c r="H61" s="185"/>
      <c r="I61" s="66"/>
      <c r="K61" s="67"/>
      <c r="L61" s="1"/>
      <c r="M61" s="1"/>
      <c r="N61" s="1"/>
      <c r="O61" s="1"/>
      <c r="AF61" s="1"/>
    </row>
    <row r="62" spans="1:32" x14ac:dyDescent="0.3">
      <c r="B62" s="181"/>
      <c r="C62" s="182"/>
      <c r="D62" s="183"/>
      <c r="E62" s="184"/>
      <c r="F62" s="184"/>
      <c r="G62" s="184"/>
      <c r="H62" s="185"/>
      <c r="I62" s="66"/>
      <c r="K62" s="67"/>
      <c r="L62" s="1"/>
      <c r="M62" s="1"/>
      <c r="N62" s="1"/>
      <c r="O62" s="1"/>
      <c r="AF62" s="1"/>
    </row>
    <row r="63" spans="1:32" x14ac:dyDescent="0.3">
      <c r="B63" s="181"/>
      <c r="C63" s="182"/>
      <c r="D63" s="183"/>
      <c r="E63" s="184"/>
      <c r="F63" s="184"/>
      <c r="G63" s="184"/>
      <c r="H63" s="185"/>
      <c r="I63" s="66">
        <f>SUM(H55:H63)</f>
        <v>0</v>
      </c>
      <c r="K63" s="67"/>
      <c r="L63" s="1"/>
      <c r="M63" s="1"/>
      <c r="N63" s="1"/>
      <c r="O63" s="1"/>
      <c r="AF63" s="1"/>
    </row>
    <row r="64" spans="1:32" x14ac:dyDescent="0.3">
      <c r="B64" s="61"/>
      <c r="C64" s="24"/>
      <c r="D64" s="24"/>
      <c r="E64" s="24"/>
      <c r="F64" s="24"/>
      <c r="G64" s="24"/>
      <c r="H64" s="62"/>
      <c r="I64" s="67"/>
      <c r="L64" s="1"/>
      <c r="M64" s="1"/>
      <c r="N64" s="1"/>
      <c r="O64" s="1"/>
      <c r="AF64" s="1"/>
    </row>
    <row r="65" spans="2:32" x14ac:dyDescent="0.3">
      <c r="B65" s="34"/>
      <c r="C65" s="35"/>
      <c r="D65" s="35"/>
      <c r="E65" s="35"/>
      <c r="F65" s="35"/>
      <c r="G65" s="35"/>
      <c r="H65" s="96">
        <f>SUM(H25:H64)</f>
        <v>23.32999999999997</v>
      </c>
      <c r="I65" s="67"/>
      <c r="J65" s="67"/>
      <c r="L65" s="1"/>
      <c r="M65" s="1"/>
      <c r="N65" s="1"/>
      <c r="O65" s="1"/>
      <c r="AF65" s="1"/>
    </row>
    <row r="66" spans="2:32" ht="25.5" customHeight="1" x14ac:dyDescent="0.3">
      <c r="B66" s="95"/>
      <c r="C66" s="1"/>
      <c r="D66" s="1"/>
      <c r="E66" s="1"/>
      <c r="F66" s="1"/>
      <c r="G66" s="1"/>
      <c r="H66" s="43"/>
      <c r="I66" s="67"/>
      <c r="K66" s="19" t="s">
        <v>8</v>
      </c>
      <c r="L66" s="1"/>
      <c r="M66" s="1"/>
      <c r="N66" s="1"/>
      <c r="O66" s="1"/>
      <c r="AF66" s="1"/>
    </row>
    <row r="67" spans="2:32" x14ac:dyDescent="0.3">
      <c r="B67" s="41"/>
      <c r="D67" s="63" t="s">
        <v>48</v>
      </c>
      <c r="E67" s="64"/>
      <c r="F67" s="64"/>
      <c r="G67" s="64"/>
      <c r="H67" s="65"/>
      <c r="I67" s="67"/>
      <c r="L67" s="1"/>
      <c r="M67" s="1"/>
      <c r="N67" s="1"/>
      <c r="O67" s="1"/>
      <c r="AF67" s="1"/>
    </row>
    <row r="68" spans="2:32" x14ac:dyDescent="0.3">
      <c r="B68" s="41" t="s">
        <v>49</v>
      </c>
      <c r="D68" s="68">
        <f>SUM(H25:H43)/(1-E68-E70)</f>
        <v>271.55462184873943</v>
      </c>
      <c r="E68" s="69">
        <v>8.5000000000000006E-3</v>
      </c>
      <c r="H68" s="70">
        <f>D68*E68</f>
        <v>2.3082142857142851</v>
      </c>
      <c r="I68" s="67"/>
      <c r="L68" s="1"/>
      <c r="M68" s="1"/>
      <c r="N68" s="1"/>
      <c r="O68" s="1"/>
      <c r="AF68" s="1"/>
    </row>
    <row r="69" spans="2:32" x14ac:dyDescent="0.3">
      <c r="B69" s="41" t="s">
        <v>50</v>
      </c>
      <c r="D69" s="68">
        <f>SUM(H45:H63)/(1-E68-E70)</f>
        <v>-247.04831932773109</v>
      </c>
      <c r="E69" s="71">
        <f>E68</f>
        <v>8.5000000000000006E-3</v>
      </c>
      <c r="H69" s="70">
        <f t="shared" ref="H69:H71" si="20">D69*E69</f>
        <v>-2.0999107142857145</v>
      </c>
      <c r="L69" s="1"/>
      <c r="M69" s="1"/>
      <c r="N69" s="1"/>
      <c r="O69" s="1"/>
      <c r="AF69" s="1"/>
    </row>
    <row r="70" spans="2:32" x14ac:dyDescent="0.3">
      <c r="B70" s="41" t="s">
        <v>51</v>
      </c>
      <c r="D70" s="68">
        <f>D68</f>
        <v>271.55462184873943</v>
      </c>
      <c r="E70" s="69">
        <v>3.95E-2</v>
      </c>
      <c r="H70" s="70">
        <f t="shared" si="20"/>
        <v>10.726407563025207</v>
      </c>
      <c r="L70" s="1"/>
      <c r="M70" s="1"/>
      <c r="N70" s="1"/>
      <c r="O70" s="1"/>
      <c r="AF70" s="1"/>
    </row>
    <row r="71" spans="2:32" x14ac:dyDescent="0.3">
      <c r="B71" s="41" t="s">
        <v>52</v>
      </c>
      <c r="D71" s="68">
        <f>D69</f>
        <v>-247.04831932773109</v>
      </c>
      <c r="E71" s="71">
        <f>E70</f>
        <v>3.95E-2</v>
      </c>
      <c r="H71" s="70">
        <f t="shared" si="20"/>
        <v>-9.7584086134453791</v>
      </c>
      <c r="L71" s="1"/>
      <c r="M71" s="1"/>
      <c r="N71" s="1"/>
      <c r="O71" s="1"/>
      <c r="AF71" s="1"/>
    </row>
    <row r="72" spans="2:32" x14ac:dyDescent="0.3">
      <c r="B72" s="41" t="s">
        <v>11</v>
      </c>
      <c r="D72" s="72">
        <f>D68/(1-E72)</f>
        <v>327.17424319125234</v>
      </c>
      <c r="E72" s="73">
        <v>0.17</v>
      </c>
      <c r="H72" s="70">
        <f>D72*E72</f>
        <v>55.6196213425129</v>
      </c>
      <c r="AF72" s="1"/>
    </row>
    <row r="73" spans="2:32" x14ac:dyDescent="0.3">
      <c r="B73" s="74" t="s">
        <v>53</v>
      </c>
      <c r="C73" s="75"/>
      <c r="D73" s="76">
        <f>((D45*F45)+(D46*F46)+(D47*F47)+(D48*F48)+(D56*F56)+(D57*F57)+(D58*F58)+(D61*F61)+(D62*F62)+(D63*F63)+(H50+H51+H52+H53)+(D55*F55)+(D60*F60))/(1-E69-E71)/(1-E73)</f>
        <v>-169.20800850460665</v>
      </c>
      <c r="E73" s="77">
        <f>E72</f>
        <v>0.17</v>
      </c>
      <c r="F73" s="75"/>
      <c r="G73" s="75"/>
      <c r="H73" s="78">
        <f>D73*E73</f>
        <v>-28.765361445783132</v>
      </c>
      <c r="AF73" s="1"/>
    </row>
    <row r="74" spans="2:32" x14ac:dyDescent="0.3">
      <c r="B74" s="217" t="s">
        <v>183</v>
      </c>
      <c r="C74" s="218"/>
      <c r="D74" s="222">
        <f>K106</f>
        <v>21.345550268300173</v>
      </c>
      <c r="E74" s="220">
        <f>E73</f>
        <v>0.17</v>
      </c>
      <c r="F74" s="218"/>
      <c r="G74" s="218"/>
      <c r="H74" s="221">
        <f>D74*E74</f>
        <v>3.6287435456110297</v>
      </c>
      <c r="AF74" s="1"/>
    </row>
    <row r="75" spans="2:32" x14ac:dyDescent="0.3">
      <c r="B75" s="224" t="s">
        <v>193</v>
      </c>
      <c r="C75" s="133"/>
      <c r="D75" s="225"/>
      <c r="E75" s="226"/>
      <c r="F75" s="226"/>
      <c r="G75" s="133"/>
      <c r="H75" s="224">
        <f>IF(AND($B$14&lt;$F$2,$E$14&lt;$F$2),(D25*U12)+(D26*U13)+(D27*U14)+(D28*U15)+(D35*U12)+(D36*U13)+(D37*U14)+(D38*U15)+(D45*U12)+(D46*U13)+(D47*U14)+(D48*U15),(D25*W12)+(D26*W13)+(D27*W14)+(D28*W15)+(D35*W12)+(D36*W13)+(D37*W14)+(D38*W15)+(D45*W12)+(D46*W13)+(D47*W14)+(D48*W15))</f>
        <v>0</v>
      </c>
      <c r="AF75" s="1"/>
    </row>
    <row r="76" spans="2:32" x14ac:dyDescent="0.3">
      <c r="AF76" s="1"/>
    </row>
    <row r="77" spans="2:32" x14ac:dyDescent="0.3">
      <c r="B77" s="170" t="s">
        <v>167</v>
      </c>
      <c r="C77" s="171"/>
      <c r="D77" s="171"/>
      <c r="E77" s="171"/>
      <c r="F77" s="171"/>
      <c r="G77" s="171"/>
      <c r="H77" s="172">
        <f>K105</f>
        <v>3.1509265000000255</v>
      </c>
      <c r="I77" s="173" t="s">
        <v>168</v>
      </c>
      <c r="J77" s="174"/>
      <c r="K77" s="175"/>
      <c r="L77" s="176"/>
      <c r="M77" s="176"/>
      <c r="N77" s="176"/>
      <c r="O77" s="176"/>
      <c r="AF77" s="1"/>
    </row>
    <row r="78" spans="2:32" x14ac:dyDescent="0.3">
      <c r="L78" s="1"/>
      <c r="M78" s="1"/>
      <c r="N78" s="177"/>
      <c r="O78" s="1"/>
      <c r="AF78" s="1"/>
    </row>
    <row r="79" spans="2:32" x14ac:dyDescent="0.3">
      <c r="F79" s="130" t="s">
        <v>191</v>
      </c>
      <c r="G79" s="1"/>
      <c r="H79" s="1"/>
      <c r="L79" s="1"/>
      <c r="M79" s="1"/>
      <c r="N79" s="177"/>
      <c r="O79" s="1"/>
      <c r="AF79" s="1"/>
    </row>
    <row r="80" spans="2:32" x14ac:dyDescent="0.3">
      <c r="G80" s="1"/>
      <c r="H80" s="1"/>
      <c r="I80" s="178" t="s">
        <v>169</v>
      </c>
      <c r="J80" s="178" t="s">
        <v>170</v>
      </c>
      <c r="K80" s="118"/>
      <c r="L80" s="1"/>
      <c r="M80" s="1" t="s">
        <v>192</v>
      </c>
      <c r="N80" s="177"/>
      <c r="O80" s="1"/>
      <c r="AF80" s="1"/>
    </row>
    <row r="81" spans="6:32" x14ac:dyDescent="0.3">
      <c r="F81" s="19" t="s">
        <v>156</v>
      </c>
      <c r="G81" s="190" t="s">
        <v>171</v>
      </c>
      <c r="H81" s="191">
        <f>SUM(D25:D28,D35:D38)</f>
        <v>500</v>
      </c>
      <c r="I81" s="192">
        <f>E28</f>
        <v>0.28337000000000001</v>
      </c>
      <c r="J81" s="192">
        <f>F28</f>
        <v>0.29880000000000001</v>
      </c>
      <c r="K81" s="193">
        <f>H81*(I81+J81)</f>
        <v>291.08500000000004</v>
      </c>
      <c r="L81" s="179"/>
      <c r="M81" s="215">
        <f>SUM(K81:K85)/(1-E68-E70)/(1-E72)</f>
        <v>371.36940619621345</v>
      </c>
      <c r="N81" s="177"/>
      <c r="O81" s="1"/>
      <c r="AF81" s="1"/>
    </row>
    <row r="82" spans="6:32" x14ac:dyDescent="0.3">
      <c r="G82" s="194" t="s">
        <v>14</v>
      </c>
      <c r="H82" s="191">
        <f>IF($K$12=$B$146,(H81*($K$14)/($K$14+$L$14)),0)+IF($L$12=$B$146,(H81*($L$14)/($K$14+$L$14)),0)</f>
        <v>125</v>
      </c>
      <c r="I82" s="1"/>
      <c r="J82" s="192">
        <f>N4</f>
        <v>1.8849999999999999E-2</v>
      </c>
      <c r="K82" s="195">
        <f>H82*(I82+J82)</f>
        <v>2.3562499999999997</v>
      </c>
      <c r="L82" s="1"/>
      <c r="M82" s="1"/>
      <c r="N82" s="1"/>
      <c r="O82" s="1"/>
    </row>
    <row r="83" spans="6:32" x14ac:dyDescent="0.3">
      <c r="G83" s="194" t="s">
        <v>15</v>
      </c>
      <c r="H83" s="191">
        <f>IF($K$12=$B$155,(H82*($K$14)/($K$14+$L$14)),0)+IF($L$12=$B$155,(H82*($L$14)/($K$14+$L$14)),0)</f>
        <v>0</v>
      </c>
      <c r="I83" s="1"/>
      <c r="J83" s="192">
        <f>N5</f>
        <v>4.4630000000000003E-2</v>
      </c>
      <c r="K83" s="195">
        <f t="shared" ref="K83:K85" si="21">H83*(I83+J83)</f>
        <v>0</v>
      </c>
      <c r="L83" s="1"/>
      <c r="M83" s="1"/>
      <c r="N83" s="1"/>
      <c r="O83" s="1"/>
    </row>
    <row r="84" spans="6:32" x14ac:dyDescent="0.3">
      <c r="G84" s="194" t="s">
        <v>16</v>
      </c>
      <c r="H84" s="191">
        <f>IF($K$12=$B$164,(H83*($K$14)/($K$14+$L$14)),0)+IF($L$12=$B$164,(H83*($L$14)/($K$14+$L$14)),0)</f>
        <v>0</v>
      </c>
      <c r="J84" s="192">
        <f>N6</f>
        <v>7.8770000000000007E-2</v>
      </c>
      <c r="K84" s="195">
        <f t="shared" si="21"/>
        <v>0</v>
      </c>
      <c r="L84" s="1"/>
      <c r="M84" s="1"/>
      <c r="N84" s="1"/>
      <c r="O84" s="1"/>
    </row>
    <row r="85" spans="6:32" x14ac:dyDescent="0.3">
      <c r="G85" s="194" t="s">
        <v>17</v>
      </c>
      <c r="H85" s="191">
        <f>IF($K$12=$B$173,(H84*($K$14)/($K$14+$L$14)),0)+IF($L$12=$B$173,(H84*($L$14)/($K$14+$L$14)),0)</f>
        <v>0</v>
      </c>
      <c r="J85" s="192">
        <f>N8</f>
        <v>0.14199999999999999</v>
      </c>
      <c r="K85" s="195">
        <f t="shared" si="21"/>
        <v>0</v>
      </c>
      <c r="L85" s="1"/>
      <c r="M85" s="1"/>
      <c r="N85" s="1"/>
      <c r="O85" s="1"/>
    </row>
    <row r="86" spans="6:32" s="1" customFormat="1" x14ac:dyDescent="0.3"/>
    <row r="87" spans="6:32" x14ac:dyDescent="0.3">
      <c r="F87" s="19" t="s">
        <v>95</v>
      </c>
      <c r="G87" s="190" t="s">
        <v>171</v>
      </c>
      <c r="H87" s="191">
        <f>SUM(D45:D48)</f>
        <v>-500</v>
      </c>
      <c r="I87" s="196">
        <f>E48</f>
        <v>0.23040814700000004</v>
      </c>
      <c r="J87" s="192">
        <f>J81</f>
        <v>0.29880000000000001</v>
      </c>
      <c r="K87" s="193">
        <f>H87*(I87+J87)</f>
        <v>-264.60407350000003</v>
      </c>
      <c r="L87" s="179"/>
      <c r="M87" s="215">
        <f>((H87*J87)+(K88+K89+K90+K91))/(1-E69-E71)/(1-E73)</f>
        <v>-192.05762124126758</v>
      </c>
      <c r="N87" s="177"/>
      <c r="O87" s="1"/>
      <c r="AF87" s="1"/>
    </row>
    <row r="88" spans="6:32" x14ac:dyDescent="0.3">
      <c r="G88" s="194" t="s">
        <v>14</v>
      </c>
      <c r="H88" s="191">
        <f>IF($K$12=$B$146,(H87*($K$14)/($K$14+$L$14)),0)+IF($L$12=$B$146,(H87*($L$14)/($K$14+$L$14)),0)</f>
        <v>-125</v>
      </c>
      <c r="I88" s="1"/>
      <c r="J88" s="192">
        <f>J82</f>
        <v>1.8849999999999999E-2</v>
      </c>
      <c r="K88" s="195">
        <f t="shared" ref="K88:K91" si="22">H88*(I88+J88)</f>
        <v>-2.3562499999999997</v>
      </c>
      <c r="L88" s="1"/>
      <c r="M88" s="1"/>
      <c r="N88" s="1"/>
      <c r="O88" s="1"/>
    </row>
    <row r="89" spans="6:32" x14ac:dyDescent="0.3">
      <c r="G89" s="194" t="s">
        <v>15</v>
      </c>
      <c r="H89" s="191">
        <f>IF($K$12=$B$155,(H88*($K$14)/($K$14+$L$14)),0)+IF($L$12=$B$155,(H88*($L$14)/($K$14+$L$14)),0)</f>
        <v>0</v>
      </c>
      <c r="I89" s="1"/>
      <c r="J89" s="192">
        <f t="shared" ref="J89:J91" si="23">J83</f>
        <v>4.4630000000000003E-2</v>
      </c>
      <c r="K89" s="195">
        <f t="shared" si="22"/>
        <v>0</v>
      </c>
      <c r="L89" s="1"/>
      <c r="M89" s="1"/>
      <c r="N89" s="1"/>
      <c r="O89" s="1"/>
    </row>
    <row r="90" spans="6:32" x14ac:dyDescent="0.3">
      <c r="G90" s="194" t="s">
        <v>16</v>
      </c>
      <c r="H90" s="191">
        <f>IF($K$12=$B$164,(H89*($K$14)/($K$14+$L$14)),0)+IF($L$12=$B$164,(H89*($L$14)/($K$14+$L$14)),0)</f>
        <v>0</v>
      </c>
      <c r="J90" s="192">
        <f t="shared" si="23"/>
        <v>7.8770000000000007E-2</v>
      </c>
      <c r="K90" s="195">
        <f t="shared" si="22"/>
        <v>0</v>
      </c>
      <c r="L90" s="1"/>
      <c r="M90" s="1"/>
      <c r="N90" s="1"/>
      <c r="O90" s="1"/>
    </row>
    <row r="91" spans="6:32" x14ac:dyDescent="0.3">
      <c r="G91" s="194" t="s">
        <v>17</v>
      </c>
      <c r="H91" s="191">
        <f>IF($K$12=$B$173,(H90*($K$14)/($K$14+$L$14)),0)+IF($L$12=$B$173,(H90*($L$14)/($K$14+$L$14)),0)</f>
        <v>0</v>
      </c>
      <c r="J91" s="192">
        <f t="shared" si="23"/>
        <v>0.14199999999999999</v>
      </c>
      <c r="K91" s="195">
        <f t="shared" si="22"/>
        <v>0</v>
      </c>
      <c r="L91" s="1"/>
      <c r="M91" s="1"/>
      <c r="N91" s="1"/>
      <c r="O91" s="1"/>
    </row>
    <row r="92" spans="6:32" x14ac:dyDescent="0.3">
      <c r="G92" s="194"/>
      <c r="H92" s="197"/>
      <c r="J92" s="198"/>
      <c r="K92" s="1"/>
      <c r="L92" s="1"/>
      <c r="M92" s="1"/>
      <c r="N92" s="1"/>
      <c r="O92" s="1"/>
    </row>
    <row r="93" spans="6:32" x14ac:dyDescent="0.3">
      <c r="F93" s="130" t="s">
        <v>189</v>
      </c>
      <c r="G93" s="199" t="s">
        <v>188</v>
      </c>
      <c r="H93" s="88"/>
      <c r="I93" s="88"/>
      <c r="J93" s="88"/>
      <c r="K93" s="200">
        <f>SUM(H25:H28,H35:H38)</f>
        <v>256.44</v>
      </c>
      <c r="L93" s="1"/>
      <c r="M93" s="215">
        <f>SUM(K93:K97)/(1-E68-E70)/(1-E72)</f>
        <v>327.17424319125234</v>
      </c>
      <c r="N93" s="1"/>
      <c r="O93" s="1"/>
    </row>
    <row r="94" spans="6:32" x14ac:dyDescent="0.3">
      <c r="G94" s="194" t="s">
        <v>14</v>
      </c>
      <c r="H94" s="88"/>
      <c r="I94" s="88"/>
      <c r="J94" s="88"/>
      <c r="K94" s="200">
        <f>H30+H40</f>
        <v>2.08</v>
      </c>
      <c r="L94" s="1"/>
      <c r="M94" s="1"/>
      <c r="N94" s="1"/>
      <c r="O94" s="1"/>
    </row>
    <row r="95" spans="6:32" x14ac:dyDescent="0.3">
      <c r="G95" s="194" t="s">
        <v>15</v>
      </c>
      <c r="H95" s="88"/>
      <c r="I95" s="88"/>
      <c r="J95" s="88"/>
      <c r="K95" s="200">
        <f>H31+H41</f>
        <v>0</v>
      </c>
      <c r="L95" s="1"/>
      <c r="M95" s="1"/>
      <c r="N95" s="1"/>
      <c r="O95" s="1"/>
    </row>
    <row r="96" spans="6:32" x14ac:dyDescent="0.3">
      <c r="G96" s="194" t="s">
        <v>16</v>
      </c>
      <c r="H96" s="88"/>
      <c r="I96" s="88"/>
      <c r="J96" s="88"/>
      <c r="K96" s="200">
        <f>H32+H42</f>
        <v>0</v>
      </c>
      <c r="L96" s="1"/>
      <c r="M96" s="1"/>
      <c r="N96" s="1"/>
      <c r="O96" s="1"/>
    </row>
    <row r="97" spans="2:17" x14ac:dyDescent="0.3">
      <c r="G97" s="194" t="s">
        <v>17</v>
      </c>
      <c r="H97" s="88"/>
      <c r="I97" s="88"/>
      <c r="J97" s="88"/>
      <c r="K97" s="200">
        <f>H33+H43</f>
        <v>0</v>
      </c>
      <c r="L97" s="1"/>
      <c r="M97" s="1"/>
      <c r="N97" s="1"/>
      <c r="O97" s="1"/>
    </row>
    <row r="98" spans="2:17" x14ac:dyDescent="0.3">
      <c r="G98" s="194"/>
      <c r="L98" s="1"/>
      <c r="M98" s="1"/>
      <c r="N98" s="1"/>
      <c r="O98" s="1"/>
    </row>
    <row r="99" spans="2:17" x14ac:dyDescent="0.3">
      <c r="F99" s="130" t="s">
        <v>190</v>
      </c>
      <c r="G99" s="199" t="s">
        <v>188</v>
      </c>
      <c r="H99" s="88"/>
      <c r="I99" s="88"/>
      <c r="J99" s="88"/>
      <c r="K99" s="200">
        <f>SUM(H45:H48,H55:H58,H60:H63)</f>
        <v>-233.11</v>
      </c>
      <c r="L99" s="97"/>
      <c r="M99" s="215">
        <f>D73</f>
        <v>-169.20800850460665</v>
      </c>
      <c r="N99" s="1"/>
      <c r="O99" s="1"/>
    </row>
    <row r="100" spans="2:17" x14ac:dyDescent="0.3">
      <c r="G100" s="194" t="s">
        <v>14</v>
      </c>
      <c r="H100" s="88"/>
      <c r="I100" s="88"/>
      <c r="J100" s="88"/>
      <c r="K100" s="200">
        <f>H50</f>
        <v>-2.08</v>
      </c>
      <c r="L100" s="1"/>
      <c r="M100" s="1"/>
      <c r="N100" s="1"/>
      <c r="O100" s="1"/>
    </row>
    <row r="101" spans="2:17" x14ac:dyDescent="0.3">
      <c r="G101" s="194" t="s">
        <v>15</v>
      </c>
      <c r="H101" s="88"/>
      <c r="I101" s="88"/>
      <c r="J101" s="88"/>
      <c r="K101" s="200">
        <f t="shared" ref="K101:K103" si="24">H51</f>
        <v>0</v>
      </c>
      <c r="L101" s="1"/>
      <c r="M101" s="1"/>
      <c r="N101" s="1"/>
      <c r="O101" s="1"/>
    </row>
    <row r="102" spans="2:17" x14ac:dyDescent="0.3">
      <c r="G102" s="194" t="s">
        <v>16</v>
      </c>
      <c r="H102" s="88"/>
      <c r="I102" s="88"/>
      <c r="J102" s="88"/>
      <c r="K102" s="200">
        <f t="shared" si="24"/>
        <v>0</v>
      </c>
      <c r="L102" s="1"/>
      <c r="M102" s="1"/>
      <c r="N102" s="1"/>
      <c r="O102" s="1"/>
    </row>
    <row r="103" spans="2:17" x14ac:dyDescent="0.3">
      <c r="G103" s="194" t="s">
        <v>17</v>
      </c>
      <c r="H103" s="88"/>
      <c r="I103" s="88"/>
      <c r="J103" s="88"/>
      <c r="K103" s="200">
        <f t="shared" si="24"/>
        <v>0</v>
      </c>
      <c r="L103" s="1"/>
      <c r="M103" s="1"/>
      <c r="N103" s="1"/>
      <c r="O103" s="1"/>
    </row>
    <row r="104" spans="2:17" x14ac:dyDescent="0.3">
      <c r="G104" s="194"/>
      <c r="L104" s="1"/>
      <c r="M104" s="1"/>
      <c r="N104" s="1"/>
      <c r="O104" s="1"/>
    </row>
    <row r="105" spans="2:17" x14ac:dyDescent="0.3">
      <c r="J105" s="201" t="s">
        <v>167</v>
      </c>
      <c r="K105" s="193">
        <f>(K81+K87)-(K93+K99)</f>
        <v>3.1509265000000255</v>
      </c>
      <c r="L105" s="180" t="s">
        <v>172</v>
      </c>
      <c r="M105" s="1"/>
      <c r="N105" s="1"/>
      <c r="O105" s="1"/>
    </row>
    <row r="106" spans="2:17" x14ac:dyDescent="0.3">
      <c r="J106" s="202" t="s">
        <v>91</v>
      </c>
      <c r="K106" s="216">
        <f>(M81+M87)-(M93+M99)</f>
        <v>21.345550268300173</v>
      </c>
      <c r="L106" s="180" t="s">
        <v>173</v>
      </c>
      <c r="M106" s="1"/>
      <c r="N106" s="1"/>
      <c r="O106" s="1"/>
    </row>
    <row r="108" spans="2:17" x14ac:dyDescent="0.3">
      <c r="B108" s="1" t="s">
        <v>155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2:17" x14ac:dyDescent="0.3">
      <c r="B109" s="105" t="s">
        <v>14</v>
      </c>
      <c r="C109" s="105"/>
      <c r="D109" s="105"/>
      <c r="E109" s="105"/>
      <c r="F109" s="105"/>
      <c r="G109" s="105"/>
      <c r="H109" s="116"/>
      <c r="I109" s="116"/>
      <c r="J109" s="117"/>
      <c r="K109" s="203">
        <f>N4</f>
        <v>1.8849999999999999E-2</v>
      </c>
      <c r="L109" s="204"/>
      <c r="M109" s="106"/>
      <c r="N109" s="106"/>
      <c r="O109" s="118"/>
      <c r="P109" s="1"/>
      <c r="Q109" s="1"/>
    </row>
    <row r="110" spans="2:17" x14ac:dyDescent="0.3">
      <c r="B110" s="1"/>
      <c r="C110" s="166" t="s">
        <v>156</v>
      </c>
      <c r="D110" s="456"/>
      <c r="E110" s="457"/>
      <c r="F110" s="167"/>
      <c r="G110" s="456"/>
      <c r="H110" s="457"/>
      <c r="I110" s="167"/>
      <c r="J110" s="456" t="s">
        <v>157</v>
      </c>
      <c r="K110" s="457"/>
      <c r="L110" s="167"/>
      <c r="M110" s="456" t="s">
        <v>158</v>
      </c>
      <c r="N110" s="457"/>
      <c r="O110" s="168" t="s">
        <v>159</v>
      </c>
      <c r="P110" s="1"/>
      <c r="Q110" s="46"/>
    </row>
    <row r="111" spans="2:17" x14ac:dyDescent="0.3">
      <c r="B111" s="1"/>
      <c r="C111" s="205" t="s">
        <v>160</v>
      </c>
      <c r="D111" s="205"/>
      <c r="E111" s="205"/>
      <c r="F111" s="205"/>
      <c r="G111" s="205"/>
      <c r="H111" s="205"/>
      <c r="I111" s="205"/>
      <c r="J111" s="205"/>
      <c r="K111" s="205" t="s">
        <v>9</v>
      </c>
      <c r="L111" s="205"/>
      <c r="M111" s="205" t="s">
        <v>33</v>
      </c>
      <c r="N111" s="205" t="s">
        <v>9</v>
      </c>
      <c r="O111" s="205" t="s">
        <v>161</v>
      </c>
      <c r="P111" s="1"/>
    </row>
    <row r="112" spans="2:17" x14ac:dyDescent="0.3">
      <c r="B112" s="1"/>
      <c r="C112" s="206">
        <f>IF($K$12=$B$109,(D25*($K$14)/($K$14+$L$14)),0)+IF($L$12=$B$109,(D25*($L$14)/($K$14+$L$14)),0)</f>
        <v>0</v>
      </c>
      <c r="D112" s="207"/>
      <c r="E112" s="207"/>
      <c r="F112" s="207"/>
      <c r="G112" s="192"/>
      <c r="H112" s="192"/>
      <c r="I112" s="192"/>
      <c r="J112" s="192"/>
      <c r="K112" s="192">
        <f>$K$146*(1-Q112)</f>
        <v>6.5974999999999992E-3</v>
      </c>
      <c r="L112" s="192"/>
      <c r="M112" s="208"/>
      <c r="N112" s="208">
        <f>ROUND((C112*K112),2)</f>
        <v>0</v>
      </c>
      <c r="O112" s="193">
        <f>M112+N112</f>
        <v>0</v>
      </c>
      <c r="P112" s="209"/>
      <c r="Q112" s="169">
        <v>0.65</v>
      </c>
    </row>
    <row r="113" spans="2:17" x14ac:dyDescent="0.3">
      <c r="B113" s="1"/>
      <c r="C113" s="206">
        <f>IF($K$12=$B$109,(D26*($K$14)/($K$14+$L$14)),0)+IF($L$12=$B$109,(D26*($L$14)/($K$14+$L$14)),0)</f>
        <v>0</v>
      </c>
      <c r="D113" s="207"/>
      <c r="E113" s="207"/>
      <c r="F113" s="207"/>
      <c r="G113" s="192"/>
      <c r="H113" s="192"/>
      <c r="I113" s="192"/>
      <c r="J113" s="192"/>
      <c r="K113" s="192">
        <f>$K$146*(1-Q113)</f>
        <v>1.1309999999999999E-2</v>
      </c>
      <c r="L113" s="192"/>
      <c r="M113" s="208"/>
      <c r="N113" s="208">
        <f t="shared" ref="N113:N115" si="25">ROUND((C113*K113),2)</f>
        <v>0</v>
      </c>
      <c r="O113" s="193">
        <f>M113+N113</f>
        <v>0</v>
      </c>
      <c r="P113" s="209"/>
      <c r="Q113" s="169">
        <v>0.4</v>
      </c>
    </row>
    <row r="114" spans="2:17" x14ac:dyDescent="0.3">
      <c r="B114" s="1"/>
      <c r="C114" s="206">
        <f>IF($K$12=$B$109,(D27*($K$14)/($K$14+$L$14)),0)+IF($L$12=$B$109,(D27*($L$14)/($K$14+$L$14)),0)</f>
        <v>0</v>
      </c>
      <c r="D114" s="207"/>
      <c r="E114" s="207"/>
      <c r="F114" s="207"/>
      <c r="G114" s="192"/>
      <c r="H114" s="192"/>
      <c r="I114" s="192"/>
      <c r="J114" s="192"/>
      <c r="K114" s="192">
        <f>$K$146*(1-Q114)</f>
        <v>1.6965000000000001E-2</v>
      </c>
      <c r="L114" s="192"/>
      <c r="M114" s="208"/>
      <c r="N114" s="208">
        <f t="shared" si="25"/>
        <v>0</v>
      </c>
      <c r="O114" s="193">
        <f>M114+N114</f>
        <v>0</v>
      </c>
      <c r="P114" s="209"/>
      <c r="Q114" s="169">
        <v>0.1</v>
      </c>
    </row>
    <row r="115" spans="2:17" x14ac:dyDescent="0.3">
      <c r="B115" s="1"/>
      <c r="C115" s="206">
        <f>IF($K$12=$B$109,(D28*($K$14)/($K$14+$L$14)),0)+IF($L$12=$B$109,(D28*($L$14)/($K$14+$L$14)),0)</f>
        <v>0</v>
      </c>
      <c r="D115" s="207"/>
      <c r="E115" s="207"/>
      <c r="F115" s="207"/>
      <c r="G115" s="192"/>
      <c r="H115" s="192"/>
      <c r="I115" s="192"/>
      <c r="J115" s="192"/>
      <c r="K115" s="192">
        <f>$K$146*(1-Q115)</f>
        <v>1.8849999999999999E-2</v>
      </c>
      <c r="L115" s="192"/>
      <c r="M115" s="208"/>
      <c r="N115" s="208">
        <f t="shared" si="25"/>
        <v>0</v>
      </c>
      <c r="O115" s="193">
        <f>M115+N115</f>
        <v>0</v>
      </c>
      <c r="P115" s="209"/>
      <c r="Q115" s="169">
        <v>0</v>
      </c>
    </row>
    <row r="116" spans="2:17" x14ac:dyDescent="0.3">
      <c r="B116" s="1"/>
      <c r="C116" s="210" t="s">
        <v>162</v>
      </c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2"/>
      <c r="O116" s="213">
        <f>SUM(O112:O115)</f>
        <v>0</v>
      </c>
      <c r="P116" s="1"/>
      <c r="Q116" s="1"/>
    </row>
    <row r="117" spans="2:17" x14ac:dyDescent="0.3">
      <c r="B117" s="105"/>
      <c r="C117" s="105"/>
      <c r="D117" s="105"/>
      <c r="E117" s="105"/>
      <c r="F117" s="105"/>
      <c r="G117" s="105"/>
      <c r="H117" s="116"/>
      <c r="I117" s="116"/>
      <c r="J117" s="117"/>
      <c r="K117" s="117"/>
      <c r="L117" s="117"/>
      <c r="M117" s="106"/>
      <c r="N117" s="106"/>
      <c r="O117" s="214"/>
      <c r="P117" s="1"/>
      <c r="Q117" s="1"/>
    </row>
    <row r="118" spans="2:17" x14ac:dyDescent="0.3">
      <c r="B118" s="105" t="s">
        <v>15</v>
      </c>
      <c r="C118" s="105"/>
      <c r="D118" s="105"/>
      <c r="E118" s="105"/>
      <c r="F118" s="105"/>
      <c r="G118" s="105"/>
      <c r="H118" s="116"/>
      <c r="I118" s="116"/>
      <c r="J118" s="117"/>
      <c r="K118" s="203">
        <f>N5</f>
        <v>4.4630000000000003E-2</v>
      </c>
      <c r="L118" s="204"/>
      <c r="M118" s="106"/>
      <c r="N118" s="106"/>
      <c r="O118" s="118"/>
      <c r="P118" s="1"/>
      <c r="Q118" s="1"/>
    </row>
    <row r="119" spans="2:17" x14ac:dyDescent="0.3">
      <c r="B119" s="1"/>
      <c r="C119" s="166" t="s">
        <v>156</v>
      </c>
      <c r="D119" s="456"/>
      <c r="E119" s="457"/>
      <c r="F119" s="167"/>
      <c r="G119" s="456"/>
      <c r="H119" s="457"/>
      <c r="I119" s="167"/>
      <c r="J119" s="456" t="s">
        <v>32</v>
      </c>
      <c r="K119" s="457"/>
      <c r="L119" s="167"/>
      <c r="M119" s="456" t="s">
        <v>158</v>
      </c>
      <c r="N119" s="457"/>
      <c r="O119" s="168" t="s">
        <v>159</v>
      </c>
      <c r="P119" s="1"/>
      <c r="Q119" s="46"/>
    </row>
    <row r="120" spans="2:17" x14ac:dyDescent="0.3">
      <c r="B120" s="1"/>
      <c r="C120" s="205" t="s">
        <v>160</v>
      </c>
      <c r="D120" s="205"/>
      <c r="E120" s="205"/>
      <c r="F120" s="205"/>
      <c r="G120" s="205" t="s">
        <v>33</v>
      </c>
      <c r="H120" s="205" t="s">
        <v>9</v>
      </c>
      <c r="I120" s="205"/>
      <c r="J120" s="205" t="s">
        <v>33</v>
      </c>
      <c r="K120" s="205" t="s">
        <v>9</v>
      </c>
      <c r="L120" s="205"/>
      <c r="M120" s="205" t="s">
        <v>33</v>
      </c>
      <c r="N120" s="205" t="s">
        <v>9</v>
      </c>
      <c r="O120" s="205" t="s">
        <v>161</v>
      </c>
      <c r="P120" s="1"/>
    </row>
    <row r="121" spans="2:17" x14ac:dyDescent="0.3">
      <c r="B121" s="1"/>
      <c r="C121" s="206">
        <f>IF($K$12=$B$118,(D25*($K$14)/($K$14+$L$14)),0)+IF($L$12=$B$118,(D25*($L$14)/($K$14+$L$14)),0)</f>
        <v>0</v>
      </c>
      <c r="D121" s="207"/>
      <c r="E121" s="207"/>
      <c r="F121" s="207"/>
      <c r="G121" s="192"/>
      <c r="H121" s="192"/>
      <c r="I121" s="192"/>
      <c r="J121" s="192"/>
      <c r="K121" s="192">
        <f>$K$155*(1-Q121)</f>
        <v>1.5620500000000001E-2</v>
      </c>
      <c r="L121" s="192"/>
      <c r="M121" s="208"/>
      <c r="N121" s="208">
        <f>ROUND((C121*K121),2)</f>
        <v>0</v>
      </c>
      <c r="O121" s="193">
        <f>M121+N121</f>
        <v>0</v>
      </c>
      <c r="P121" s="209"/>
      <c r="Q121" s="169">
        <v>0.65</v>
      </c>
    </row>
    <row r="122" spans="2:17" x14ac:dyDescent="0.3">
      <c r="B122" s="1"/>
      <c r="C122" s="206">
        <f>IF($K$12=$B$118,(D26*($K$14)/($K$14+$L$14)),0)+IF($L$12=$B$118,(D26*($L$14)/($K$14+$L$14)),0)</f>
        <v>0</v>
      </c>
      <c r="D122" s="207"/>
      <c r="E122" s="207"/>
      <c r="F122" s="207"/>
      <c r="G122" s="192"/>
      <c r="H122" s="192"/>
      <c r="I122" s="192"/>
      <c r="J122" s="192"/>
      <c r="K122" s="192">
        <f>$K$155*(1-Q122)</f>
        <v>2.6778E-2</v>
      </c>
      <c r="L122" s="192"/>
      <c r="M122" s="208"/>
      <c r="N122" s="208">
        <f t="shared" ref="N122:N124" si="26">ROUND((C122*K122),2)</f>
        <v>0</v>
      </c>
      <c r="O122" s="193">
        <f>M122+N122</f>
        <v>0</v>
      </c>
      <c r="P122" s="209"/>
      <c r="Q122" s="169">
        <v>0.4</v>
      </c>
    </row>
    <row r="123" spans="2:17" x14ac:dyDescent="0.3">
      <c r="B123" s="1"/>
      <c r="C123" s="206">
        <f>IF($K$12=$B$118,(D27*($K$14)/($K$14+$L$14)),0)+IF($L$12=$B$118,(D27*($L$14)/($K$14+$L$14)),0)</f>
        <v>0</v>
      </c>
      <c r="D123" s="207"/>
      <c r="E123" s="207"/>
      <c r="F123" s="207"/>
      <c r="G123" s="192"/>
      <c r="H123" s="192"/>
      <c r="I123" s="192"/>
      <c r="J123" s="192"/>
      <c r="K123" s="192">
        <f>$K$155*(1-Q123)</f>
        <v>4.0167000000000001E-2</v>
      </c>
      <c r="L123" s="192"/>
      <c r="M123" s="208"/>
      <c r="N123" s="208">
        <f t="shared" si="26"/>
        <v>0</v>
      </c>
      <c r="O123" s="193">
        <f>M123+N123</f>
        <v>0</v>
      </c>
      <c r="P123" s="209"/>
      <c r="Q123" s="169">
        <v>0.1</v>
      </c>
    </row>
    <row r="124" spans="2:17" x14ac:dyDescent="0.3">
      <c r="B124" s="1"/>
      <c r="C124" s="206">
        <f>IF($K$12=$B$118,(D28*($K$14)/($K$14+$L$14)),0)+IF($L$12=$B$118,(D28*($L$14)/($K$14+$L$14)),0)</f>
        <v>0</v>
      </c>
      <c r="D124" s="207"/>
      <c r="E124" s="207"/>
      <c r="F124" s="207"/>
      <c r="G124" s="192"/>
      <c r="H124" s="192"/>
      <c r="I124" s="192"/>
      <c r="J124" s="192"/>
      <c r="K124" s="192">
        <f>$K$155*(1-Q124)</f>
        <v>4.4630000000000003E-2</v>
      </c>
      <c r="L124" s="192"/>
      <c r="M124" s="208"/>
      <c r="N124" s="208">
        <f t="shared" si="26"/>
        <v>0</v>
      </c>
      <c r="O124" s="193">
        <f>M124+N124</f>
        <v>0</v>
      </c>
      <c r="P124" s="209"/>
      <c r="Q124" s="169">
        <v>0</v>
      </c>
    </row>
    <row r="125" spans="2:17" x14ac:dyDescent="0.3">
      <c r="B125" s="1"/>
      <c r="C125" s="210" t="s">
        <v>162</v>
      </c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2"/>
      <c r="O125" s="213">
        <f>SUM(O121:O124)</f>
        <v>0</v>
      </c>
      <c r="P125" s="1"/>
      <c r="Q125" s="1"/>
    </row>
    <row r="126" spans="2:17" x14ac:dyDescent="0.3">
      <c r="B126" s="105"/>
      <c r="C126" s="105"/>
      <c r="D126" s="105"/>
      <c r="E126" s="105"/>
      <c r="F126" s="105"/>
      <c r="G126" s="105"/>
      <c r="H126" s="116"/>
      <c r="I126" s="116"/>
      <c r="J126" s="117"/>
      <c r="K126" s="117"/>
      <c r="L126" s="117"/>
      <c r="M126" s="106"/>
      <c r="N126" s="106"/>
      <c r="O126" s="118"/>
      <c r="P126" s="1"/>
      <c r="Q126" s="1"/>
    </row>
    <row r="127" spans="2:17" x14ac:dyDescent="0.3">
      <c r="B127" s="105" t="s">
        <v>16</v>
      </c>
      <c r="C127" s="105"/>
      <c r="D127" s="105"/>
      <c r="E127" s="105"/>
      <c r="F127" s="105"/>
      <c r="G127" s="105"/>
      <c r="H127" s="116"/>
      <c r="I127" s="116"/>
      <c r="J127" s="117"/>
      <c r="K127" s="203">
        <f>N6</f>
        <v>7.8770000000000007E-2</v>
      </c>
      <c r="L127" s="204"/>
      <c r="M127" s="106"/>
      <c r="N127" s="106"/>
      <c r="O127" s="118"/>
      <c r="P127" s="1"/>
      <c r="Q127" s="1"/>
    </row>
    <row r="128" spans="2:17" x14ac:dyDescent="0.3">
      <c r="B128" s="1"/>
      <c r="C128" s="166" t="s">
        <v>156</v>
      </c>
      <c r="D128" s="456"/>
      <c r="E128" s="457"/>
      <c r="F128" s="167"/>
      <c r="G128" s="456"/>
      <c r="H128" s="457"/>
      <c r="I128" s="167"/>
      <c r="J128" s="456" t="s">
        <v>32</v>
      </c>
      <c r="K128" s="457"/>
      <c r="L128" s="167"/>
      <c r="M128" s="456" t="s">
        <v>158</v>
      </c>
      <c r="N128" s="457"/>
      <c r="O128" s="168" t="s">
        <v>159</v>
      </c>
      <c r="P128" s="1"/>
      <c r="Q128" s="46"/>
    </row>
    <row r="129" spans="2:17" x14ac:dyDescent="0.3">
      <c r="B129" s="1"/>
      <c r="C129" s="205" t="s">
        <v>160</v>
      </c>
      <c r="D129" s="205"/>
      <c r="E129" s="205"/>
      <c r="F129" s="205"/>
      <c r="G129" s="205" t="s">
        <v>33</v>
      </c>
      <c r="H129" s="205" t="s">
        <v>9</v>
      </c>
      <c r="I129" s="205"/>
      <c r="J129" s="205" t="s">
        <v>33</v>
      </c>
      <c r="K129" s="205" t="s">
        <v>9</v>
      </c>
      <c r="L129" s="205"/>
      <c r="M129" s="205" t="s">
        <v>33</v>
      </c>
      <c r="N129" s="205" t="s">
        <v>9</v>
      </c>
      <c r="O129" s="205" t="s">
        <v>161</v>
      </c>
      <c r="P129" s="1"/>
    </row>
    <row r="130" spans="2:17" x14ac:dyDescent="0.3">
      <c r="B130" s="1"/>
      <c r="C130" s="206">
        <f>IF($K$12=$B$127,(D25*($K$14)/($K$14+$L$14)),0)+IF($L$12=$B$127,(D25*($L$14)/($K$14+$L$14)),0)</f>
        <v>0</v>
      </c>
      <c r="D130" s="207"/>
      <c r="E130" s="207"/>
      <c r="F130" s="207"/>
      <c r="G130" s="192"/>
      <c r="H130" s="192"/>
      <c r="I130" s="192"/>
      <c r="J130" s="192"/>
      <c r="K130" s="192">
        <f>$K$164*(1-Q130)</f>
        <v>2.75695E-2</v>
      </c>
      <c r="L130" s="192"/>
      <c r="M130" s="208"/>
      <c r="N130" s="208">
        <f>ROUND((C130*K130),2)</f>
        <v>0</v>
      </c>
      <c r="O130" s="193">
        <f>M130+N130</f>
        <v>0</v>
      </c>
      <c r="P130" s="209"/>
      <c r="Q130" s="169">
        <v>0.65</v>
      </c>
    </row>
    <row r="131" spans="2:17" x14ac:dyDescent="0.3">
      <c r="B131" s="1"/>
      <c r="C131" s="206">
        <f>IF($K$12=$B$127,(D26*($K$14)/($K$14+$L$14)),0)+IF($L$12=$B$127,(D26*($L$14)/($K$14+$L$14)),0)</f>
        <v>0</v>
      </c>
      <c r="D131" s="207"/>
      <c r="E131" s="207"/>
      <c r="F131" s="207"/>
      <c r="G131" s="192"/>
      <c r="H131" s="192"/>
      <c r="I131" s="192"/>
      <c r="J131" s="192"/>
      <c r="K131" s="192">
        <f>$K$164*(1-Q131)</f>
        <v>4.7262000000000005E-2</v>
      </c>
      <c r="L131" s="192"/>
      <c r="M131" s="208"/>
      <c r="N131" s="208">
        <f t="shared" ref="N131:N133" si="27">ROUND((C131*K131),2)</f>
        <v>0</v>
      </c>
      <c r="O131" s="193">
        <f>M131+N131</f>
        <v>0</v>
      </c>
      <c r="P131" s="209"/>
      <c r="Q131" s="169">
        <v>0.4</v>
      </c>
    </row>
    <row r="132" spans="2:17" x14ac:dyDescent="0.3">
      <c r="B132" s="1"/>
      <c r="C132" s="206">
        <f>IF($K$12=$B$127,(D27*($K$14)/($K$14+$L$14)),0)+IF($L$12=$B$127,(D27*($L$14)/($K$14+$L$14)),0)</f>
        <v>0</v>
      </c>
      <c r="D132" s="207"/>
      <c r="E132" s="207"/>
      <c r="F132" s="207"/>
      <c r="G132" s="192"/>
      <c r="H132" s="192"/>
      <c r="I132" s="192"/>
      <c r="J132" s="192"/>
      <c r="K132" s="192">
        <f>$K$164*(1-Q132)</f>
        <v>7.0893000000000012E-2</v>
      </c>
      <c r="L132" s="192"/>
      <c r="M132" s="208"/>
      <c r="N132" s="208">
        <f t="shared" si="27"/>
        <v>0</v>
      </c>
      <c r="O132" s="193">
        <f>M132+N132</f>
        <v>0</v>
      </c>
      <c r="P132" s="209"/>
      <c r="Q132" s="169">
        <v>0.1</v>
      </c>
    </row>
    <row r="133" spans="2:17" x14ac:dyDescent="0.3">
      <c r="B133" s="1"/>
      <c r="C133" s="206">
        <f>IF($K$12=$B$127,(D28*($K$14)/($K$14+$L$14)),0)+IF($L$12=$B$127,(D28*($L$14)/($K$14+$L$14)),0)</f>
        <v>0</v>
      </c>
      <c r="D133" s="207"/>
      <c r="E133" s="207"/>
      <c r="F133" s="207"/>
      <c r="G133" s="192"/>
      <c r="H133" s="192"/>
      <c r="I133" s="192"/>
      <c r="J133" s="192"/>
      <c r="K133" s="192">
        <f>$K$164*(1-Q133)</f>
        <v>7.8770000000000007E-2</v>
      </c>
      <c r="L133" s="192"/>
      <c r="M133" s="208"/>
      <c r="N133" s="208">
        <f t="shared" si="27"/>
        <v>0</v>
      </c>
      <c r="O133" s="193">
        <f>M133+N133</f>
        <v>0</v>
      </c>
      <c r="P133" s="209"/>
      <c r="Q133" s="169">
        <v>0</v>
      </c>
    </row>
    <row r="134" spans="2:17" x14ac:dyDescent="0.3">
      <c r="B134" s="1"/>
      <c r="C134" s="210" t="s">
        <v>162</v>
      </c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2"/>
      <c r="O134" s="213">
        <f>SUM(O130:O133)</f>
        <v>0</v>
      </c>
      <c r="P134" s="1"/>
      <c r="Q134" s="1"/>
    </row>
    <row r="135" spans="2:1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2:17" x14ac:dyDescent="0.3">
      <c r="B136" s="1" t="s">
        <v>17</v>
      </c>
      <c r="C136" s="105"/>
      <c r="D136" s="105"/>
      <c r="E136" s="105"/>
      <c r="F136" s="105"/>
      <c r="G136" s="105"/>
      <c r="H136" s="116"/>
      <c r="I136" s="116"/>
      <c r="J136" s="117"/>
      <c r="K136" s="203">
        <f>N8</f>
        <v>0.14199999999999999</v>
      </c>
      <c r="L136" s="204"/>
      <c r="M136" s="106"/>
      <c r="N136" s="106"/>
      <c r="O136" s="118"/>
      <c r="P136" s="1"/>
      <c r="Q136" s="1"/>
    </row>
    <row r="137" spans="2:17" x14ac:dyDescent="0.3">
      <c r="B137" s="1"/>
      <c r="C137" s="166" t="s">
        <v>156</v>
      </c>
      <c r="D137" s="456"/>
      <c r="E137" s="457"/>
      <c r="F137" s="167"/>
      <c r="G137" s="456"/>
      <c r="H137" s="457"/>
      <c r="I137" s="167"/>
      <c r="J137" s="456" t="s">
        <v>32</v>
      </c>
      <c r="K137" s="457"/>
      <c r="L137" s="167"/>
      <c r="M137" s="456" t="s">
        <v>158</v>
      </c>
      <c r="N137" s="457"/>
      <c r="O137" s="168" t="s">
        <v>159</v>
      </c>
      <c r="P137" s="1"/>
      <c r="Q137" s="46"/>
    </row>
    <row r="138" spans="2:17" x14ac:dyDescent="0.3">
      <c r="B138" s="1"/>
      <c r="C138" s="205" t="s">
        <v>160</v>
      </c>
      <c r="D138" s="205"/>
      <c r="E138" s="205"/>
      <c r="F138" s="205"/>
      <c r="G138" s="205" t="s">
        <v>33</v>
      </c>
      <c r="H138" s="205" t="s">
        <v>9</v>
      </c>
      <c r="I138" s="205"/>
      <c r="J138" s="205" t="s">
        <v>33</v>
      </c>
      <c r="K138" s="205" t="s">
        <v>9</v>
      </c>
      <c r="L138" s="205"/>
      <c r="M138" s="205" t="s">
        <v>33</v>
      </c>
      <c r="N138" s="205" t="s">
        <v>9</v>
      </c>
      <c r="O138" s="205" t="s">
        <v>161</v>
      </c>
      <c r="P138" s="1"/>
    </row>
    <row r="139" spans="2:17" x14ac:dyDescent="0.3">
      <c r="B139" s="1"/>
      <c r="C139" s="206">
        <f>IF($K$12=$B$136,(D25*($K$14)/($K$14+$L$14)),0)+IF($L$12=$B$136,(D25*($L$14)/($K$14+$L$14)),0)</f>
        <v>0</v>
      </c>
      <c r="D139" s="207"/>
      <c r="E139" s="207"/>
      <c r="F139" s="207"/>
      <c r="G139" s="192"/>
      <c r="H139" s="192"/>
      <c r="I139" s="192"/>
      <c r="J139" s="192"/>
      <c r="K139" s="192">
        <f>$K$173*(1-Q139)</f>
        <v>4.9699999999999994E-2</v>
      </c>
      <c r="L139" s="192"/>
      <c r="M139" s="208"/>
      <c r="N139" s="208">
        <f>ROUND((C139*K139),2)</f>
        <v>0</v>
      </c>
      <c r="O139" s="193">
        <f>M139+N139</f>
        <v>0</v>
      </c>
      <c r="P139" s="209"/>
      <c r="Q139" s="169">
        <v>0.65</v>
      </c>
    </row>
    <row r="140" spans="2:17" x14ac:dyDescent="0.3">
      <c r="B140" s="1"/>
      <c r="C140" s="206">
        <f>IF($K$12=$B$136,(D26*($K$14)/($K$14+$L$14)),0)+IF($L$12=$B$136,(D26*($L$14)/($K$14+$L$14)),0)</f>
        <v>0</v>
      </c>
      <c r="D140" s="207"/>
      <c r="E140" s="207"/>
      <c r="F140" s="207"/>
      <c r="G140" s="192"/>
      <c r="H140" s="192"/>
      <c r="I140" s="192"/>
      <c r="J140" s="192"/>
      <c r="K140" s="192">
        <f>$K$173*(1-Q140)</f>
        <v>8.5199999999999984E-2</v>
      </c>
      <c r="L140" s="192"/>
      <c r="M140" s="208"/>
      <c r="N140" s="208">
        <f t="shared" ref="N140:N142" si="28">ROUND((C140*K140),2)</f>
        <v>0</v>
      </c>
      <c r="O140" s="193">
        <f>M140+N140</f>
        <v>0</v>
      </c>
      <c r="P140" s="209"/>
      <c r="Q140" s="169">
        <v>0.4</v>
      </c>
    </row>
    <row r="141" spans="2:17" x14ac:dyDescent="0.3">
      <c r="B141" s="1"/>
      <c r="C141" s="206">
        <f>IF($K$12=$B$136,(D27*($K$14)/($K$14+$L$14)),0)+IF($L$12=$B$136,(D27*($L$14)/($K$14+$L$14)),0)</f>
        <v>0</v>
      </c>
      <c r="D141" s="207"/>
      <c r="E141" s="207"/>
      <c r="F141" s="207"/>
      <c r="G141" s="192"/>
      <c r="H141" s="192"/>
      <c r="I141" s="192"/>
      <c r="J141" s="192"/>
      <c r="K141" s="192">
        <f>$K$173*(1-Q141)</f>
        <v>0.1278</v>
      </c>
      <c r="L141" s="192"/>
      <c r="M141" s="208"/>
      <c r="N141" s="208">
        <f t="shared" si="28"/>
        <v>0</v>
      </c>
      <c r="O141" s="193">
        <f>M141+N141</f>
        <v>0</v>
      </c>
      <c r="P141" s="209"/>
      <c r="Q141" s="169">
        <v>0.1</v>
      </c>
    </row>
    <row r="142" spans="2:17" x14ac:dyDescent="0.3">
      <c r="B142" s="1"/>
      <c r="C142" s="206">
        <f>IF($K$12=$B$136,(D28*($K$14)/($K$14+$L$14)),0)+IF($L$12=$B$136,(D28*($L$14)/($K$14+$L$14)),0)</f>
        <v>0</v>
      </c>
      <c r="D142" s="207"/>
      <c r="E142" s="207"/>
      <c r="F142" s="207"/>
      <c r="G142" s="192"/>
      <c r="H142" s="192"/>
      <c r="I142" s="192"/>
      <c r="J142" s="192"/>
      <c r="K142" s="192">
        <f>$K$173*(1-Q142)</f>
        <v>0.14199999999999999</v>
      </c>
      <c r="L142" s="192"/>
      <c r="M142" s="208"/>
      <c r="N142" s="208">
        <f t="shared" si="28"/>
        <v>0</v>
      </c>
      <c r="O142" s="193">
        <f>M142+N142</f>
        <v>0</v>
      </c>
      <c r="P142" s="209"/>
      <c r="Q142" s="169">
        <v>0</v>
      </c>
    </row>
    <row r="143" spans="2:17" x14ac:dyDescent="0.3">
      <c r="B143" s="1"/>
      <c r="C143" s="210" t="s">
        <v>162</v>
      </c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2"/>
      <c r="O143" s="213">
        <f>SUM(O139:O142)</f>
        <v>0</v>
      </c>
      <c r="P143" s="1"/>
      <c r="Q143" s="1"/>
    </row>
    <row r="145" spans="2:17" x14ac:dyDescent="0.3">
      <c r="B145" s="1" t="s">
        <v>155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2:17" x14ac:dyDescent="0.3">
      <c r="B146" s="105" t="s">
        <v>14</v>
      </c>
      <c r="C146" s="105"/>
      <c r="D146" s="105"/>
      <c r="E146" s="105"/>
      <c r="F146" s="105"/>
      <c r="G146" s="105"/>
      <c r="H146" s="116"/>
      <c r="I146" s="116"/>
      <c r="J146" s="117"/>
      <c r="K146" s="203">
        <f>N4</f>
        <v>1.8849999999999999E-2</v>
      </c>
      <c r="L146" s="204"/>
      <c r="M146" s="106"/>
      <c r="N146" s="106"/>
      <c r="O146" s="118"/>
      <c r="P146" s="1"/>
      <c r="Q146" s="1"/>
    </row>
    <row r="147" spans="2:17" x14ac:dyDescent="0.3">
      <c r="B147" s="1"/>
      <c r="C147" s="166" t="s">
        <v>156</v>
      </c>
      <c r="D147" s="456"/>
      <c r="E147" s="457"/>
      <c r="F147" s="167"/>
      <c r="G147" s="456"/>
      <c r="H147" s="457"/>
      <c r="I147" s="167"/>
      <c r="J147" s="456" t="s">
        <v>157</v>
      </c>
      <c r="K147" s="457"/>
      <c r="L147" s="167"/>
      <c r="M147" s="456" t="s">
        <v>158</v>
      </c>
      <c r="N147" s="457"/>
      <c r="O147" s="168" t="s">
        <v>159</v>
      </c>
      <c r="P147" s="1"/>
      <c r="Q147" s="46"/>
    </row>
    <row r="148" spans="2:17" x14ac:dyDescent="0.3">
      <c r="B148" s="1"/>
      <c r="C148" s="205" t="s">
        <v>160</v>
      </c>
      <c r="D148" s="205"/>
      <c r="E148" s="205"/>
      <c r="F148" s="205"/>
      <c r="G148" s="205"/>
      <c r="H148" s="205"/>
      <c r="I148" s="205"/>
      <c r="J148" s="205"/>
      <c r="K148" s="205" t="s">
        <v>9</v>
      </c>
      <c r="L148" s="205"/>
      <c r="M148" s="205" t="s">
        <v>33</v>
      </c>
      <c r="N148" s="205" t="s">
        <v>9</v>
      </c>
      <c r="O148" s="205" t="s">
        <v>161</v>
      </c>
      <c r="P148" s="1"/>
    </row>
    <row r="149" spans="2:17" x14ac:dyDescent="0.3">
      <c r="B149" s="1"/>
      <c r="C149" s="206">
        <f>IF($K$12=$B$146,(D35*($K$14)/($K$14+$L$14)),0)+IF($L$12=$B$146,(D35*($L$14)/($K$14+$L$14)),0)</f>
        <v>7.5</v>
      </c>
      <c r="D149" s="207"/>
      <c r="E149" s="207"/>
      <c r="F149" s="207"/>
      <c r="G149" s="192"/>
      <c r="H149" s="192"/>
      <c r="I149" s="192"/>
      <c r="J149" s="192"/>
      <c r="K149" s="192">
        <f>$K$146*(1-Q149)</f>
        <v>6.5974999999999992E-3</v>
      </c>
      <c r="L149" s="192"/>
      <c r="M149" s="208"/>
      <c r="N149" s="208">
        <f>ROUND((C149*K149),2)</f>
        <v>0.05</v>
      </c>
      <c r="O149" s="193">
        <f>M149+N149</f>
        <v>0.05</v>
      </c>
      <c r="P149" s="209"/>
      <c r="Q149" s="169">
        <v>0.65</v>
      </c>
    </row>
    <row r="150" spans="2:17" x14ac:dyDescent="0.3">
      <c r="B150" s="1"/>
      <c r="C150" s="206">
        <f>IF($K$12=$B$146,(D36*($K$14)/($K$14+$L$14)),0)+IF($L$12=$B$146,(D36*($L$14)/($K$14+$L$14)),0)</f>
        <v>17.5</v>
      </c>
      <c r="D150" s="207"/>
      <c r="E150" s="207"/>
      <c r="F150" s="207"/>
      <c r="G150" s="192"/>
      <c r="H150" s="192"/>
      <c r="I150" s="192"/>
      <c r="J150" s="192"/>
      <c r="K150" s="192">
        <f>$K$146*(1-Q150)</f>
        <v>1.1309999999999999E-2</v>
      </c>
      <c r="L150" s="192"/>
      <c r="M150" s="208"/>
      <c r="N150" s="208">
        <f t="shared" ref="N150:N152" si="29">ROUND((C150*K150),2)</f>
        <v>0.2</v>
      </c>
      <c r="O150" s="193">
        <f>M150+N150</f>
        <v>0.2</v>
      </c>
      <c r="P150" s="209"/>
      <c r="Q150" s="169">
        <v>0.4</v>
      </c>
    </row>
    <row r="151" spans="2:17" x14ac:dyDescent="0.3">
      <c r="B151" s="1"/>
      <c r="C151" s="206">
        <f>IF($K$12=$B$146,(D37*($K$14)/($K$14+$L$14)),0)+IF($L$12=$B$146,(D37*($L$14)/($K$14+$L$14)),0)</f>
        <v>30</v>
      </c>
      <c r="D151" s="207"/>
      <c r="E151" s="207"/>
      <c r="F151" s="207"/>
      <c r="G151" s="192"/>
      <c r="H151" s="192"/>
      <c r="I151" s="192"/>
      <c r="J151" s="192"/>
      <c r="K151" s="192">
        <f>$K$146*(1-Q151)</f>
        <v>1.6965000000000001E-2</v>
      </c>
      <c r="L151" s="192"/>
      <c r="M151" s="208"/>
      <c r="N151" s="208">
        <f t="shared" si="29"/>
        <v>0.51</v>
      </c>
      <c r="O151" s="193">
        <f>M151+N151</f>
        <v>0.51</v>
      </c>
      <c r="P151" s="209"/>
      <c r="Q151" s="169">
        <v>0.1</v>
      </c>
    </row>
    <row r="152" spans="2:17" x14ac:dyDescent="0.3">
      <c r="B152" s="1"/>
      <c r="C152" s="206">
        <f>IF($K$12=$B$146,(D38*($K$14)/($K$14+$L$14)),0)+IF($L$12=$B$146,(D38*($L$14)/($K$14+$L$14)),0)</f>
        <v>70</v>
      </c>
      <c r="D152" s="207"/>
      <c r="E152" s="207"/>
      <c r="F152" s="207"/>
      <c r="G152" s="192"/>
      <c r="H152" s="192"/>
      <c r="I152" s="192"/>
      <c r="J152" s="192"/>
      <c r="K152" s="192">
        <f>$K$146*(1-Q152)</f>
        <v>1.8849999999999999E-2</v>
      </c>
      <c r="L152" s="192"/>
      <c r="M152" s="208"/>
      <c r="N152" s="208">
        <f t="shared" si="29"/>
        <v>1.32</v>
      </c>
      <c r="O152" s="193">
        <f>M152+N152</f>
        <v>1.32</v>
      </c>
      <c r="P152" s="209"/>
      <c r="Q152" s="169">
        <v>0</v>
      </c>
    </row>
    <row r="153" spans="2:17" x14ac:dyDescent="0.3">
      <c r="B153" s="1"/>
      <c r="C153" s="210" t="s">
        <v>162</v>
      </c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2"/>
      <c r="O153" s="213">
        <f>SUM(O149:O152)</f>
        <v>2.08</v>
      </c>
      <c r="P153" s="1"/>
      <c r="Q153" s="1"/>
    </row>
    <row r="154" spans="2:17" x14ac:dyDescent="0.3">
      <c r="B154" s="105"/>
      <c r="C154" s="105"/>
      <c r="D154" s="105"/>
      <c r="E154" s="105"/>
      <c r="F154" s="105"/>
      <c r="G154" s="105"/>
      <c r="H154" s="116"/>
      <c r="I154" s="116"/>
      <c r="J154" s="117"/>
      <c r="K154" s="117"/>
      <c r="L154" s="117"/>
      <c r="M154" s="106"/>
      <c r="N154" s="106"/>
      <c r="O154" s="214"/>
      <c r="P154" s="1"/>
      <c r="Q154" s="1"/>
    </row>
    <row r="155" spans="2:17" x14ac:dyDescent="0.3">
      <c r="B155" s="105" t="s">
        <v>15</v>
      </c>
      <c r="C155" s="105"/>
      <c r="D155" s="105"/>
      <c r="E155" s="105"/>
      <c r="F155" s="105"/>
      <c r="G155" s="105"/>
      <c r="H155" s="116"/>
      <c r="I155" s="116"/>
      <c r="J155" s="117"/>
      <c r="K155" s="203">
        <f>N5</f>
        <v>4.4630000000000003E-2</v>
      </c>
      <c r="L155" s="204"/>
      <c r="M155" s="106"/>
      <c r="N155" s="106"/>
      <c r="O155" s="118"/>
      <c r="P155" s="1"/>
      <c r="Q155" s="1"/>
    </row>
    <row r="156" spans="2:17" x14ac:dyDescent="0.3">
      <c r="B156" s="1"/>
      <c r="C156" s="166" t="s">
        <v>156</v>
      </c>
      <c r="D156" s="456"/>
      <c r="E156" s="457"/>
      <c r="F156" s="167"/>
      <c r="G156" s="456"/>
      <c r="H156" s="457"/>
      <c r="I156" s="167"/>
      <c r="J156" s="456" t="s">
        <v>32</v>
      </c>
      <c r="K156" s="457"/>
      <c r="L156" s="167"/>
      <c r="M156" s="456" t="s">
        <v>158</v>
      </c>
      <c r="N156" s="457"/>
      <c r="O156" s="168" t="s">
        <v>159</v>
      </c>
      <c r="P156" s="1"/>
      <c r="Q156" s="46"/>
    </row>
    <row r="157" spans="2:17" x14ac:dyDescent="0.3">
      <c r="B157" s="1"/>
      <c r="C157" s="205" t="s">
        <v>160</v>
      </c>
      <c r="D157" s="205"/>
      <c r="E157" s="205"/>
      <c r="F157" s="205"/>
      <c r="G157" s="205" t="s">
        <v>33</v>
      </c>
      <c r="H157" s="205" t="s">
        <v>9</v>
      </c>
      <c r="I157" s="205"/>
      <c r="J157" s="205" t="s">
        <v>33</v>
      </c>
      <c r="K157" s="205" t="s">
        <v>9</v>
      </c>
      <c r="L157" s="205"/>
      <c r="M157" s="205" t="s">
        <v>33</v>
      </c>
      <c r="N157" s="205" t="s">
        <v>9</v>
      </c>
      <c r="O157" s="205" t="s">
        <v>161</v>
      </c>
      <c r="P157" s="1"/>
    </row>
    <row r="158" spans="2:17" x14ac:dyDescent="0.3">
      <c r="B158" s="1"/>
      <c r="C158" s="206">
        <f>IF($K$12=$B$155,(D35*($K$14)/($K$14+$L$14)),0)+IF($L$12=$B$155,(D35*($L$14)/($K$14+$L$14)),0)</f>
        <v>0</v>
      </c>
      <c r="D158" s="207"/>
      <c r="E158" s="207"/>
      <c r="F158" s="207"/>
      <c r="G158" s="192"/>
      <c r="H158" s="192"/>
      <c r="I158" s="192"/>
      <c r="J158" s="192"/>
      <c r="K158" s="192">
        <f>$K$155*(1-Q158)</f>
        <v>1.5620500000000001E-2</v>
      </c>
      <c r="L158" s="192"/>
      <c r="M158" s="208"/>
      <c r="N158" s="208">
        <f>ROUND((C158*K158),2)</f>
        <v>0</v>
      </c>
      <c r="O158" s="193">
        <f>M158+N158</f>
        <v>0</v>
      </c>
      <c r="P158" s="209"/>
      <c r="Q158" s="169">
        <v>0.65</v>
      </c>
    </row>
    <row r="159" spans="2:17" x14ac:dyDescent="0.3">
      <c r="B159" s="1"/>
      <c r="C159" s="206">
        <f>IF($K$12=$B$155,(D36*($K$14)/($K$14+$L$14)),0)+IF($L$12=$B$155,(D36*($L$14)/($K$14+$L$14)),0)</f>
        <v>0</v>
      </c>
      <c r="D159" s="207"/>
      <c r="E159" s="207"/>
      <c r="F159" s="207"/>
      <c r="G159" s="192"/>
      <c r="H159" s="192"/>
      <c r="I159" s="192"/>
      <c r="J159" s="192"/>
      <c r="K159" s="192">
        <f>$K$155*(1-Q159)</f>
        <v>2.6778E-2</v>
      </c>
      <c r="L159" s="192"/>
      <c r="M159" s="208"/>
      <c r="N159" s="208">
        <f t="shared" ref="N159:N161" si="30">ROUND((C159*K159),2)</f>
        <v>0</v>
      </c>
      <c r="O159" s="193">
        <f>M159+N159</f>
        <v>0</v>
      </c>
      <c r="P159" s="209"/>
      <c r="Q159" s="169">
        <v>0.4</v>
      </c>
    </row>
    <row r="160" spans="2:17" x14ac:dyDescent="0.3">
      <c r="B160" s="1"/>
      <c r="C160" s="206">
        <f>IF($K$12=$B$155,(D37*($K$14)/($K$14+$L$14)),0)+IF($L$12=$B$155,(D37*($L$14)/($K$14+$L$14)),0)</f>
        <v>0</v>
      </c>
      <c r="D160" s="207"/>
      <c r="E160" s="207"/>
      <c r="F160" s="207"/>
      <c r="G160" s="192"/>
      <c r="H160" s="192"/>
      <c r="I160" s="192"/>
      <c r="J160" s="192"/>
      <c r="K160" s="192">
        <f>$K$155*(1-Q160)</f>
        <v>4.0167000000000001E-2</v>
      </c>
      <c r="L160" s="192"/>
      <c r="M160" s="208"/>
      <c r="N160" s="208">
        <f t="shared" si="30"/>
        <v>0</v>
      </c>
      <c r="O160" s="193">
        <f>M160+N160</f>
        <v>0</v>
      </c>
      <c r="P160" s="209"/>
      <c r="Q160" s="169">
        <v>0.1</v>
      </c>
    </row>
    <row r="161" spans="2:17" x14ac:dyDescent="0.3">
      <c r="B161" s="1"/>
      <c r="C161" s="206">
        <f>IF($K$12=$B$155,(D38*($K$14)/($K$14+$L$14)),0)+IF($L$12=$B$155,(D38*($L$14)/($K$14+$L$14)),0)</f>
        <v>0</v>
      </c>
      <c r="D161" s="207"/>
      <c r="E161" s="207"/>
      <c r="F161" s="207"/>
      <c r="G161" s="192"/>
      <c r="H161" s="192"/>
      <c r="I161" s="192"/>
      <c r="J161" s="192"/>
      <c r="K161" s="192">
        <f>$K$155*(1-Q161)</f>
        <v>4.4630000000000003E-2</v>
      </c>
      <c r="L161" s="192"/>
      <c r="M161" s="208"/>
      <c r="N161" s="208">
        <f t="shared" si="30"/>
        <v>0</v>
      </c>
      <c r="O161" s="193">
        <f>M161+N161</f>
        <v>0</v>
      </c>
      <c r="P161" s="209"/>
      <c r="Q161" s="169">
        <v>0</v>
      </c>
    </row>
    <row r="162" spans="2:17" x14ac:dyDescent="0.3">
      <c r="B162" s="1"/>
      <c r="C162" s="210" t="s">
        <v>162</v>
      </c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2"/>
      <c r="O162" s="213">
        <f>SUM(O158:O161)</f>
        <v>0</v>
      </c>
      <c r="P162" s="1"/>
      <c r="Q162" s="1"/>
    </row>
    <row r="163" spans="2:17" x14ac:dyDescent="0.3">
      <c r="B163" s="105"/>
      <c r="C163" s="105"/>
      <c r="D163" s="105"/>
      <c r="E163" s="105"/>
      <c r="F163" s="105"/>
      <c r="G163" s="105"/>
      <c r="H163" s="116"/>
      <c r="I163" s="116"/>
      <c r="J163" s="117"/>
      <c r="K163" s="117"/>
      <c r="L163" s="117"/>
      <c r="M163" s="106"/>
      <c r="N163" s="106"/>
      <c r="O163" s="118"/>
      <c r="P163" s="1"/>
      <c r="Q163" s="1"/>
    </row>
    <row r="164" spans="2:17" x14ac:dyDescent="0.3">
      <c r="B164" s="105" t="s">
        <v>16</v>
      </c>
      <c r="C164" s="105"/>
      <c r="D164" s="105"/>
      <c r="E164" s="105"/>
      <c r="F164" s="105"/>
      <c r="G164" s="105"/>
      <c r="H164" s="116"/>
      <c r="I164" s="116"/>
      <c r="J164" s="117"/>
      <c r="K164" s="203">
        <f>N6</f>
        <v>7.8770000000000007E-2</v>
      </c>
      <c r="L164" s="204"/>
      <c r="M164" s="106"/>
      <c r="N164" s="106"/>
      <c r="O164" s="118"/>
      <c r="P164" s="1"/>
      <c r="Q164" s="1"/>
    </row>
    <row r="165" spans="2:17" x14ac:dyDescent="0.3">
      <c r="B165" s="1"/>
      <c r="C165" s="166" t="s">
        <v>156</v>
      </c>
      <c r="D165" s="456"/>
      <c r="E165" s="457"/>
      <c r="F165" s="167"/>
      <c r="G165" s="456"/>
      <c r="H165" s="457"/>
      <c r="I165" s="167"/>
      <c r="J165" s="456" t="s">
        <v>32</v>
      </c>
      <c r="K165" s="457"/>
      <c r="L165" s="167"/>
      <c r="M165" s="456" t="s">
        <v>158</v>
      </c>
      <c r="N165" s="457"/>
      <c r="O165" s="168" t="s">
        <v>159</v>
      </c>
      <c r="P165" s="1"/>
      <c r="Q165" s="46"/>
    </row>
    <row r="166" spans="2:17" x14ac:dyDescent="0.3">
      <c r="B166" s="1"/>
      <c r="C166" s="205" t="s">
        <v>160</v>
      </c>
      <c r="D166" s="205"/>
      <c r="E166" s="205"/>
      <c r="F166" s="205"/>
      <c r="G166" s="205" t="s">
        <v>33</v>
      </c>
      <c r="H166" s="205" t="s">
        <v>9</v>
      </c>
      <c r="I166" s="205"/>
      <c r="J166" s="205" t="s">
        <v>33</v>
      </c>
      <c r="K166" s="205" t="s">
        <v>9</v>
      </c>
      <c r="L166" s="205"/>
      <c r="M166" s="205" t="s">
        <v>33</v>
      </c>
      <c r="N166" s="205" t="s">
        <v>9</v>
      </c>
      <c r="O166" s="205" t="s">
        <v>161</v>
      </c>
      <c r="P166" s="1"/>
    </row>
    <row r="167" spans="2:17" x14ac:dyDescent="0.3">
      <c r="B167" s="1"/>
      <c r="C167" s="206">
        <f>IF($K$12=$B$164,(D35*($K$14)/($K$14+$L$14)),0)+IF($L$12=$B$164,(D35*($L$14)/($K$14+$L$14)),0)</f>
        <v>0</v>
      </c>
      <c r="D167" s="207"/>
      <c r="E167" s="207"/>
      <c r="F167" s="207"/>
      <c r="G167" s="192"/>
      <c r="H167" s="192"/>
      <c r="I167" s="192"/>
      <c r="J167" s="192"/>
      <c r="K167" s="192">
        <f>$K$164*(1-Q167)</f>
        <v>2.75695E-2</v>
      </c>
      <c r="L167" s="192"/>
      <c r="M167" s="208"/>
      <c r="N167" s="208">
        <f>ROUND((C167*K167),2)</f>
        <v>0</v>
      </c>
      <c r="O167" s="193">
        <f>M167+N167</f>
        <v>0</v>
      </c>
      <c r="P167" s="209"/>
      <c r="Q167" s="169">
        <v>0.65</v>
      </c>
    </row>
    <row r="168" spans="2:17" x14ac:dyDescent="0.3">
      <c r="B168" s="1"/>
      <c r="C168" s="206">
        <f>IF($K$12=$B$164,(D36*($K$14)/($K$14+$L$14)),0)+IF($L$12=$B$164,(D36*($L$14)/($K$14+$L$14)),0)</f>
        <v>0</v>
      </c>
      <c r="D168" s="207"/>
      <c r="E168" s="207"/>
      <c r="F168" s="207"/>
      <c r="G168" s="192"/>
      <c r="H168" s="192"/>
      <c r="I168" s="192"/>
      <c r="J168" s="192"/>
      <c r="K168" s="192">
        <f>$K$164*(1-Q168)</f>
        <v>4.7262000000000005E-2</v>
      </c>
      <c r="L168" s="192"/>
      <c r="M168" s="208"/>
      <c r="N168" s="208">
        <f t="shared" ref="N168:N170" si="31">ROUND((C168*K168),2)</f>
        <v>0</v>
      </c>
      <c r="O168" s="193">
        <f>M168+N168</f>
        <v>0</v>
      </c>
      <c r="P168" s="209"/>
      <c r="Q168" s="169">
        <v>0.4</v>
      </c>
    </row>
    <row r="169" spans="2:17" x14ac:dyDescent="0.3">
      <c r="B169" s="1"/>
      <c r="C169" s="206">
        <f>IF($K$12=$B$164,(D37*($K$14)/($K$14+$L$14)),0)+IF($L$12=$B$164,(D37*($L$14)/($K$14+$L$14)),0)</f>
        <v>0</v>
      </c>
      <c r="D169" s="207"/>
      <c r="E169" s="207"/>
      <c r="F169" s="207"/>
      <c r="G169" s="192"/>
      <c r="H169" s="192"/>
      <c r="I169" s="192"/>
      <c r="J169" s="192"/>
      <c r="K169" s="192">
        <f>$K$164*(1-Q169)</f>
        <v>7.0893000000000012E-2</v>
      </c>
      <c r="L169" s="192"/>
      <c r="M169" s="208"/>
      <c r="N169" s="208">
        <f t="shared" si="31"/>
        <v>0</v>
      </c>
      <c r="O169" s="193">
        <f>M169+N169</f>
        <v>0</v>
      </c>
      <c r="P169" s="209"/>
      <c r="Q169" s="169">
        <v>0.1</v>
      </c>
    </row>
    <row r="170" spans="2:17" x14ac:dyDescent="0.3">
      <c r="B170" s="1"/>
      <c r="C170" s="206">
        <f>IF($K$12=$B$164,(D38*($K$14)/($K$14+$L$14)),0)+IF($L$12=$B$164,(D38*($L$14)/($K$14+$L$14)),0)</f>
        <v>0</v>
      </c>
      <c r="D170" s="207"/>
      <c r="E170" s="207"/>
      <c r="F170" s="207"/>
      <c r="G170" s="192"/>
      <c r="H170" s="192"/>
      <c r="I170" s="192"/>
      <c r="J170" s="192"/>
      <c r="K170" s="192">
        <f>$K$164*(1-Q170)</f>
        <v>7.8770000000000007E-2</v>
      </c>
      <c r="L170" s="192"/>
      <c r="M170" s="208"/>
      <c r="N170" s="208">
        <f t="shared" si="31"/>
        <v>0</v>
      </c>
      <c r="O170" s="193">
        <f>M170+N170</f>
        <v>0</v>
      </c>
      <c r="P170" s="209"/>
      <c r="Q170" s="169">
        <v>0</v>
      </c>
    </row>
    <row r="171" spans="2:17" x14ac:dyDescent="0.3">
      <c r="B171" s="1"/>
      <c r="C171" s="210" t="s">
        <v>162</v>
      </c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2"/>
      <c r="O171" s="213">
        <f>SUM(O167:O170)</f>
        <v>0</v>
      </c>
      <c r="P171" s="1"/>
      <c r="Q171" s="1"/>
    </row>
    <row r="172" spans="2:17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2:17" x14ac:dyDescent="0.3">
      <c r="B173" s="1" t="s">
        <v>17</v>
      </c>
      <c r="C173" s="105"/>
      <c r="D173" s="105"/>
      <c r="E173" s="105"/>
      <c r="F173" s="105"/>
      <c r="G173" s="105"/>
      <c r="H173" s="116"/>
      <c r="I173" s="116"/>
      <c r="J173" s="117"/>
      <c r="K173" s="203">
        <f>N8</f>
        <v>0.14199999999999999</v>
      </c>
      <c r="L173" s="204"/>
      <c r="M173" s="106"/>
      <c r="N173" s="106"/>
      <c r="O173" s="118"/>
      <c r="P173" s="1"/>
      <c r="Q173" s="1"/>
    </row>
    <row r="174" spans="2:17" x14ac:dyDescent="0.3">
      <c r="B174" s="1"/>
      <c r="C174" s="166" t="s">
        <v>156</v>
      </c>
      <c r="D174" s="456"/>
      <c r="E174" s="457"/>
      <c r="F174" s="167"/>
      <c r="G174" s="456"/>
      <c r="H174" s="457"/>
      <c r="I174" s="167"/>
      <c r="J174" s="456" t="s">
        <v>32</v>
      </c>
      <c r="K174" s="457"/>
      <c r="L174" s="167"/>
      <c r="M174" s="456" t="s">
        <v>158</v>
      </c>
      <c r="N174" s="457"/>
      <c r="O174" s="168" t="s">
        <v>159</v>
      </c>
      <c r="P174" s="1"/>
      <c r="Q174" s="46"/>
    </row>
    <row r="175" spans="2:17" x14ac:dyDescent="0.3">
      <c r="B175" s="1"/>
      <c r="C175" s="205" t="s">
        <v>160</v>
      </c>
      <c r="D175" s="205"/>
      <c r="E175" s="205"/>
      <c r="F175" s="205"/>
      <c r="G175" s="205" t="s">
        <v>33</v>
      </c>
      <c r="H175" s="205" t="s">
        <v>9</v>
      </c>
      <c r="I175" s="205"/>
      <c r="J175" s="205" t="s">
        <v>33</v>
      </c>
      <c r="K175" s="205" t="s">
        <v>9</v>
      </c>
      <c r="L175" s="205"/>
      <c r="M175" s="205" t="s">
        <v>33</v>
      </c>
      <c r="N175" s="205" t="s">
        <v>9</v>
      </c>
      <c r="O175" s="205" t="s">
        <v>161</v>
      </c>
      <c r="P175" s="1"/>
    </row>
    <row r="176" spans="2:17" x14ac:dyDescent="0.3">
      <c r="B176" s="1"/>
      <c r="C176" s="206">
        <f>IF($K$12=$B$173,(D35*($K$14)/($K$14+$L$14)),0)+IF($L$12=$B$173,(D35*($L$14)/($K$14+$L$14)),0)</f>
        <v>0</v>
      </c>
      <c r="D176" s="207"/>
      <c r="E176" s="207"/>
      <c r="F176" s="207"/>
      <c r="G176" s="192"/>
      <c r="H176" s="192"/>
      <c r="I176" s="192"/>
      <c r="J176" s="192"/>
      <c r="K176" s="192">
        <f>$K$173*(1-Q176)</f>
        <v>4.9699999999999994E-2</v>
      </c>
      <c r="L176" s="192"/>
      <c r="M176" s="208"/>
      <c r="N176" s="208">
        <f>ROUND((C176*K176),2)</f>
        <v>0</v>
      </c>
      <c r="O176" s="193">
        <f>M176+N176</f>
        <v>0</v>
      </c>
      <c r="P176" s="209"/>
      <c r="Q176" s="169">
        <v>0.65</v>
      </c>
    </row>
    <row r="177" spans="2:17" x14ac:dyDescent="0.3">
      <c r="B177" s="1"/>
      <c r="C177" s="206">
        <f>IF($K$12=$B$173,(D36*($K$14)/($K$14+$L$14)),0)+IF($L$12=$B$173,(D36*($L$14)/($K$14+$L$14)),0)</f>
        <v>0</v>
      </c>
      <c r="D177" s="207"/>
      <c r="E177" s="207"/>
      <c r="F177" s="207"/>
      <c r="G177" s="192"/>
      <c r="H177" s="192"/>
      <c r="I177" s="192"/>
      <c r="J177" s="192"/>
      <c r="K177" s="192">
        <f>$K$173*(1-Q177)</f>
        <v>8.5199999999999984E-2</v>
      </c>
      <c r="L177" s="192"/>
      <c r="M177" s="208"/>
      <c r="N177" s="208">
        <f t="shared" ref="N177:N179" si="32">ROUND((C177*K177),2)</f>
        <v>0</v>
      </c>
      <c r="O177" s="193">
        <f>M177+N177</f>
        <v>0</v>
      </c>
      <c r="P177" s="209"/>
      <c r="Q177" s="169">
        <v>0.4</v>
      </c>
    </row>
    <row r="178" spans="2:17" x14ac:dyDescent="0.3">
      <c r="B178" s="1"/>
      <c r="C178" s="206">
        <f>IF($K$12=$B$173,(D37*($K$14)/($K$14+$L$14)),0)+IF($L$12=$B$173,(D37*($L$14)/($K$14+$L$14)),0)</f>
        <v>0</v>
      </c>
      <c r="D178" s="207"/>
      <c r="E178" s="207"/>
      <c r="F178" s="207"/>
      <c r="G178" s="192"/>
      <c r="H178" s="192"/>
      <c r="I178" s="192"/>
      <c r="J178" s="192"/>
      <c r="K178" s="192">
        <f>$K$173*(1-Q178)</f>
        <v>0.1278</v>
      </c>
      <c r="L178" s="192"/>
      <c r="M178" s="208"/>
      <c r="N178" s="208">
        <f t="shared" si="32"/>
        <v>0</v>
      </c>
      <c r="O178" s="193">
        <f>M178+N178</f>
        <v>0</v>
      </c>
      <c r="P178" s="209"/>
      <c r="Q178" s="169">
        <v>0.1</v>
      </c>
    </row>
    <row r="179" spans="2:17" x14ac:dyDescent="0.3">
      <c r="B179" s="1"/>
      <c r="C179" s="206">
        <f>IF($K$12=$B$173,(D38*($K$14)/($K$14+$L$14)),0)+IF($L$12=$B$173,(D38*($L$14)/($K$14+$L$14)),0)</f>
        <v>0</v>
      </c>
      <c r="D179" s="207"/>
      <c r="E179" s="207"/>
      <c r="F179" s="207"/>
      <c r="G179" s="192"/>
      <c r="H179" s="192"/>
      <c r="I179" s="192"/>
      <c r="J179" s="192"/>
      <c r="K179" s="192">
        <f>$K$173*(1-Q179)</f>
        <v>0.14199999999999999</v>
      </c>
      <c r="L179" s="192"/>
      <c r="M179" s="208"/>
      <c r="N179" s="208">
        <f t="shared" si="32"/>
        <v>0</v>
      </c>
      <c r="O179" s="193">
        <f>M179+N179</f>
        <v>0</v>
      </c>
      <c r="P179" s="209"/>
      <c r="Q179" s="169">
        <v>0</v>
      </c>
    </row>
    <row r="180" spans="2:17" x14ac:dyDescent="0.3">
      <c r="B180" s="1"/>
      <c r="C180" s="210" t="s">
        <v>162</v>
      </c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2"/>
      <c r="O180" s="213">
        <f>SUM(O176:O179)</f>
        <v>0</v>
      </c>
      <c r="P180" s="1"/>
      <c r="Q180" s="1"/>
    </row>
    <row r="184" spans="2:17" x14ac:dyDescent="0.3">
      <c r="B184" s="1" t="s">
        <v>174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2:17" x14ac:dyDescent="0.3">
      <c r="B185" s="105" t="s">
        <v>14</v>
      </c>
      <c r="C185" s="105"/>
      <c r="D185" s="105"/>
      <c r="E185" s="105"/>
      <c r="F185" s="105"/>
      <c r="G185" s="105"/>
      <c r="H185" s="116"/>
      <c r="I185" s="116"/>
      <c r="J185" s="117"/>
      <c r="K185" s="203">
        <f>K146</f>
        <v>1.8849999999999999E-2</v>
      </c>
      <c r="L185" s="204"/>
      <c r="M185" s="106"/>
      <c r="N185" s="106"/>
      <c r="O185" s="118"/>
      <c r="P185" s="1"/>
      <c r="Q185" s="1"/>
    </row>
    <row r="186" spans="2:17" x14ac:dyDescent="0.3">
      <c r="B186" s="1"/>
      <c r="C186" s="166" t="s">
        <v>156</v>
      </c>
      <c r="D186" s="456"/>
      <c r="E186" s="457"/>
      <c r="F186" s="167"/>
      <c r="G186" s="456"/>
      <c r="H186" s="457"/>
      <c r="I186" s="167"/>
      <c r="J186" s="456" t="s">
        <v>157</v>
      </c>
      <c r="K186" s="457"/>
      <c r="L186" s="167"/>
      <c r="M186" s="456" t="s">
        <v>158</v>
      </c>
      <c r="N186" s="457"/>
      <c r="O186" s="168" t="s">
        <v>159</v>
      </c>
      <c r="P186" s="1"/>
      <c r="Q186" s="46"/>
    </row>
    <row r="187" spans="2:17" x14ac:dyDescent="0.3">
      <c r="B187" s="1"/>
      <c r="C187" s="205" t="s">
        <v>160</v>
      </c>
      <c r="D187" s="205"/>
      <c r="E187" s="205"/>
      <c r="F187" s="205"/>
      <c r="G187" s="205"/>
      <c r="H187" s="205"/>
      <c r="I187" s="205"/>
      <c r="J187" s="205"/>
      <c r="K187" s="205" t="s">
        <v>9</v>
      </c>
      <c r="L187" s="205"/>
      <c r="M187" s="205" t="s">
        <v>33</v>
      </c>
      <c r="N187" s="205" t="s">
        <v>9</v>
      </c>
      <c r="O187" s="205" t="s">
        <v>161</v>
      </c>
      <c r="P187" s="1"/>
    </row>
    <row r="188" spans="2:17" x14ac:dyDescent="0.3">
      <c r="B188" s="1"/>
      <c r="C188" s="206">
        <f>IF($K$12=$B$185,(D45*($K$14)/($K$14+$L$14)),0)+IF($L$12=$B$185,(D45*($L$14)/($K$14+$L$14)),0)</f>
        <v>-7.5</v>
      </c>
      <c r="D188" s="207"/>
      <c r="E188" s="207"/>
      <c r="F188" s="207"/>
      <c r="G188" s="192"/>
      <c r="H188" s="192"/>
      <c r="I188" s="192"/>
      <c r="J188" s="192"/>
      <c r="K188" s="192">
        <f>$K$185*(1-Q188)</f>
        <v>6.5974999999999992E-3</v>
      </c>
      <c r="L188" s="192"/>
      <c r="M188" s="208"/>
      <c r="N188" s="208">
        <f>ROUND((C188*K188),2)</f>
        <v>-0.05</v>
      </c>
      <c r="O188" s="193">
        <f>M188+N188</f>
        <v>-0.05</v>
      </c>
      <c r="P188" s="209"/>
      <c r="Q188" s="169">
        <v>0.65</v>
      </c>
    </row>
    <row r="189" spans="2:17" x14ac:dyDescent="0.3">
      <c r="B189" s="1"/>
      <c r="C189" s="206">
        <f>IF($K$12=$B$185,(D46*($K$14)/($K$14+$L$14)),0)+IF($L$12=$B$185,(D46*($L$14)/($K$14+$L$14)),0)</f>
        <v>-17.5</v>
      </c>
      <c r="D189" s="207"/>
      <c r="E189" s="207"/>
      <c r="F189" s="207"/>
      <c r="G189" s="192"/>
      <c r="H189" s="192"/>
      <c r="I189" s="192"/>
      <c r="J189" s="192"/>
      <c r="K189" s="192">
        <f t="shared" ref="K189:K191" si="33">$K$185*(1-Q189)</f>
        <v>1.1309999999999999E-2</v>
      </c>
      <c r="L189" s="192"/>
      <c r="M189" s="208"/>
      <c r="N189" s="208">
        <f t="shared" ref="N189:N191" si="34">ROUND((C189*K189),2)</f>
        <v>-0.2</v>
      </c>
      <c r="O189" s="193">
        <f>M189+N189</f>
        <v>-0.2</v>
      </c>
      <c r="P189" s="209"/>
      <c r="Q189" s="169">
        <v>0.4</v>
      </c>
    </row>
    <row r="190" spans="2:17" x14ac:dyDescent="0.3">
      <c r="B190" s="1"/>
      <c r="C190" s="206">
        <f>IF($K$12=$B$185,(D47*($K$14)/($K$14+$L$14)),0)+IF($L$12=$B$185,(D47*($L$14)/($K$14+$L$14)),0)</f>
        <v>-30</v>
      </c>
      <c r="D190" s="207"/>
      <c r="E190" s="207"/>
      <c r="F190" s="207"/>
      <c r="G190" s="192"/>
      <c r="H190" s="192"/>
      <c r="I190" s="192"/>
      <c r="J190" s="192"/>
      <c r="K190" s="192">
        <f t="shared" si="33"/>
        <v>1.6965000000000001E-2</v>
      </c>
      <c r="L190" s="192"/>
      <c r="M190" s="208"/>
      <c r="N190" s="208">
        <f t="shared" si="34"/>
        <v>-0.51</v>
      </c>
      <c r="O190" s="193">
        <f>M190+N190</f>
        <v>-0.51</v>
      </c>
      <c r="P190" s="209"/>
      <c r="Q190" s="169">
        <v>0.1</v>
      </c>
    </row>
    <row r="191" spans="2:17" x14ac:dyDescent="0.3">
      <c r="B191" s="1"/>
      <c r="C191" s="206">
        <f>IF($K$12=$B$185,(D48*($K$14)/($K$14+$L$14)),0)+IF($L$12=$B$185,(D48*($L$14)/($K$14+$L$14)),0)</f>
        <v>-70</v>
      </c>
      <c r="D191" s="207"/>
      <c r="E191" s="207"/>
      <c r="F191" s="207"/>
      <c r="G191" s="192"/>
      <c r="H191" s="192"/>
      <c r="I191" s="192"/>
      <c r="J191" s="192"/>
      <c r="K191" s="192">
        <f t="shared" si="33"/>
        <v>1.8849999999999999E-2</v>
      </c>
      <c r="L191" s="192"/>
      <c r="M191" s="208"/>
      <c r="N191" s="208">
        <f t="shared" si="34"/>
        <v>-1.32</v>
      </c>
      <c r="O191" s="193">
        <f>M191+N191</f>
        <v>-1.32</v>
      </c>
      <c r="P191" s="209"/>
      <c r="Q191" s="169">
        <v>0</v>
      </c>
    </row>
    <row r="192" spans="2:17" x14ac:dyDescent="0.3">
      <c r="B192" s="1"/>
      <c r="C192" s="210" t="s">
        <v>162</v>
      </c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2"/>
      <c r="O192" s="213">
        <f>SUM(O188:O191)</f>
        <v>-2.08</v>
      </c>
      <c r="P192" s="1"/>
      <c r="Q192" s="1"/>
    </row>
    <row r="193" spans="2:17" x14ac:dyDescent="0.3">
      <c r="B193" s="105"/>
      <c r="C193" s="105"/>
      <c r="D193" s="105"/>
      <c r="E193" s="105"/>
      <c r="F193" s="105"/>
      <c r="G193" s="105"/>
      <c r="H193" s="116"/>
      <c r="I193" s="116"/>
      <c r="J193" s="117"/>
      <c r="K193" s="117"/>
      <c r="L193" s="117"/>
      <c r="M193" s="106"/>
      <c r="N193" s="106"/>
      <c r="O193" s="214"/>
      <c r="P193" s="1"/>
      <c r="Q193" s="1"/>
    </row>
    <row r="194" spans="2:17" x14ac:dyDescent="0.3">
      <c r="B194" s="105" t="s">
        <v>15</v>
      </c>
      <c r="C194" s="105"/>
      <c r="D194" s="105"/>
      <c r="E194" s="105"/>
      <c r="F194" s="105"/>
      <c r="G194" s="105"/>
      <c r="H194" s="116"/>
      <c r="I194" s="116"/>
      <c r="J194" s="117"/>
      <c r="K194" s="203">
        <f>K155</f>
        <v>4.4630000000000003E-2</v>
      </c>
      <c r="L194" s="204"/>
      <c r="M194" s="106"/>
      <c r="N194" s="106"/>
      <c r="O194" s="118"/>
      <c r="P194" s="1"/>
      <c r="Q194" s="1"/>
    </row>
    <row r="195" spans="2:17" x14ac:dyDescent="0.3">
      <c r="B195" s="1"/>
      <c r="C195" s="166" t="s">
        <v>156</v>
      </c>
      <c r="D195" s="456"/>
      <c r="E195" s="457"/>
      <c r="F195" s="167"/>
      <c r="G195" s="456"/>
      <c r="H195" s="457"/>
      <c r="I195" s="167"/>
      <c r="J195" s="456" t="s">
        <v>32</v>
      </c>
      <c r="K195" s="457"/>
      <c r="L195" s="167"/>
      <c r="M195" s="456" t="s">
        <v>158</v>
      </c>
      <c r="N195" s="457"/>
      <c r="O195" s="168" t="s">
        <v>159</v>
      </c>
      <c r="P195" s="1"/>
      <c r="Q195" s="46"/>
    </row>
    <row r="196" spans="2:17" x14ac:dyDescent="0.3">
      <c r="B196" s="1"/>
      <c r="C196" s="205" t="s">
        <v>160</v>
      </c>
      <c r="D196" s="205"/>
      <c r="E196" s="205"/>
      <c r="F196" s="205"/>
      <c r="G196" s="205" t="s">
        <v>33</v>
      </c>
      <c r="H196" s="205" t="s">
        <v>9</v>
      </c>
      <c r="I196" s="205"/>
      <c r="J196" s="205" t="s">
        <v>33</v>
      </c>
      <c r="K196" s="205" t="s">
        <v>9</v>
      </c>
      <c r="L196" s="205"/>
      <c r="M196" s="205" t="s">
        <v>33</v>
      </c>
      <c r="N196" s="205" t="s">
        <v>9</v>
      </c>
      <c r="O196" s="205" t="s">
        <v>161</v>
      </c>
      <c r="P196" s="1"/>
    </row>
    <row r="197" spans="2:17" x14ac:dyDescent="0.3">
      <c r="B197" s="1"/>
      <c r="C197" s="206">
        <f>IF($K$12=$B$194,(D45*($K$14)/($K$14+$L$14)),0)+IF($L$12=$B$194,(D45*($L$14)/($K$14+$L$14)),0)</f>
        <v>0</v>
      </c>
      <c r="D197" s="207"/>
      <c r="E197" s="207"/>
      <c r="F197" s="207"/>
      <c r="G197" s="192"/>
      <c r="H197" s="192"/>
      <c r="I197" s="192"/>
      <c r="J197" s="192"/>
      <c r="K197" s="192">
        <f>$K$194*(1-Q197)</f>
        <v>1.5620500000000001E-2</v>
      </c>
      <c r="L197" s="192"/>
      <c r="M197" s="208"/>
      <c r="N197" s="208">
        <f>ROUND((C197*K197),2)</f>
        <v>0</v>
      </c>
      <c r="O197" s="193">
        <f>M197+N197</f>
        <v>0</v>
      </c>
      <c r="P197" s="209"/>
      <c r="Q197" s="169">
        <v>0.65</v>
      </c>
    </row>
    <row r="198" spans="2:17" x14ac:dyDescent="0.3">
      <c r="B198" s="1"/>
      <c r="C198" s="206">
        <f>IF($K$12=$B$194,(D46*($K$14)/($K$14+$L$14)),0)+IF($L$12=$B$194,(D46*($L$14)/($K$14+$L$14)),0)</f>
        <v>0</v>
      </c>
      <c r="D198" s="207"/>
      <c r="E198" s="207"/>
      <c r="F198" s="207"/>
      <c r="G198" s="192"/>
      <c r="H198" s="192"/>
      <c r="I198" s="192"/>
      <c r="J198" s="192"/>
      <c r="K198" s="192">
        <f t="shared" ref="K198:K200" si="35">$K$194*(1-Q198)</f>
        <v>2.6778E-2</v>
      </c>
      <c r="L198" s="192"/>
      <c r="M198" s="208"/>
      <c r="N198" s="208">
        <f t="shared" ref="N198:N200" si="36">ROUND((C198*K198),2)</f>
        <v>0</v>
      </c>
      <c r="O198" s="193">
        <f>M198+N198</f>
        <v>0</v>
      </c>
      <c r="P198" s="209"/>
      <c r="Q198" s="169">
        <v>0.4</v>
      </c>
    </row>
    <row r="199" spans="2:17" x14ac:dyDescent="0.3">
      <c r="B199" s="1"/>
      <c r="C199" s="206">
        <f>IF($K$12=$B$194,(D47*($K$14)/($K$14+$L$14)),0)+IF($L$12=$B$194,(D47*($L$14)/($K$14+$L$14)),0)</f>
        <v>0</v>
      </c>
      <c r="D199" s="207"/>
      <c r="E199" s="207"/>
      <c r="F199" s="207"/>
      <c r="G199" s="192"/>
      <c r="H199" s="192"/>
      <c r="I199" s="192"/>
      <c r="J199" s="192"/>
      <c r="K199" s="192">
        <f t="shared" si="35"/>
        <v>4.0167000000000001E-2</v>
      </c>
      <c r="L199" s="192"/>
      <c r="M199" s="208"/>
      <c r="N199" s="208">
        <f t="shared" si="36"/>
        <v>0</v>
      </c>
      <c r="O199" s="193">
        <f>M199+N199</f>
        <v>0</v>
      </c>
      <c r="P199" s="209"/>
      <c r="Q199" s="169">
        <v>0.1</v>
      </c>
    </row>
    <row r="200" spans="2:17" x14ac:dyDescent="0.3">
      <c r="B200" s="1"/>
      <c r="C200" s="206">
        <f>IF($K$12=$B$194,(D48*($K$14)/($K$14+$L$14)),0)+IF($L$12=$B$194,(D48*($L$14)/($K$14+$L$14)),0)</f>
        <v>0</v>
      </c>
      <c r="D200" s="207"/>
      <c r="E200" s="207"/>
      <c r="F200" s="207"/>
      <c r="G200" s="192"/>
      <c r="H200" s="192"/>
      <c r="I200" s="192"/>
      <c r="J200" s="192"/>
      <c r="K200" s="192">
        <f t="shared" si="35"/>
        <v>4.4630000000000003E-2</v>
      </c>
      <c r="L200" s="192"/>
      <c r="M200" s="208"/>
      <c r="N200" s="208">
        <f t="shared" si="36"/>
        <v>0</v>
      </c>
      <c r="O200" s="193">
        <f>M200+N200</f>
        <v>0</v>
      </c>
      <c r="P200" s="209"/>
      <c r="Q200" s="169">
        <v>0</v>
      </c>
    </row>
    <row r="201" spans="2:17" x14ac:dyDescent="0.3">
      <c r="B201" s="1"/>
      <c r="C201" s="210" t="s">
        <v>162</v>
      </c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2"/>
      <c r="O201" s="213">
        <f>SUM(O197:O200)</f>
        <v>0</v>
      </c>
      <c r="P201" s="1"/>
      <c r="Q201" s="1"/>
    </row>
    <row r="202" spans="2:17" x14ac:dyDescent="0.3">
      <c r="B202" s="105"/>
      <c r="C202" s="105"/>
      <c r="D202" s="105"/>
      <c r="E202" s="105"/>
      <c r="F202" s="105"/>
      <c r="G202" s="105"/>
      <c r="H202" s="116"/>
      <c r="I202" s="116"/>
      <c r="J202" s="117"/>
      <c r="K202" s="117"/>
      <c r="L202" s="117"/>
      <c r="M202" s="106"/>
      <c r="N202" s="106"/>
      <c r="O202" s="118"/>
      <c r="P202" s="1"/>
      <c r="Q202" s="1"/>
    </row>
    <row r="203" spans="2:17" x14ac:dyDescent="0.3">
      <c r="B203" s="105" t="s">
        <v>16</v>
      </c>
      <c r="C203" s="105"/>
      <c r="D203" s="105"/>
      <c r="E203" s="105"/>
      <c r="F203" s="105"/>
      <c r="G203" s="105"/>
      <c r="H203" s="116"/>
      <c r="I203" s="116"/>
      <c r="J203" s="117"/>
      <c r="K203" s="203">
        <f>K164</f>
        <v>7.8770000000000007E-2</v>
      </c>
      <c r="L203" s="204"/>
      <c r="M203" s="106"/>
      <c r="N203" s="106"/>
      <c r="O203" s="118"/>
      <c r="P203" s="1"/>
      <c r="Q203" s="1"/>
    </row>
    <row r="204" spans="2:17" x14ac:dyDescent="0.3">
      <c r="B204" s="1"/>
      <c r="C204" s="166" t="s">
        <v>156</v>
      </c>
      <c r="D204" s="456"/>
      <c r="E204" s="457"/>
      <c r="F204" s="167"/>
      <c r="G204" s="456"/>
      <c r="H204" s="457"/>
      <c r="I204" s="167"/>
      <c r="J204" s="456" t="s">
        <v>32</v>
      </c>
      <c r="K204" s="457"/>
      <c r="L204" s="167"/>
      <c r="M204" s="456" t="s">
        <v>158</v>
      </c>
      <c r="N204" s="457"/>
      <c r="O204" s="168" t="s">
        <v>159</v>
      </c>
      <c r="P204" s="1"/>
      <c r="Q204" s="46"/>
    </row>
    <row r="205" spans="2:17" x14ac:dyDescent="0.3">
      <c r="B205" s="1"/>
      <c r="C205" s="205" t="s">
        <v>160</v>
      </c>
      <c r="D205" s="205"/>
      <c r="E205" s="205"/>
      <c r="F205" s="205"/>
      <c r="G205" s="205" t="s">
        <v>33</v>
      </c>
      <c r="H205" s="205" t="s">
        <v>9</v>
      </c>
      <c r="I205" s="205"/>
      <c r="J205" s="205" t="s">
        <v>33</v>
      </c>
      <c r="K205" s="205" t="s">
        <v>9</v>
      </c>
      <c r="L205" s="205"/>
      <c r="M205" s="205" t="s">
        <v>33</v>
      </c>
      <c r="N205" s="205" t="s">
        <v>9</v>
      </c>
      <c r="O205" s="205" t="s">
        <v>161</v>
      </c>
      <c r="P205" s="1"/>
    </row>
    <row r="206" spans="2:17" x14ac:dyDescent="0.3">
      <c r="B206" s="1"/>
      <c r="C206" s="206">
        <f>IF($K$12=$B$203,(D45*($K$14)/($K$14+$L$14)),0)+IF($L$12=$B$203,(D45*($L$14)/($K$14+$L$14)),0)</f>
        <v>0</v>
      </c>
      <c r="D206" s="207"/>
      <c r="E206" s="207"/>
      <c r="F206" s="207"/>
      <c r="G206" s="192"/>
      <c r="H206" s="192"/>
      <c r="I206" s="192"/>
      <c r="J206" s="192"/>
      <c r="K206" s="192">
        <f>$K$203*(1-Q206)</f>
        <v>2.75695E-2</v>
      </c>
      <c r="L206" s="192"/>
      <c r="M206" s="208"/>
      <c r="N206" s="208">
        <f>ROUND((C206*K206),2)</f>
        <v>0</v>
      </c>
      <c r="O206" s="193">
        <f>M206+N206</f>
        <v>0</v>
      </c>
      <c r="P206" s="209"/>
      <c r="Q206" s="169">
        <v>0.65</v>
      </c>
    </row>
    <row r="207" spans="2:17" x14ac:dyDescent="0.3">
      <c r="B207" s="1"/>
      <c r="C207" s="206">
        <f>IF($K$12=$B$203,(D46*($K$14)/($K$14+$L$14)),0)+IF($L$12=$B$203,(D46*($L$14)/($K$14+$L$14)),0)</f>
        <v>0</v>
      </c>
      <c r="D207" s="207"/>
      <c r="E207" s="207"/>
      <c r="F207" s="207"/>
      <c r="G207" s="192"/>
      <c r="H207" s="192"/>
      <c r="I207" s="192"/>
      <c r="J207" s="192"/>
      <c r="K207" s="192">
        <f t="shared" ref="K207:K209" si="37">$K$203*(1-Q207)</f>
        <v>4.7262000000000005E-2</v>
      </c>
      <c r="L207" s="192"/>
      <c r="M207" s="208"/>
      <c r="N207" s="208">
        <f t="shared" ref="N207:N209" si="38">ROUND((C207*K207),2)</f>
        <v>0</v>
      </c>
      <c r="O207" s="193">
        <f>M207+N207</f>
        <v>0</v>
      </c>
      <c r="P207" s="209"/>
      <c r="Q207" s="169">
        <v>0.4</v>
      </c>
    </row>
    <row r="208" spans="2:17" x14ac:dyDescent="0.3">
      <c r="B208" s="1"/>
      <c r="C208" s="206">
        <f>IF($K$12=$B$203,(D47*($K$14)/($K$14+$L$14)),0)+IF($L$12=$B$203,(D47*($L$14)/($K$14+$L$14)),0)</f>
        <v>0</v>
      </c>
      <c r="D208" s="207"/>
      <c r="E208" s="207"/>
      <c r="F208" s="207"/>
      <c r="G208" s="192"/>
      <c r="H208" s="192"/>
      <c r="I208" s="192"/>
      <c r="J208" s="192"/>
      <c r="K208" s="192">
        <f t="shared" si="37"/>
        <v>7.0893000000000012E-2</v>
      </c>
      <c r="L208" s="192"/>
      <c r="M208" s="208"/>
      <c r="N208" s="208">
        <f t="shared" si="38"/>
        <v>0</v>
      </c>
      <c r="O208" s="193">
        <f>M208+N208</f>
        <v>0</v>
      </c>
      <c r="P208" s="209"/>
      <c r="Q208" s="169">
        <v>0.1</v>
      </c>
    </row>
    <row r="209" spans="2:17" x14ac:dyDescent="0.3">
      <c r="B209" s="1"/>
      <c r="C209" s="206">
        <f>IF($K$12=$B$203,(D48*($K$14)/($K$14+$L$14)),0)+IF($L$12=$B$203,(D48*($L$14)/($K$14+$L$14)),0)</f>
        <v>0</v>
      </c>
      <c r="D209" s="207"/>
      <c r="E209" s="207"/>
      <c r="F209" s="207"/>
      <c r="G209" s="192"/>
      <c r="H209" s="192"/>
      <c r="I209" s="192"/>
      <c r="J209" s="192"/>
      <c r="K209" s="192">
        <f t="shared" si="37"/>
        <v>7.8770000000000007E-2</v>
      </c>
      <c r="L209" s="192"/>
      <c r="M209" s="208"/>
      <c r="N209" s="208">
        <f t="shared" si="38"/>
        <v>0</v>
      </c>
      <c r="O209" s="193">
        <f>M209+N209</f>
        <v>0</v>
      </c>
      <c r="P209" s="209"/>
      <c r="Q209" s="169">
        <v>0</v>
      </c>
    </row>
    <row r="210" spans="2:17" x14ac:dyDescent="0.3">
      <c r="B210" s="1"/>
      <c r="C210" s="210" t="s">
        <v>162</v>
      </c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2"/>
      <c r="O210" s="213">
        <f>SUM(O206:O209)</f>
        <v>0</v>
      </c>
      <c r="P210" s="1"/>
      <c r="Q210" s="1"/>
    </row>
    <row r="211" spans="2:17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2:17" x14ac:dyDescent="0.3">
      <c r="B212" s="1" t="s">
        <v>17</v>
      </c>
      <c r="C212" s="105"/>
      <c r="D212" s="105"/>
      <c r="E212" s="105"/>
      <c r="F212" s="105"/>
      <c r="G212" s="105"/>
      <c r="H212" s="116"/>
      <c r="I212" s="116"/>
      <c r="J212" s="117"/>
      <c r="K212" s="203">
        <f>K173</f>
        <v>0.14199999999999999</v>
      </c>
      <c r="L212" s="204"/>
      <c r="M212" s="106"/>
      <c r="N212" s="106"/>
      <c r="O212" s="118"/>
      <c r="P212" s="1"/>
      <c r="Q212" s="1"/>
    </row>
    <row r="213" spans="2:17" x14ac:dyDescent="0.3">
      <c r="B213" s="1"/>
      <c r="C213" s="166" t="s">
        <v>156</v>
      </c>
      <c r="D213" s="456"/>
      <c r="E213" s="457"/>
      <c r="F213" s="167"/>
      <c r="G213" s="456"/>
      <c r="H213" s="457"/>
      <c r="I213" s="167"/>
      <c r="J213" s="456" t="s">
        <v>32</v>
      </c>
      <c r="K213" s="457"/>
      <c r="L213" s="167"/>
      <c r="M213" s="456" t="s">
        <v>158</v>
      </c>
      <c r="N213" s="457"/>
      <c r="O213" s="168" t="s">
        <v>159</v>
      </c>
      <c r="P213" s="1"/>
      <c r="Q213" s="46"/>
    </row>
    <row r="214" spans="2:17" x14ac:dyDescent="0.3">
      <c r="B214" s="1"/>
      <c r="C214" s="205" t="s">
        <v>160</v>
      </c>
      <c r="D214" s="205"/>
      <c r="E214" s="205"/>
      <c r="F214" s="205"/>
      <c r="G214" s="205" t="s">
        <v>33</v>
      </c>
      <c r="H214" s="205" t="s">
        <v>9</v>
      </c>
      <c r="I214" s="205"/>
      <c r="J214" s="205" t="s">
        <v>33</v>
      </c>
      <c r="K214" s="205" t="s">
        <v>9</v>
      </c>
      <c r="L214" s="205"/>
      <c r="M214" s="205" t="s">
        <v>33</v>
      </c>
      <c r="N214" s="205" t="s">
        <v>9</v>
      </c>
      <c r="O214" s="205" t="s">
        <v>161</v>
      </c>
      <c r="P214" s="1"/>
    </row>
    <row r="215" spans="2:17" x14ac:dyDescent="0.3">
      <c r="B215" s="1"/>
      <c r="C215" s="206">
        <f>IF($K$12=$B$212,(D45*($K$14)/($K$14+$L$14)),0)+IF($L$12=$B$212,(D45*($L$14)/($K$14+$L$14)),0)</f>
        <v>0</v>
      </c>
      <c r="D215" s="207"/>
      <c r="E215" s="207"/>
      <c r="F215" s="207"/>
      <c r="G215" s="192"/>
      <c r="H215" s="192"/>
      <c r="I215" s="192"/>
      <c r="J215" s="192"/>
      <c r="K215" s="192">
        <f>$K$212*(1-Q215)</f>
        <v>4.9699999999999994E-2</v>
      </c>
      <c r="L215" s="192"/>
      <c r="M215" s="208"/>
      <c r="N215" s="208">
        <f>ROUND((C215*K215),2)</f>
        <v>0</v>
      </c>
      <c r="O215" s="193">
        <f>M215+N215</f>
        <v>0</v>
      </c>
      <c r="P215" s="209"/>
      <c r="Q215" s="169">
        <v>0.65</v>
      </c>
    </row>
    <row r="216" spans="2:17" x14ac:dyDescent="0.3">
      <c r="B216" s="1"/>
      <c r="C216" s="206">
        <f>IF($K$12=$B$212,(D46*($K$14)/($K$14+$L$14)),0)+IF($L$12=$B$212,(D46*($L$14)/($K$14+$L$14)),0)</f>
        <v>0</v>
      </c>
      <c r="D216" s="207"/>
      <c r="E216" s="207"/>
      <c r="F216" s="207"/>
      <c r="G216" s="192"/>
      <c r="H216" s="192"/>
      <c r="I216" s="192"/>
      <c r="J216" s="192"/>
      <c r="K216" s="192">
        <f t="shared" ref="K216:K218" si="39">$K$212*(1-Q216)</f>
        <v>8.5199999999999984E-2</v>
      </c>
      <c r="L216" s="192"/>
      <c r="M216" s="208"/>
      <c r="N216" s="208">
        <f t="shared" ref="N216:N218" si="40">ROUND((C216*K216),2)</f>
        <v>0</v>
      </c>
      <c r="O216" s="193">
        <f>M216+N216</f>
        <v>0</v>
      </c>
      <c r="P216" s="209"/>
      <c r="Q216" s="169">
        <v>0.4</v>
      </c>
    </row>
    <row r="217" spans="2:17" x14ac:dyDescent="0.3">
      <c r="B217" s="1"/>
      <c r="C217" s="206">
        <f>IF($K$12=$B$212,(D47*($K$14)/($K$14+$L$14)),0)+IF($L$12=$B$212,(D47*($L$14)/($K$14+$L$14)),0)</f>
        <v>0</v>
      </c>
      <c r="D217" s="207"/>
      <c r="E217" s="207"/>
      <c r="F217" s="207"/>
      <c r="G217" s="192"/>
      <c r="H217" s="192"/>
      <c r="I217" s="192"/>
      <c r="J217" s="192"/>
      <c r="K217" s="192">
        <f t="shared" si="39"/>
        <v>0.1278</v>
      </c>
      <c r="L217" s="192"/>
      <c r="M217" s="208"/>
      <c r="N217" s="208">
        <f t="shared" si="40"/>
        <v>0</v>
      </c>
      <c r="O217" s="193">
        <f>M217+N217</f>
        <v>0</v>
      </c>
      <c r="P217" s="209"/>
      <c r="Q217" s="169">
        <v>0.1</v>
      </c>
    </row>
    <row r="218" spans="2:17" x14ac:dyDescent="0.3">
      <c r="B218" s="1"/>
      <c r="C218" s="206">
        <f>IF($K$12=$B$212,(D48*($K$14)/($K$14+$L$14)),0)+IF($L$12=$B$212,(D48*($L$14)/($K$14+$L$14)),0)</f>
        <v>0</v>
      </c>
      <c r="D218" s="207"/>
      <c r="E218" s="207"/>
      <c r="F218" s="207"/>
      <c r="G218" s="192"/>
      <c r="H218" s="192"/>
      <c r="I218" s="192"/>
      <c r="J218" s="192"/>
      <c r="K218" s="192">
        <f t="shared" si="39"/>
        <v>0.14199999999999999</v>
      </c>
      <c r="L218" s="192"/>
      <c r="M218" s="208"/>
      <c r="N218" s="208">
        <f t="shared" si="40"/>
        <v>0</v>
      </c>
      <c r="O218" s="193">
        <f>M218+N218</f>
        <v>0</v>
      </c>
      <c r="P218" s="209"/>
      <c r="Q218" s="169">
        <v>0</v>
      </c>
    </row>
    <row r="219" spans="2:17" x14ac:dyDescent="0.3">
      <c r="B219" s="1"/>
      <c r="C219" s="210" t="s">
        <v>162</v>
      </c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2"/>
      <c r="O219" s="213">
        <f>SUM(O215:O218)</f>
        <v>0</v>
      </c>
      <c r="P219" s="1"/>
      <c r="Q219" s="1"/>
    </row>
  </sheetData>
  <mergeCells count="58">
    <mergeCell ref="D128:E128"/>
    <mergeCell ref="G128:H128"/>
    <mergeCell ref="J128:K128"/>
    <mergeCell ref="M128:N128"/>
    <mergeCell ref="D137:E137"/>
    <mergeCell ref="G137:H137"/>
    <mergeCell ref="J137:K137"/>
    <mergeCell ref="M137:N137"/>
    <mergeCell ref="D110:E110"/>
    <mergeCell ref="G110:H110"/>
    <mergeCell ref="J110:K110"/>
    <mergeCell ref="M110:N110"/>
    <mergeCell ref="D119:E119"/>
    <mergeCell ref="G119:H119"/>
    <mergeCell ref="J119:K119"/>
    <mergeCell ref="M119:N119"/>
    <mergeCell ref="D204:E204"/>
    <mergeCell ref="G204:H204"/>
    <mergeCell ref="J204:K204"/>
    <mergeCell ref="M204:N204"/>
    <mergeCell ref="D213:E213"/>
    <mergeCell ref="G213:H213"/>
    <mergeCell ref="J213:K213"/>
    <mergeCell ref="M213:N213"/>
    <mergeCell ref="D186:E186"/>
    <mergeCell ref="G186:H186"/>
    <mergeCell ref="J186:K186"/>
    <mergeCell ref="M186:N186"/>
    <mergeCell ref="D195:E195"/>
    <mergeCell ref="G195:H195"/>
    <mergeCell ref="J195:K195"/>
    <mergeCell ref="M195:N195"/>
    <mergeCell ref="D165:E165"/>
    <mergeCell ref="G165:H165"/>
    <mergeCell ref="J165:K165"/>
    <mergeCell ref="M165:N165"/>
    <mergeCell ref="D174:E174"/>
    <mergeCell ref="G174:H174"/>
    <mergeCell ref="J174:K174"/>
    <mergeCell ref="M174:N174"/>
    <mergeCell ref="D147:E147"/>
    <mergeCell ref="G147:H147"/>
    <mergeCell ref="J147:K147"/>
    <mergeCell ref="M147:N147"/>
    <mergeCell ref="D156:E156"/>
    <mergeCell ref="G156:H156"/>
    <mergeCell ref="J156:K156"/>
    <mergeCell ref="M156:N156"/>
    <mergeCell ref="U4:W4"/>
    <mergeCell ref="X4:Z4"/>
    <mergeCell ref="K11:L11"/>
    <mergeCell ref="B21:H21"/>
    <mergeCell ref="B4:B5"/>
    <mergeCell ref="C4:E4"/>
    <mergeCell ref="F4:H4"/>
    <mergeCell ref="I4:K4"/>
    <mergeCell ref="Q4:Q5"/>
    <mergeCell ref="R4:T4"/>
  </mergeCells>
  <phoneticPr fontId="32" type="noConversion"/>
  <conditionalFormatting sqref="K12:L12">
    <cfRule type="cellIs" dxfId="97" priority="1" operator="equal">
      <formula>"Escassez Hídrica"</formula>
    </cfRule>
    <cfRule type="cellIs" dxfId="96" priority="2" operator="equal">
      <formula>"VERDE"</formula>
    </cfRule>
    <cfRule type="cellIs" dxfId="95" priority="3" operator="equal">
      <formula>"BVM2"</formula>
    </cfRule>
    <cfRule type="cellIs" dxfId="94" priority="4" operator="equal">
      <formula>"BVM1"</formula>
    </cfRule>
    <cfRule type="cellIs" dxfId="93" priority="5" operator="equal">
      <formula>"BAM"</formula>
    </cfRule>
  </conditionalFormatting>
  <conditionalFormatting sqref="M3">
    <cfRule type="cellIs" dxfId="92" priority="16" operator="equal">
      <formula>"VERDE"</formula>
    </cfRule>
    <cfRule type="cellIs" dxfId="91" priority="17" operator="equal">
      <formula>"BVM2"</formula>
    </cfRule>
    <cfRule type="cellIs" dxfId="90" priority="18" operator="equal">
      <formula>"BVM1"</formula>
    </cfRule>
    <cfRule type="cellIs" dxfId="89" priority="19" operator="equal">
      <formula>"BAM"</formula>
    </cfRule>
  </conditionalFormatting>
  <conditionalFormatting sqref="M8">
    <cfRule type="containsText" dxfId="88" priority="7" operator="containsText" text="Escassez Hídrica">
      <formula>NOT(ISERROR(SEARCH("Escassez Hídrica",M8)))</formula>
    </cfRule>
    <cfRule type="cellIs" dxfId="87" priority="8" operator="equal">
      <formula>"VERDE"</formula>
    </cfRule>
    <cfRule type="cellIs" dxfId="86" priority="9" operator="equal">
      <formula>"BVM2"</formula>
    </cfRule>
    <cfRule type="cellIs" dxfId="85" priority="10" operator="equal">
      <formula>"BVM1"</formula>
    </cfRule>
    <cfRule type="cellIs" dxfId="84" priority="11" operator="equal">
      <formula>"BAM"</formula>
    </cfRule>
  </conditionalFormatting>
  <dataValidations disablePrompts="1" count="1">
    <dataValidation type="list" allowBlank="1" showInputMessage="1" showErrorMessage="1" sqref="K12:L12" xr:uid="{EA46CD1D-C863-4D85-B236-9DB871346082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E57B-6B8D-459B-BF26-7082B973488A}">
  <dimension ref="A1:Z103"/>
  <sheetViews>
    <sheetView showGridLines="0" topLeftCell="A9" zoomScale="80" zoomScaleNormal="80" workbookViewId="0">
      <selection activeCell="L33" sqref="L33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4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27</v>
      </c>
      <c r="E2" s="20" t="s">
        <v>28</v>
      </c>
      <c r="F2" s="21">
        <v>45358</v>
      </c>
      <c r="G2" s="1" t="s">
        <v>8</v>
      </c>
      <c r="H2" s="458" t="s">
        <v>207</v>
      </c>
      <c r="I2" s="458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13" t="s">
        <v>31</v>
      </c>
      <c r="C4" s="405" t="s">
        <v>58</v>
      </c>
      <c r="D4" s="406"/>
      <c r="E4" s="407"/>
      <c r="F4" s="418" t="str">
        <f>'Fatura B1 (GD II) OK'!F4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[3]BANDEIRA!$D$5</f>
        <v>1.8849999999999999E-2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[3]BANDEIRA!$D$6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208</v>
      </c>
      <c r="C6" s="31">
        <f>'[4]TABELA DE TARIFAS ANTIGAS'!G68/1000</f>
        <v>0.81172</v>
      </c>
      <c r="D6" s="31">
        <f>'[4]TABELA DE TARIFAS ANTIGAS'!H68/1000</f>
        <v>0.45924999999999999</v>
      </c>
      <c r="E6" s="31">
        <f t="shared" ref="E6:E8" si="0">C6+D6</f>
        <v>1.2709699999999999</v>
      </c>
      <c r="F6" s="31">
        <f>'[4]TABELA DE TARIFAS NOVAS'!G70/1000</f>
        <v>0.80935000000000001</v>
      </c>
      <c r="G6" s="31">
        <f>'[4]TABELA DE TARIFAS NOVAS'!H70/1000</f>
        <v>0.45611000000000002</v>
      </c>
      <c r="H6" s="31">
        <f t="shared" ref="H6:H9" si="1">F6+G6</f>
        <v>1.26546</v>
      </c>
      <c r="I6" s="31">
        <f>((C6*$C$15)+(F6*$D$15))/($D$15+$C$15)</f>
        <v>0.82693387096774207</v>
      </c>
      <c r="J6" s="31">
        <f>((D6*$C$15)+(G6*$D$15))/($D$15+$C$15)</f>
        <v>0.47940677419354832</v>
      </c>
      <c r="K6" s="32">
        <f t="shared" ref="K6:K9" si="2">I6+J6</f>
        <v>1.3063406451612904</v>
      </c>
      <c r="M6" s="13" t="s">
        <v>16</v>
      </c>
      <c r="N6" s="14">
        <f>[3]BANDEIRA!$D$7</f>
        <v>7.8770000000000007E-2</v>
      </c>
      <c r="Q6" s="30" t="str">
        <f>B6</f>
        <v>B1 Ponta</v>
      </c>
      <c r="R6" s="31">
        <f>'[4]FIO B'!H7/1000</f>
        <v>0.54733000000000009</v>
      </c>
      <c r="S6"/>
      <c r="T6"/>
      <c r="U6" s="31">
        <f>'[4]FIO B'!K7/1000</f>
        <v>0.50309239053940802</v>
      </c>
      <c r="V6"/>
      <c r="W6"/>
      <c r="X6" s="31">
        <f>((R6*$C$15)+(U6*$D$15))/($D$15+$C$15)</f>
        <v>0.83130691234380094</v>
      </c>
      <c r="Y6"/>
      <c r="Z6"/>
    </row>
    <row r="7" spans="1:26" customFormat="1" x14ac:dyDescent="0.3">
      <c r="B7" s="30" t="s">
        <v>209</v>
      </c>
      <c r="C7" s="31">
        <f>'[4]TABELA DE TARIFAS ANTIGAS'!G70/1000</f>
        <v>0.29510000000000003</v>
      </c>
      <c r="D7" s="31">
        <f>'[4]TABELA DE TARIFAS ANTIGAS'!H70/1000</f>
        <v>0.29163</v>
      </c>
      <c r="E7" s="31">
        <f t="shared" si="0"/>
        <v>0.58672999999999997</v>
      </c>
      <c r="F7" s="31">
        <f>'[4]TABELA DE TARIFAS NOVAS'!G72/1000</f>
        <v>0.28452999999999995</v>
      </c>
      <c r="G7" s="31">
        <f>'[4]TABELA DE TARIFAS NOVAS'!H72/1000</f>
        <v>0.28686</v>
      </c>
      <c r="H7" s="31">
        <f t="shared" si="1"/>
        <v>0.57138999999999995</v>
      </c>
      <c r="I7" s="31">
        <f>((C7*$C$15)+(F7*$D$15))/($D$15+$C$15)</f>
        <v>0.36295258064516184</v>
      </c>
      <c r="J7" s="31">
        <f>((D7*$C$15)+(G7*$D$15))/($D$15+$C$15)</f>
        <v>0.32225032258064507</v>
      </c>
      <c r="K7" s="32">
        <f t="shared" si="2"/>
        <v>0.6852029032258069</v>
      </c>
      <c r="M7" s="7" t="s">
        <v>17</v>
      </c>
      <c r="N7" s="15">
        <v>0.14199999999999999</v>
      </c>
      <c r="Q7" s="30" t="str">
        <f t="shared" ref="Q7:Q8" si="3">B7</f>
        <v>B1 Fora Ponta</v>
      </c>
      <c r="R7" s="31">
        <f>'[4]FIO B'!H9/1000</f>
        <v>0.10947</v>
      </c>
      <c r="U7" s="31">
        <f>'[4]FIO B'!K9/1000</f>
        <v>0.10061851714714101</v>
      </c>
      <c r="X7" s="31">
        <f>((R7*$C$15)+(U7*$D$15))/($D$15+$C$15)</f>
        <v>0.16629080928125614</v>
      </c>
    </row>
    <row r="8" spans="1:26" customFormat="1" x14ac:dyDescent="0.3">
      <c r="B8" s="30" t="s">
        <v>210</v>
      </c>
      <c r="C8" s="31">
        <f>'[4]TABELA DE TARIFAS ANTIGAS'!G69/1000</f>
        <v>0.55340999999999996</v>
      </c>
      <c r="D8" s="31">
        <f>'[4]TABELA DE TARIFAS ANTIGAS'!H69/1000</f>
        <v>0.29163</v>
      </c>
      <c r="E8" s="31">
        <f t="shared" si="0"/>
        <v>0.84504000000000001</v>
      </c>
      <c r="F8" s="31">
        <f>'[4]TABELA DE TARIFAS NOVAS'!G71/1000</f>
        <v>0.54694000000000009</v>
      </c>
      <c r="G8" s="31">
        <f>'[4]TABELA DE TARIFAS NOVAS'!H71/1000</f>
        <v>0.28686</v>
      </c>
      <c r="H8" s="31">
        <f t="shared" si="1"/>
        <v>0.8338000000000001</v>
      </c>
      <c r="I8" s="31">
        <f>((C8*$C$15)+(F8*$D$15))/($D$15+$C$15)</f>
        <v>0.59494322580645076</v>
      </c>
      <c r="J8" s="31">
        <f t="shared" ref="J8" si="4">((D8*$C$15)+(G8*$D$15))/($D$15+$C$15)</f>
        <v>0.32225032258064507</v>
      </c>
      <c r="K8" s="32">
        <f t="shared" si="2"/>
        <v>0.91719354838709588</v>
      </c>
      <c r="Q8" s="30" t="str">
        <f t="shared" si="3"/>
        <v>B1 Interm.</v>
      </c>
      <c r="R8" s="31">
        <f>'[4]FIO B'!H8/1000</f>
        <v>0.32839999999999997</v>
      </c>
      <c r="U8" s="31">
        <f>'[4]FIO B'!K8/1000</f>
        <v>0.301855453843274</v>
      </c>
      <c r="X8" s="31">
        <f>((R8*$C$15)+(U8*$D$15))/($D$15+$C$15)</f>
        <v>0.49879886081253122</v>
      </c>
    </row>
    <row r="9" spans="1:26" customFormat="1" x14ac:dyDescent="0.3">
      <c r="B9" s="243" t="s">
        <v>200</v>
      </c>
      <c r="C9" s="32">
        <v>2.0783073765861601E-4</v>
      </c>
      <c r="D9" s="32">
        <v>4.0179200000000003E-3</v>
      </c>
      <c r="E9" s="32">
        <v>4.2278307376586149E-3</v>
      </c>
      <c r="F9" s="32">
        <f>T13</f>
        <v>1.7567285996534902E-4</v>
      </c>
      <c r="G9" s="32">
        <f>U13</f>
        <v>3.42973552660492E-3</v>
      </c>
      <c r="H9" s="32">
        <f t="shared" si="1"/>
        <v>3.6054083865702689E-3</v>
      </c>
      <c r="I9" s="31">
        <f>((C9*$C$15)+(F9*$D$15))/($D$15+$C$15)</f>
        <v>4.142635654315236E-4</v>
      </c>
      <c r="J9" s="31">
        <f>((D9*$C$15)+(G9*$D$15))/($D$15+$C$15)</f>
        <v>7.7936848453426149E-3</v>
      </c>
      <c r="K9" s="32">
        <f t="shared" si="2"/>
        <v>8.2079484107741383E-3</v>
      </c>
    </row>
    <row r="10" spans="1:26" x14ac:dyDescent="0.3">
      <c r="G10" s="1"/>
      <c r="H10" s="1"/>
      <c r="I10" s="1"/>
      <c r="J10" s="1"/>
      <c r="K10" s="1"/>
      <c r="O10" s="20"/>
      <c r="P10" s="228" t="s">
        <v>194</v>
      </c>
      <c r="Q10" s="229"/>
      <c r="R10" s="230" t="s">
        <v>195</v>
      </c>
      <c r="S10" s="230" t="s">
        <v>196</v>
      </c>
      <c r="T10" s="230" t="s">
        <v>35</v>
      </c>
      <c r="U10" s="230" t="s">
        <v>100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45139</v>
      </c>
      <c r="P11" s="231" t="s">
        <v>197</v>
      </c>
      <c r="Q11" s="232"/>
      <c r="R11" s="233"/>
      <c r="S11" s="233"/>
      <c r="T11" s="234"/>
      <c r="U11" s="234"/>
    </row>
    <row r="12" spans="1:26" x14ac:dyDescent="0.3">
      <c r="B12" s="38" t="s">
        <v>38</v>
      </c>
      <c r="C12" s="255"/>
      <c r="E12" s="1"/>
      <c r="F12" s="1"/>
      <c r="G12" s="1"/>
      <c r="H12" s="40">
        <f>E15</f>
        <v>45158</v>
      </c>
      <c r="K12" s="408" t="s">
        <v>26</v>
      </c>
      <c r="L12" s="408"/>
      <c r="P12" s="235" t="s">
        <v>198</v>
      </c>
      <c r="Q12" s="236"/>
      <c r="R12" s="237"/>
      <c r="S12" s="237"/>
      <c r="T12" s="238"/>
      <c r="U12" s="277">
        <f>5.61/1000</f>
        <v>5.6100000000000004E-3</v>
      </c>
    </row>
    <row r="13" spans="1:26" x14ac:dyDescent="0.3">
      <c r="B13" s="41"/>
      <c r="H13" s="42"/>
      <c r="K13" s="7" t="s">
        <v>13</v>
      </c>
      <c r="L13" s="7" t="s">
        <v>13</v>
      </c>
      <c r="P13" s="239" t="s">
        <v>199</v>
      </c>
      <c r="Q13" s="240"/>
      <c r="R13" s="241"/>
      <c r="S13" s="241"/>
      <c r="T13" s="278">
        <f>0.175672859965349/1000</f>
        <v>1.7567285996534902E-4</v>
      </c>
      <c r="U13" s="277">
        <f>3.42973552660492/1000</f>
        <v>3.42973552660492E-3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45127</v>
      </c>
      <c r="C15" s="18">
        <f>IF((F2-B15-1)&lt;0,0,(F2-B15-1))</f>
        <v>230</v>
      </c>
      <c r="D15" s="18">
        <f>E15-F2+1</f>
        <v>-199</v>
      </c>
      <c r="E15" s="17">
        <v>45158</v>
      </c>
      <c r="F15" s="44"/>
      <c r="G15" s="44"/>
      <c r="H15" s="45"/>
      <c r="J15" s="22">
        <f>B15</f>
        <v>45127</v>
      </c>
      <c r="K15" s="23">
        <f>IF((M11-J15-1)&lt;0,0,(M11-J15-1))</f>
        <v>11</v>
      </c>
      <c r="L15" s="23">
        <f>M15-M11+1</f>
        <v>20</v>
      </c>
      <c r="M15" s="22">
        <f>E15</f>
        <v>45158</v>
      </c>
    </row>
    <row r="17" spans="2:22" x14ac:dyDescent="0.3">
      <c r="B17" s="1"/>
      <c r="F17" s="254" t="s">
        <v>206</v>
      </c>
      <c r="G17"/>
      <c r="H17" s="3"/>
    </row>
    <row r="18" spans="2:22" x14ac:dyDescent="0.3">
      <c r="B18" s="5" t="s">
        <v>55</v>
      </c>
      <c r="E18" s="26" t="s">
        <v>144</v>
      </c>
      <c r="F18" s="85">
        <v>0.81410000000000005</v>
      </c>
      <c r="G18" s="86" t="s">
        <v>9</v>
      </c>
      <c r="H18" s="85">
        <v>1</v>
      </c>
      <c r="I18" s="280" t="s">
        <v>240</v>
      </c>
    </row>
    <row r="19" spans="2:22" x14ac:dyDescent="0.3">
      <c r="B19" s="5"/>
      <c r="E19" s="26" t="s">
        <v>146</v>
      </c>
      <c r="F19" s="85">
        <v>0.89770000000000005</v>
      </c>
      <c r="G19" s="86" t="s">
        <v>9</v>
      </c>
      <c r="H19" s="85">
        <v>1</v>
      </c>
      <c r="I19" s="280" t="s">
        <v>240</v>
      </c>
    </row>
    <row r="20" spans="2:22" x14ac:dyDescent="0.3">
      <c r="B20" s="5"/>
      <c r="E20" s="26" t="s">
        <v>241</v>
      </c>
      <c r="F20" s="85">
        <v>0.83640000000000003</v>
      </c>
      <c r="G20" s="86" t="s">
        <v>9</v>
      </c>
      <c r="H20" s="85">
        <v>1</v>
      </c>
      <c r="I20" s="280" t="s">
        <v>240</v>
      </c>
    </row>
    <row r="21" spans="2:22" x14ac:dyDescent="0.3">
      <c r="B21" s="5"/>
      <c r="E21" s="281" t="s">
        <v>144</v>
      </c>
      <c r="F21" s="282">
        <v>0.80110000000000003</v>
      </c>
      <c r="G21" s="279" t="s">
        <v>9</v>
      </c>
      <c r="H21" s="282">
        <v>1</v>
      </c>
      <c r="I21" s="280" t="s">
        <v>242</v>
      </c>
    </row>
    <row r="22" spans="2:22" x14ac:dyDescent="0.3">
      <c r="B22" s="5"/>
      <c r="E22" s="281" t="s">
        <v>146</v>
      </c>
      <c r="F22" s="282">
        <v>0.88690000000000002</v>
      </c>
      <c r="G22" s="279" t="s">
        <v>9</v>
      </c>
      <c r="H22" s="282">
        <v>1</v>
      </c>
      <c r="I22" s="280" t="s">
        <v>242</v>
      </c>
    </row>
    <row r="23" spans="2:22" x14ac:dyDescent="0.3">
      <c r="B23" s="5"/>
      <c r="E23" s="281" t="s">
        <v>241</v>
      </c>
      <c r="F23" s="282">
        <v>0.82340000000000002</v>
      </c>
      <c r="G23" s="279" t="s">
        <v>9</v>
      </c>
      <c r="H23" s="282">
        <v>1</v>
      </c>
      <c r="I23" s="280" t="s">
        <v>242</v>
      </c>
    </row>
    <row r="24" spans="2:22" x14ac:dyDescent="0.3"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x14ac:dyDescent="0.3">
      <c r="B25" s="415" t="s">
        <v>211</v>
      </c>
      <c r="C25" s="416"/>
      <c r="D25" s="416"/>
      <c r="E25" s="416"/>
      <c r="F25" s="416"/>
      <c r="G25" s="416"/>
      <c r="H25" s="417"/>
      <c r="I25" s="1"/>
      <c r="J25" s="127"/>
      <c r="K25" s="1"/>
      <c r="L25" s="1"/>
      <c r="M25" s="1"/>
      <c r="N25" s="1"/>
      <c r="O25" s="1"/>
      <c r="P25" s="1"/>
    </row>
    <row r="26" spans="2:22" x14ac:dyDescent="0.3">
      <c r="B26" s="41"/>
      <c r="D26" s="46" t="s">
        <v>40</v>
      </c>
      <c r="E26" s="46" t="s">
        <v>10</v>
      </c>
      <c r="F26" s="46" t="s">
        <v>9</v>
      </c>
      <c r="G26" s="46" t="s">
        <v>34</v>
      </c>
      <c r="H26" s="47" t="s">
        <v>7</v>
      </c>
      <c r="I26" s="1"/>
      <c r="J26" s="127" t="s">
        <v>104</v>
      </c>
      <c r="K26" s="1"/>
      <c r="L26" s="128"/>
      <c r="M26" s="1"/>
      <c r="N26" s="1"/>
      <c r="O26" s="1"/>
      <c r="P26" s="1"/>
    </row>
    <row r="27" spans="2:22" x14ac:dyDescent="0.3">
      <c r="B27" s="48" t="s">
        <v>41</v>
      </c>
      <c r="C27" s="49"/>
      <c r="D27" s="50"/>
      <c r="E27" s="50"/>
      <c r="F27" s="50"/>
      <c r="G27" s="50"/>
      <c r="H27" s="51">
        <f>SUM(H29:H36)+SUM(H49:H51)</f>
        <v>752.19866013946307</v>
      </c>
      <c r="I27" s="1"/>
      <c r="J27" s="1"/>
      <c r="K27" s="1"/>
      <c r="L27" s="1"/>
      <c r="M27" s="1"/>
      <c r="N27" s="1"/>
      <c r="O27" s="1"/>
      <c r="P27" s="1"/>
    </row>
    <row r="28" spans="2:22" x14ac:dyDescent="0.3">
      <c r="B28" s="41"/>
      <c r="D28" s="46"/>
      <c r="E28" s="46"/>
      <c r="F28" s="46"/>
      <c r="G28" s="46"/>
      <c r="H28" s="52"/>
      <c r="I28" s="1"/>
      <c r="J28"/>
      <c r="K28"/>
      <c r="L28"/>
      <c r="M28" s="1"/>
      <c r="N28" s="1"/>
      <c r="O28" s="1"/>
      <c r="P28" s="1"/>
      <c r="R28" s="26" t="s">
        <v>105</v>
      </c>
      <c r="S28" s="26" t="s">
        <v>106</v>
      </c>
    </row>
    <row r="29" spans="2:22" x14ac:dyDescent="0.3">
      <c r="B29" s="41" t="s">
        <v>107</v>
      </c>
      <c r="D29" s="256">
        <v>103</v>
      </c>
      <c r="E29" s="53">
        <f t="shared" ref="E29:F31" si="5">IF(AND($B$15&lt;$F$2,$E$15&lt;$F$2),C6,IF($B$15&lt;$F$2,I6,F6))</f>
        <v>0.81172</v>
      </c>
      <c r="F29" s="257">
        <f t="shared" si="5"/>
        <v>0.45924999999999999</v>
      </c>
      <c r="G29" s="53">
        <f>E29+F29</f>
        <v>1.2709699999999999</v>
      </c>
      <c r="H29" s="54">
        <f>ROUND((D29*E29),2)+ROUND((D29*F29),2)</f>
        <v>130.91</v>
      </c>
      <c r="I29" s="1"/>
      <c r="J29"/>
      <c r="K29"/>
      <c r="L29"/>
      <c r="M29" s="1"/>
      <c r="N29" s="1"/>
      <c r="O29" s="1"/>
      <c r="P29" s="1"/>
      <c r="R29" s="258">
        <f>IF(AND($B$15&lt;$F$2,$E$15&lt;$F$2),R6,IF($B$15&lt;$F$2,X6,U6))</f>
        <v>0.54733000000000009</v>
      </c>
      <c r="S29" s="137">
        <f>D29*R29</f>
        <v>56.374990000000011</v>
      </c>
      <c r="U29" s="259">
        <f>D29*E29</f>
        <v>83.607159999999993</v>
      </c>
    </row>
    <row r="30" spans="2:22" x14ac:dyDescent="0.3">
      <c r="B30" s="41" t="s">
        <v>108</v>
      </c>
      <c r="D30" s="256">
        <v>724</v>
      </c>
      <c r="E30" s="53">
        <f t="shared" si="5"/>
        <v>0.29510000000000003</v>
      </c>
      <c r="F30" s="257">
        <f t="shared" si="5"/>
        <v>0.29163</v>
      </c>
      <c r="G30" s="53">
        <f t="shared" ref="G30:G31" si="6">E30+F30</f>
        <v>0.58672999999999997</v>
      </c>
      <c r="H30" s="54">
        <f t="shared" ref="H30:H31" si="7">ROUND((D30*E30),2)+ROUND((D30*F30),2)</f>
        <v>424.78999999999996</v>
      </c>
      <c r="I30" s="1"/>
      <c r="J30" s="1"/>
      <c r="K30" s="1"/>
      <c r="L30" s="260"/>
      <c r="M30" s="1"/>
      <c r="N30" s="1"/>
      <c r="O30" s="1"/>
      <c r="P30" s="1"/>
      <c r="R30" s="258">
        <f>IF(AND($B$15&lt;$F$2,$E$15&lt;$F$2),R7,IF($B$15&lt;$F$2,X7,U7))</f>
        <v>0.10947</v>
      </c>
      <c r="S30" s="137">
        <f t="shared" ref="S30:S31" si="8">D30*R30</f>
        <v>79.256280000000004</v>
      </c>
      <c r="U30" s="259">
        <f t="shared" ref="U30:U31" si="9">D30*E30</f>
        <v>213.65240000000003</v>
      </c>
    </row>
    <row r="31" spans="2:22" x14ac:dyDescent="0.3">
      <c r="B31" s="41" t="s">
        <v>212</v>
      </c>
      <c r="D31" s="256">
        <v>51</v>
      </c>
      <c r="E31" s="53">
        <f t="shared" si="5"/>
        <v>0.55340999999999996</v>
      </c>
      <c r="F31" s="257">
        <f t="shared" si="5"/>
        <v>0.29163</v>
      </c>
      <c r="G31" s="53">
        <f t="shared" si="6"/>
        <v>0.84504000000000001</v>
      </c>
      <c r="H31" s="54">
        <f t="shared" si="7"/>
        <v>43.089999999999996</v>
      </c>
      <c r="I31" s="1"/>
      <c r="J31" s="1"/>
      <c r="K31" s="1"/>
      <c r="L31" s="260"/>
      <c r="M31" s="1"/>
      <c r="N31" s="1"/>
      <c r="O31" s="1"/>
      <c r="P31" s="1"/>
      <c r="R31" s="258">
        <f>IF(AND($B$15&lt;$F$2,$E$15&lt;$F$2),R8,IF($B$15&lt;$F$2,X8,U8))</f>
        <v>0.32839999999999997</v>
      </c>
      <c r="S31" s="137">
        <f t="shared" si="8"/>
        <v>16.7484</v>
      </c>
      <c r="U31" s="259">
        <f t="shared" si="9"/>
        <v>28.223909999999997</v>
      </c>
    </row>
    <row r="32" spans="2:22" x14ac:dyDescent="0.3">
      <c r="B32" s="41"/>
      <c r="D32" s="55"/>
      <c r="E32" s="56"/>
      <c r="F32" s="57"/>
      <c r="G32" s="57"/>
      <c r="H32" s="54"/>
      <c r="I32" s="1"/>
      <c r="J32" s="1"/>
      <c r="K32" s="1"/>
      <c r="L32" s="1"/>
      <c r="M32" s="1"/>
      <c r="N32" s="1"/>
      <c r="O32" s="1"/>
      <c r="P32" s="1"/>
      <c r="S32" s="144">
        <f>SUM(S29:S31)</f>
        <v>152.37967000000003</v>
      </c>
      <c r="U32" s="259">
        <f>SUM(U29:U31)</f>
        <v>325.48347000000001</v>
      </c>
    </row>
    <row r="33" spans="2:16" x14ac:dyDescent="0.3">
      <c r="B33" s="41" t="s">
        <v>43</v>
      </c>
      <c r="D33" s="58">
        <f>IF($K$13=M4,((D29+D30+D31)*(K15)/(K15+L15)),0)+IF($L$13=M4,((D29+D30+D31)*(L15)/(K15+L15)),0)</f>
        <v>0</v>
      </c>
      <c r="F33" s="59">
        <f>N4</f>
        <v>1.8849999999999999E-2</v>
      </c>
      <c r="G33" s="59"/>
      <c r="H33" s="54">
        <f>ROUND(D33*(E33+F33),2)</f>
        <v>0</v>
      </c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41" t="s">
        <v>44</v>
      </c>
      <c r="D34" s="58">
        <f>IF($K$13=M5,((D29+D30+D31)*(K15)/(K15+L15)),0)+IF($L$13=M5,((D29+D30+D31)*(L15)/(K15+L15)),0)</f>
        <v>0</v>
      </c>
      <c r="F34" s="59">
        <f>N5</f>
        <v>4.4630000000000003E-2</v>
      </c>
      <c r="G34" s="59"/>
      <c r="H34" s="54">
        <f>ROUND(D34*(E34+F34),2)</f>
        <v>0</v>
      </c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41" t="s">
        <v>45</v>
      </c>
      <c r="D35" s="58">
        <f>IF($K$13=M6,((D29+D30+D31)*(K15)/(K15+L15)),0)+IF($L$13=M6,((D29+D30+D31)*(L15)/(K15+L15)),0)</f>
        <v>0</v>
      </c>
      <c r="F35" s="59">
        <f>N6</f>
        <v>7.8770000000000007E-2</v>
      </c>
      <c r="G35" s="59"/>
      <c r="H35" s="54">
        <f>ROUND(D35*(E35+F35),2)</f>
        <v>0</v>
      </c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41" t="s">
        <v>46</v>
      </c>
      <c r="D36" s="58">
        <f>IF($K$13=M7,((D29+D30+D31)*(K15)/(K15+L15)),0)+IF($L$13=M7,((D29+D30+D31)*(L15)/(K15+L15)),0)</f>
        <v>0</v>
      </c>
      <c r="F36" s="59">
        <f>N7</f>
        <v>0.14199999999999999</v>
      </c>
      <c r="G36" s="59"/>
      <c r="H36" s="54">
        <f>ROUND(D36*(E36+F36),2)</f>
        <v>0</v>
      </c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41"/>
      <c r="D37" s="60"/>
      <c r="H37" s="54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41" t="s">
        <v>233</v>
      </c>
      <c r="D38" s="223">
        <v>-10</v>
      </c>
      <c r="E38" s="53">
        <f>IF(AND($B$15&lt;$F$2,$E$15&lt;$F$2),C6*$F$18,IF($B$15&lt;$F$2,(((C6*F18)*C15)+((F6*F21)*D15))/(C15+D15),F6*$F$21))</f>
        <v>0.66082125200000008</v>
      </c>
      <c r="F38" s="257">
        <f>F29</f>
        <v>0.45924999999999999</v>
      </c>
      <c r="G38" s="53">
        <f>E38+F38</f>
        <v>1.120071252</v>
      </c>
      <c r="H38" s="54">
        <f>ROUND((D38*E38),2)+ROUND((D38*F38),2)</f>
        <v>-11.2</v>
      </c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41" t="s">
        <v>234</v>
      </c>
      <c r="D39" s="223">
        <v>-100</v>
      </c>
      <c r="E39" s="53">
        <f>IF(AND($B$15&lt;$F$2,$E$15&lt;$F$2),C7*$F$19,IF($B$15&lt;$F$2,(((C7*F19)*C15)+((F7*F22)*D15))/(C15+D15),F7*$F$22))</f>
        <v>0.26491127000000003</v>
      </c>
      <c r="F39" s="257">
        <f t="shared" ref="F39:F40" si="10">F30</f>
        <v>0.29163</v>
      </c>
      <c r="G39" s="53">
        <f t="shared" ref="G39:G40" si="11">E39+F39</f>
        <v>0.55654127000000009</v>
      </c>
      <c r="H39" s="54">
        <f t="shared" ref="H39:H40" si="12">ROUND((D39*E39),2)+ROUND((D39*F39),2)</f>
        <v>-55.65</v>
      </c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41" t="s">
        <v>235</v>
      </c>
      <c r="D40" s="223">
        <v>-10</v>
      </c>
      <c r="E40" s="53">
        <f>IF(AND($B$15&lt;$F$2,$E$15&lt;$F$2),C8*$F$20,IF($B$15&lt;$F$2,(((C8*F20)*C15)+((F8*F23)*D15))/(C15+D15),F8*$F$23))</f>
        <v>0.462872124</v>
      </c>
      <c r="F40" s="257">
        <f t="shared" si="10"/>
        <v>0.29163</v>
      </c>
      <c r="G40" s="53">
        <f t="shared" si="11"/>
        <v>0.75450212400000005</v>
      </c>
      <c r="H40" s="54">
        <f t="shared" si="12"/>
        <v>-7.55</v>
      </c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41"/>
      <c r="D41" s="56"/>
      <c r="E41" s="56"/>
      <c r="F41" s="57"/>
      <c r="G41" s="57"/>
      <c r="H41" s="54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41" t="s">
        <v>236</v>
      </c>
      <c r="D42" s="58">
        <f>IF($K$13=M4,((D38+D39+D40)*(K15)/(K15+L15)),0)+IF($L$13=M4,((D38+D39+D40)*(L15)/(K15+L15)),0)</f>
        <v>0</v>
      </c>
      <c r="F42" s="59">
        <f>N13</f>
        <v>0</v>
      </c>
      <c r="G42" s="59"/>
      <c r="H42" s="54">
        <f>ROUND(D42*(E42+F42),2)</f>
        <v>0</v>
      </c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41" t="s">
        <v>237</v>
      </c>
      <c r="D43" s="58">
        <f>IF($K$13=M5,((D39+D40+D41)*(K15)/(K15+L15)),0)+IF($L$13=M5,((D39+D40+D41)*(L15)/(K15+L15)),0)</f>
        <v>0</v>
      </c>
      <c r="F43" s="59">
        <f>N14</f>
        <v>0</v>
      </c>
      <c r="G43" s="59"/>
      <c r="H43" s="54">
        <f>ROUND(D43*(E43+F43),2)</f>
        <v>0</v>
      </c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41" t="s">
        <v>238</v>
      </c>
      <c r="D44" s="58">
        <f>IF($K$13=M6,((D40+D41+D42)*(K15)/(K15+L15)),0)+IF($L$13=M6,((D40+D41+D42)*(L15)/(K15+L15)),0)</f>
        <v>0</v>
      </c>
      <c r="F44" s="59">
        <f>N15</f>
        <v>0</v>
      </c>
      <c r="G44" s="59"/>
      <c r="H44" s="54">
        <f>ROUND(D44*(E44+F44),2)</f>
        <v>0</v>
      </c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41" t="s">
        <v>239</v>
      </c>
      <c r="D45" s="58">
        <f>IF($K$13=M7,((D41+D42+D43)*(K15)/(K15+L15)),0)+IF($L$13=M7,((D41+D42+D43)*(L15)/(K15+L15)),0)</f>
        <v>0</v>
      </c>
      <c r="F45" s="59">
        <f>N16</f>
        <v>0</v>
      </c>
      <c r="G45" s="59"/>
      <c r="H45" s="54">
        <f>ROUND(D45*(E45+F45),2)</f>
        <v>0</v>
      </c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74"/>
      <c r="C46" s="75"/>
      <c r="D46" s="261"/>
      <c r="E46" s="262"/>
      <c r="F46" s="75"/>
      <c r="G46" s="75"/>
      <c r="H46" s="263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34"/>
      <c r="C47" s="35"/>
      <c r="D47" s="35"/>
      <c r="E47" s="35"/>
      <c r="F47" s="35"/>
      <c r="G47" s="35"/>
      <c r="H47" s="264"/>
      <c r="I47" s="1"/>
      <c r="L47" s="1"/>
      <c r="M47" s="1"/>
      <c r="N47" s="1"/>
      <c r="O47" s="1"/>
      <c r="P47" s="1"/>
    </row>
    <row r="48" spans="2:16" x14ac:dyDescent="0.3">
      <c r="B48" s="41"/>
      <c r="D48" s="63" t="s">
        <v>48</v>
      </c>
      <c r="E48" s="64"/>
      <c r="F48" s="64"/>
      <c r="G48" s="64"/>
      <c r="H48" s="65"/>
      <c r="I48" s="66"/>
      <c r="K48" s="67"/>
      <c r="L48" s="1"/>
      <c r="M48" s="1"/>
      <c r="N48" s="1"/>
      <c r="O48" s="1"/>
      <c r="P48" s="1"/>
    </row>
    <row r="49" spans="2:16" x14ac:dyDescent="0.3">
      <c r="B49" s="41" t="s">
        <v>49</v>
      </c>
      <c r="D49" s="67">
        <f>(SUM(H29:H36)/(1-E49-E50))</f>
        <v>624.32488791575429</v>
      </c>
      <c r="E49" s="265">
        <v>7.3000000000000001E-3</v>
      </c>
      <c r="H49" s="54">
        <f>D49*E49</f>
        <v>4.5575716817850065</v>
      </c>
      <c r="I49" s="67"/>
      <c r="L49" s="1"/>
      <c r="M49" s="1"/>
      <c r="N49" s="1"/>
      <c r="O49" s="1"/>
      <c r="P49" s="1"/>
    </row>
    <row r="50" spans="2:16" x14ac:dyDescent="0.3">
      <c r="B50" s="41" t="s">
        <v>51</v>
      </c>
      <c r="D50" s="67">
        <f>D49</f>
        <v>624.32488791575429</v>
      </c>
      <c r="E50" s="265">
        <v>3.3599999999999998E-2</v>
      </c>
      <c r="H50" s="54">
        <f>D50*E50</f>
        <v>20.977316233969344</v>
      </c>
      <c r="I50" s="67"/>
      <c r="L50" s="1"/>
      <c r="M50" s="1"/>
      <c r="N50" s="1"/>
      <c r="O50" s="1"/>
      <c r="P50" s="1"/>
    </row>
    <row r="51" spans="2:16" x14ac:dyDescent="0.3">
      <c r="B51" s="41" t="s">
        <v>11</v>
      </c>
      <c r="D51" s="266">
        <f>D49/(1-E51)</f>
        <v>752.19866013946307</v>
      </c>
      <c r="E51" s="267">
        <v>0.17</v>
      </c>
      <c r="H51" s="54">
        <f>D51*E51</f>
        <v>127.87377222370873</v>
      </c>
      <c r="I51" s="67"/>
      <c r="L51" s="1"/>
      <c r="M51" s="1"/>
      <c r="N51" s="1"/>
      <c r="O51" s="1"/>
      <c r="P51" s="1"/>
    </row>
    <row r="52" spans="2:16" x14ac:dyDescent="0.3">
      <c r="B52" s="74"/>
      <c r="C52" s="75"/>
      <c r="D52" s="75"/>
      <c r="E52" s="75"/>
      <c r="F52" s="75"/>
      <c r="G52" s="75"/>
      <c r="H52" s="268"/>
      <c r="L52" s="1"/>
      <c r="M52" s="1"/>
      <c r="N52" s="1"/>
      <c r="O52" s="1"/>
      <c r="P52" s="1"/>
    </row>
    <row r="53" spans="2:16" x14ac:dyDescent="0.3">
      <c r="B53" s="224" t="s">
        <v>193</v>
      </c>
      <c r="C53" s="133"/>
      <c r="D53" s="225">
        <f>SUM(D29:D31)+SUM(D38:D40)</f>
        <v>758</v>
      </c>
      <c r="E53" s="226">
        <f>IF(AND($B$15&lt;$F$2,$E$15&lt;$F$2),C9,IF($B$15&lt;$F$2,I9,F9))</f>
        <v>2.0783073765861601E-4</v>
      </c>
      <c r="F53" s="226">
        <f>IF(AND($B$15&lt;$F$2,$E$15&lt;$F$2),D9,IF($B$15&lt;$F$2,J9,G9))</f>
        <v>4.0179200000000003E-3</v>
      </c>
      <c r="G53" s="133"/>
      <c r="H53" s="224">
        <f>D53*(E53+F53)</f>
        <v>3.203119059145231</v>
      </c>
      <c r="L53" s="1"/>
      <c r="M53" s="1"/>
      <c r="N53" s="1"/>
      <c r="O53" s="1"/>
      <c r="P53" s="1"/>
    </row>
    <row r="54" spans="2:16" x14ac:dyDescent="0.3">
      <c r="L54" s="1"/>
      <c r="M54" s="1"/>
      <c r="N54" s="1"/>
      <c r="O54" s="1"/>
      <c r="P54" s="1"/>
    </row>
    <row r="55" spans="2:16" x14ac:dyDescent="0.3">
      <c r="B55" s="130" t="s">
        <v>213</v>
      </c>
      <c r="D55" s="64"/>
      <c r="E55" s="64" t="s">
        <v>8</v>
      </c>
      <c r="F55" s="64"/>
      <c r="G55" s="64"/>
      <c r="H55" s="66"/>
    </row>
    <row r="56" spans="2:16" x14ac:dyDescent="0.3">
      <c r="B56" s="269"/>
      <c r="C56" s="270" t="s">
        <v>7</v>
      </c>
    </row>
    <row r="57" spans="2:16" x14ac:dyDescent="0.3">
      <c r="B57" s="269" t="s">
        <v>214</v>
      </c>
      <c r="C57" s="271">
        <f>(SUM(H29:H36)*IF($B$15&lt;$F$2,D95,D67))</f>
        <v>259.11793676322719</v>
      </c>
    </row>
    <row r="58" spans="2:16" x14ac:dyDescent="0.3">
      <c r="B58" s="269" t="s">
        <v>215</v>
      </c>
      <c r="C58" s="271">
        <f>(SUM(H29:H36)*IF($B$15&lt;$F$2,F95,F67))</f>
        <v>155.5669331130062</v>
      </c>
    </row>
    <row r="59" spans="2:16" x14ac:dyDescent="0.3">
      <c r="B59" s="269" t="s">
        <v>216</v>
      </c>
      <c r="C59" s="271">
        <f>(SUM(H29:H36)*IF($B$15&lt;$F$2,E95,E67))</f>
        <v>48.757088134621327</v>
      </c>
    </row>
    <row r="60" spans="2:16" x14ac:dyDescent="0.3">
      <c r="B60" s="269" t="s">
        <v>217</v>
      </c>
      <c r="C60" s="271">
        <f>(SUM(H29:H36)*IF($B$15&lt;$F$2,G95,G67))</f>
        <v>135.34804198914529</v>
      </c>
    </row>
    <row r="61" spans="2:16" x14ac:dyDescent="0.3">
      <c r="B61" s="269" t="s">
        <v>218</v>
      </c>
      <c r="C61" s="272">
        <f>H49+H50+H51</f>
        <v>153.40866013946308</v>
      </c>
    </row>
    <row r="62" spans="2:16" x14ac:dyDescent="0.3">
      <c r="B62" s="273" t="s">
        <v>219</v>
      </c>
      <c r="C62" s="274">
        <f>SUM(C57:C61)</f>
        <v>752.19866013946307</v>
      </c>
    </row>
    <row r="64" spans="2:16" x14ac:dyDescent="0.3">
      <c r="B64" s="194">
        <v>2023</v>
      </c>
      <c r="C64" s="194"/>
      <c r="D64" s="194" t="s">
        <v>214</v>
      </c>
      <c r="E64" s="194" t="s">
        <v>216</v>
      </c>
      <c r="F64" s="194" t="s">
        <v>215</v>
      </c>
      <c r="G64" s="194" t="s">
        <v>220</v>
      </c>
    </row>
    <row r="65" spans="2:10" x14ac:dyDescent="0.3">
      <c r="B65" s="194" t="s">
        <v>221</v>
      </c>
      <c r="C65" s="194"/>
      <c r="D65" s="194" t="s">
        <v>222</v>
      </c>
      <c r="E65" s="194" t="s">
        <v>222</v>
      </c>
      <c r="F65" s="194" t="s">
        <v>222</v>
      </c>
      <c r="G65" s="194" t="s">
        <v>222</v>
      </c>
    </row>
    <row r="66" spans="2:10" x14ac:dyDescent="0.3">
      <c r="B66" s="194"/>
      <c r="C66" s="194"/>
      <c r="D66" s="194"/>
      <c r="E66" s="194"/>
      <c r="F66" s="194"/>
      <c r="G66" s="194"/>
    </row>
    <row r="67" spans="2:10" x14ac:dyDescent="0.3">
      <c r="B67" s="194" t="s">
        <v>223</v>
      </c>
      <c r="C67" s="194"/>
      <c r="D67" s="275">
        <v>0.43273591202796846</v>
      </c>
      <c r="E67" s="275">
        <v>8.1426022703487561E-2</v>
      </c>
      <c r="F67" s="275">
        <v>0.25980215620335384</v>
      </c>
      <c r="G67" s="275">
        <v>0.22603590906519025</v>
      </c>
    </row>
    <row r="68" spans="2:10" x14ac:dyDescent="0.3">
      <c r="B68" s="194" t="s">
        <v>224</v>
      </c>
      <c r="C68" s="194"/>
      <c r="D68" s="275">
        <v>0.52914974745856724</v>
      </c>
      <c r="E68" s="275">
        <v>9.9567792162627941E-2</v>
      </c>
      <c r="F68" s="275">
        <v>0.31768624124570172</v>
      </c>
      <c r="G68" s="275">
        <v>5.3596219133103154E-2</v>
      </c>
    </row>
    <row r="69" spans="2:10" x14ac:dyDescent="0.3">
      <c r="B69" s="194" t="s">
        <v>225</v>
      </c>
      <c r="C69" s="194"/>
      <c r="D69" s="275">
        <v>0.43273591202796835</v>
      </c>
      <c r="E69" s="275">
        <v>8.1426022703487574E-2</v>
      </c>
      <c r="F69" s="275">
        <v>0.25980215620335428</v>
      </c>
      <c r="G69" s="275">
        <v>0.22603590906518967</v>
      </c>
    </row>
    <row r="70" spans="2:10" x14ac:dyDescent="0.3">
      <c r="B70" s="194" t="s">
        <v>226</v>
      </c>
      <c r="C70" s="194"/>
      <c r="D70" s="275">
        <v>0.43273591202796835</v>
      </c>
      <c r="E70" s="275">
        <v>8.1426022703487574E-2</v>
      </c>
      <c r="F70" s="275">
        <v>0.25980215620335428</v>
      </c>
      <c r="G70" s="275">
        <v>0.22603590906518967</v>
      </c>
    </row>
    <row r="71" spans="2:10" x14ac:dyDescent="0.3">
      <c r="B71" s="194" t="s">
        <v>227</v>
      </c>
      <c r="C71" s="194"/>
      <c r="D71" s="275">
        <v>0.43273591202796846</v>
      </c>
      <c r="E71" s="275">
        <v>8.1426022703487491E-2</v>
      </c>
      <c r="F71" s="275">
        <v>0.25980215620335423</v>
      </c>
      <c r="G71" s="275">
        <v>0.22603590906518969</v>
      </c>
    </row>
    <row r="72" spans="2:10" x14ac:dyDescent="0.3">
      <c r="B72" s="194" t="s">
        <v>228</v>
      </c>
      <c r="C72" s="194"/>
      <c r="D72" s="275">
        <v>0.43273591202796846</v>
      </c>
      <c r="E72" s="275">
        <v>8.1426022703487561E-2</v>
      </c>
      <c r="F72" s="275">
        <v>0.25980215620335384</v>
      </c>
      <c r="G72" s="275">
        <v>0.22603590906519025</v>
      </c>
    </row>
    <row r="73" spans="2:10" x14ac:dyDescent="0.3">
      <c r="B73" s="194" t="s">
        <v>229</v>
      </c>
      <c r="C73" s="194"/>
      <c r="D73" s="275">
        <v>0.43273591202796846</v>
      </c>
      <c r="E73" s="275">
        <v>8.1426022703487561E-2</v>
      </c>
      <c r="F73" s="275">
        <v>0.25980215620335384</v>
      </c>
      <c r="G73" s="275">
        <v>0.22603590906519025</v>
      </c>
    </row>
    <row r="74" spans="2:10" x14ac:dyDescent="0.3">
      <c r="B74" s="194" t="s">
        <v>230</v>
      </c>
      <c r="C74" s="194"/>
      <c r="D74" s="275">
        <v>0.43273591202796818</v>
      </c>
      <c r="E74" s="275">
        <v>8.1426022703487477E-2</v>
      </c>
      <c r="F74" s="275">
        <v>0.25980215620335462</v>
      </c>
      <c r="G74" s="275">
        <v>0.22603590906518975</v>
      </c>
      <c r="J74" s="24"/>
    </row>
    <row r="75" spans="2:10" x14ac:dyDescent="0.3">
      <c r="B75" s="194" t="s">
        <v>231</v>
      </c>
      <c r="C75" s="194"/>
      <c r="D75" s="275">
        <v>0.43273591202796957</v>
      </c>
      <c r="E75" s="275">
        <v>8.1426022703487561E-2</v>
      </c>
      <c r="F75" s="275">
        <v>0.25980215620335317</v>
      </c>
      <c r="G75" s="275">
        <v>0.22603590906518972</v>
      </c>
    </row>
    <row r="76" spans="2:10" x14ac:dyDescent="0.3">
      <c r="B76" s="130"/>
      <c r="C76" s="130"/>
      <c r="D76" s="130"/>
      <c r="E76" s="130"/>
      <c r="F76" s="130"/>
      <c r="G76" s="130"/>
    </row>
    <row r="77" spans="2:10" x14ac:dyDescent="0.3">
      <c r="B77" s="130"/>
      <c r="C77" s="130"/>
      <c r="D77" s="130"/>
      <c r="E77" s="130"/>
      <c r="F77" s="130"/>
      <c r="G77" s="130"/>
    </row>
    <row r="78" spans="2:10" x14ac:dyDescent="0.3">
      <c r="B78" s="130">
        <v>2022</v>
      </c>
      <c r="C78" s="194"/>
      <c r="D78" s="194" t="s">
        <v>214</v>
      </c>
      <c r="E78" s="194" t="s">
        <v>216</v>
      </c>
      <c r="F78" s="194" t="s">
        <v>215</v>
      </c>
      <c r="G78" s="194" t="s">
        <v>220</v>
      </c>
    </row>
    <row r="79" spans="2:10" x14ac:dyDescent="0.3">
      <c r="B79" s="194" t="s">
        <v>221</v>
      </c>
      <c r="C79" s="194"/>
      <c r="D79" s="194" t="s">
        <v>222</v>
      </c>
      <c r="E79" s="194" t="s">
        <v>222</v>
      </c>
      <c r="F79" s="194" t="s">
        <v>222</v>
      </c>
      <c r="G79" s="194" t="s">
        <v>222</v>
      </c>
    </row>
    <row r="80" spans="2:10" x14ac:dyDescent="0.3">
      <c r="B80" s="194"/>
      <c r="C80" s="194"/>
      <c r="D80" s="194"/>
      <c r="E80" s="194"/>
      <c r="F80" s="194"/>
      <c r="G80" s="194"/>
    </row>
    <row r="81" spans="2:7" x14ac:dyDescent="0.3">
      <c r="B81" s="194" t="s">
        <v>223</v>
      </c>
      <c r="C81" s="194"/>
      <c r="D81" s="275">
        <v>0.43273591202796846</v>
      </c>
      <c r="E81" s="275">
        <v>8.1426022703487561E-2</v>
      </c>
      <c r="F81" s="275">
        <v>0.25980215620335384</v>
      </c>
      <c r="G81" s="275">
        <v>0.22603590906519025</v>
      </c>
    </row>
    <row r="82" spans="2:7" x14ac:dyDescent="0.3">
      <c r="B82" s="194" t="s">
        <v>224</v>
      </c>
      <c r="C82" s="194"/>
      <c r="D82" s="275">
        <v>0.52914974745856724</v>
      </c>
      <c r="E82" s="275">
        <v>9.9567792162627941E-2</v>
      </c>
      <c r="F82" s="275">
        <v>0.31768624124570172</v>
      </c>
      <c r="G82" s="275">
        <v>5.3596219133103154E-2</v>
      </c>
    </row>
    <row r="83" spans="2:7" x14ac:dyDescent="0.3">
      <c r="B83" s="194" t="s">
        <v>225</v>
      </c>
      <c r="C83" s="194"/>
      <c r="D83" s="275">
        <v>0.43273591202796835</v>
      </c>
      <c r="E83" s="275">
        <v>8.1426022703487574E-2</v>
      </c>
      <c r="F83" s="275">
        <v>0.25980215620335428</v>
      </c>
      <c r="G83" s="275">
        <v>0.22603590906518967</v>
      </c>
    </row>
    <row r="84" spans="2:7" x14ac:dyDescent="0.3">
      <c r="B84" s="194" t="s">
        <v>226</v>
      </c>
      <c r="C84" s="194"/>
      <c r="D84" s="275">
        <v>0.43273591202796835</v>
      </c>
      <c r="E84" s="275">
        <v>8.1426022703487574E-2</v>
      </c>
      <c r="F84" s="275">
        <v>0.25980215620335428</v>
      </c>
      <c r="G84" s="275">
        <v>0.22603590906518967</v>
      </c>
    </row>
    <row r="85" spans="2:7" x14ac:dyDescent="0.3">
      <c r="B85" s="194" t="s">
        <v>227</v>
      </c>
      <c r="C85" s="194"/>
      <c r="D85" s="275">
        <v>0.43273591202796846</v>
      </c>
      <c r="E85" s="275">
        <v>8.1426022703487491E-2</v>
      </c>
      <c r="F85" s="275">
        <v>0.25980215620335423</v>
      </c>
      <c r="G85" s="275">
        <v>0.22603590906518969</v>
      </c>
    </row>
    <row r="86" spans="2:7" x14ac:dyDescent="0.3">
      <c r="B86" s="194" t="s">
        <v>228</v>
      </c>
      <c r="C86" s="194"/>
      <c r="D86" s="275">
        <v>0.43273591202796846</v>
      </c>
      <c r="E86" s="275">
        <v>8.1426022703487561E-2</v>
      </c>
      <c r="F86" s="275">
        <v>0.25980215620335384</v>
      </c>
      <c r="G86" s="275">
        <v>0.22603590906519025</v>
      </c>
    </row>
    <row r="87" spans="2:7" x14ac:dyDescent="0.3">
      <c r="B87" s="194" t="s">
        <v>229</v>
      </c>
      <c r="C87" s="194"/>
      <c r="D87" s="275">
        <v>0.43273591202796846</v>
      </c>
      <c r="E87" s="275">
        <v>8.1426022703487561E-2</v>
      </c>
      <c r="F87" s="275">
        <v>0.25980215620335384</v>
      </c>
      <c r="G87" s="275">
        <v>0.22603590906519025</v>
      </c>
    </row>
    <row r="88" spans="2:7" x14ac:dyDescent="0.3">
      <c r="B88" s="194" t="s">
        <v>230</v>
      </c>
      <c r="C88" s="194"/>
      <c r="D88" s="275">
        <v>0.43273591202796818</v>
      </c>
      <c r="E88" s="275">
        <v>8.1426022703487477E-2</v>
      </c>
      <c r="F88" s="275">
        <v>0.25980215620335462</v>
      </c>
      <c r="G88" s="275">
        <v>0.22603590906518975</v>
      </c>
    </row>
    <row r="89" spans="2:7" x14ac:dyDescent="0.3">
      <c r="B89" s="194" t="s">
        <v>231</v>
      </c>
      <c r="C89" s="194"/>
      <c r="D89" s="275">
        <v>0.43273591202796957</v>
      </c>
      <c r="E89" s="275">
        <v>8.1426022703487561E-2</v>
      </c>
      <c r="F89" s="275">
        <v>0.25980215620335317</v>
      </c>
      <c r="G89" s="275">
        <v>0.22603590906518972</v>
      </c>
    </row>
    <row r="90" spans="2:7" x14ac:dyDescent="0.3">
      <c r="B90" s="130"/>
      <c r="C90" s="130"/>
      <c r="D90" s="130"/>
      <c r="E90" s="130"/>
      <c r="F90" s="130"/>
      <c r="G90" s="130"/>
    </row>
    <row r="91" spans="2:7" x14ac:dyDescent="0.3">
      <c r="B91" s="276" t="s">
        <v>232</v>
      </c>
      <c r="C91" s="130"/>
      <c r="D91" s="130"/>
      <c r="E91" s="130"/>
      <c r="F91" s="130"/>
      <c r="G91" s="130"/>
    </row>
    <row r="92" spans="2:7" x14ac:dyDescent="0.3">
      <c r="B92" s="194"/>
      <c r="C92" s="194"/>
      <c r="D92" s="194" t="s">
        <v>214</v>
      </c>
      <c r="E92" s="194" t="s">
        <v>216</v>
      </c>
      <c r="F92" s="194" t="s">
        <v>215</v>
      </c>
      <c r="G92" s="194" t="s">
        <v>220</v>
      </c>
    </row>
    <row r="93" spans="2:7" x14ac:dyDescent="0.3">
      <c r="B93" s="194" t="s">
        <v>221</v>
      </c>
      <c r="C93" s="194"/>
      <c r="D93" s="275" t="s">
        <v>222</v>
      </c>
      <c r="E93" s="275" t="s">
        <v>222</v>
      </c>
      <c r="F93" s="275" t="s">
        <v>222</v>
      </c>
      <c r="G93" s="275" t="s">
        <v>222</v>
      </c>
    </row>
    <row r="94" spans="2:7" x14ac:dyDescent="0.3">
      <c r="B94" s="194"/>
      <c r="C94" s="194"/>
      <c r="D94" s="275"/>
      <c r="E94" s="275"/>
      <c r="F94" s="275"/>
      <c r="G94" s="275"/>
    </row>
    <row r="95" spans="2:7" x14ac:dyDescent="0.3">
      <c r="B95" s="194" t="s">
        <v>223</v>
      </c>
      <c r="C95" s="194"/>
      <c r="D95" s="275">
        <f t="shared" ref="D95:G103" si="13">((D81*$C$15)+(D67*$D$15))/($C$15+$D$15)</f>
        <v>0.43273591202796846</v>
      </c>
      <c r="E95" s="275">
        <f t="shared" si="13"/>
        <v>8.1426022703487588E-2</v>
      </c>
      <c r="F95" s="275">
        <f t="shared" si="13"/>
        <v>0.25980215620335378</v>
      </c>
      <c r="G95" s="275">
        <f t="shared" si="13"/>
        <v>0.22603590906519028</v>
      </c>
    </row>
    <row r="96" spans="2:7" x14ac:dyDescent="0.3">
      <c r="B96" s="194" t="s">
        <v>224</v>
      </c>
      <c r="C96" s="194"/>
      <c r="D96" s="275">
        <f t="shared" si="13"/>
        <v>0.52914974745856713</v>
      </c>
      <c r="E96" s="275">
        <f t="shared" si="13"/>
        <v>9.9567792162627913E-2</v>
      </c>
      <c r="F96" s="275">
        <f t="shared" si="13"/>
        <v>0.31768624124570172</v>
      </c>
      <c r="G96" s="275">
        <f t="shared" si="13"/>
        <v>5.3596219133103189E-2</v>
      </c>
    </row>
    <row r="97" spans="2:7" x14ac:dyDescent="0.3">
      <c r="B97" s="194" t="s">
        <v>225</v>
      </c>
      <c r="C97" s="194"/>
      <c r="D97" s="275">
        <f t="shared" si="13"/>
        <v>0.43273591202796802</v>
      </c>
      <c r="E97" s="275">
        <f t="shared" si="13"/>
        <v>8.1426022703487588E-2</v>
      </c>
      <c r="F97" s="275">
        <f t="shared" si="13"/>
        <v>0.25980215620335428</v>
      </c>
      <c r="G97" s="275">
        <f t="shared" si="13"/>
        <v>0.22603590906518958</v>
      </c>
    </row>
    <row r="98" spans="2:7" x14ac:dyDescent="0.3">
      <c r="B98" s="194" t="s">
        <v>226</v>
      </c>
      <c r="C98" s="194"/>
      <c r="D98" s="275">
        <f t="shared" si="13"/>
        <v>0.43273591202796802</v>
      </c>
      <c r="E98" s="275">
        <f t="shared" si="13"/>
        <v>8.1426022703487588E-2</v>
      </c>
      <c r="F98" s="275">
        <f t="shared" si="13"/>
        <v>0.25980215620335428</v>
      </c>
      <c r="G98" s="275">
        <f t="shared" si="13"/>
        <v>0.22603590906518958</v>
      </c>
    </row>
    <row r="99" spans="2:7" x14ac:dyDescent="0.3">
      <c r="B99" s="194" t="s">
        <v>227</v>
      </c>
      <c r="C99" s="194"/>
      <c r="D99" s="275">
        <f t="shared" si="13"/>
        <v>0.43273591202796846</v>
      </c>
      <c r="E99" s="275">
        <f t="shared" si="13"/>
        <v>8.1426022703487477E-2</v>
      </c>
      <c r="F99" s="275">
        <f t="shared" si="13"/>
        <v>0.25980215620335428</v>
      </c>
      <c r="G99" s="275">
        <f t="shared" si="13"/>
        <v>0.22603590906518958</v>
      </c>
    </row>
    <row r="100" spans="2:7" x14ac:dyDescent="0.3">
      <c r="B100" s="194" t="s">
        <v>228</v>
      </c>
      <c r="C100" s="194"/>
      <c r="D100" s="275">
        <f t="shared" si="13"/>
        <v>0.43273591202796846</v>
      </c>
      <c r="E100" s="275">
        <f t="shared" si="13"/>
        <v>8.1426022703487588E-2</v>
      </c>
      <c r="F100" s="275">
        <f t="shared" si="13"/>
        <v>0.25980215620335378</v>
      </c>
      <c r="G100" s="275">
        <f t="shared" si="13"/>
        <v>0.22603590906519028</v>
      </c>
    </row>
    <row r="101" spans="2:7" x14ac:dyDescent="0.3">
      <c r="B101" s="194" t="s">
        <v>229</v>
      </c>
      <c r="C101" s="194"/>
      <c r="D101" s="275">
        <f t="shared" si="13"/>
        <v>0.43273591202796846</v>
      </c>
      <c r="E101" s="275">
        <f t="shared" si="13"/>
        <v>8.1426022703487588E-2</v>
      </c>
      <c r="F101" s="275">
        <f t="shared" si="13"/>
        <v>0.25980215620335378</v>
      </c>
      <c r="G101" s="275">
        <f t="shared" si="13"/>
        <v>0.22603590906519028</v>
      </c>
    </row>
    <row r="102" spans="2:7" x14ac:dyDescent="0.3">
      <c r="B102" s="194" t="s">
        <v>230</v>
      </c>
      <c r="C102" s="194"/>
      <c r="D102" s="275">
        <f t="shared" si="13"/>
        <v>0.43273591202796846</v>
      </c>
      <c r="E102" s="275">
        <f t="shared" si="13"/>
        <v>8.1426022703487477E-2</v>
      </c>
      <c r="F102" s="275">
        <f t="shared" si="13"/>
        <v>0.25980215620335451</v>
      </c>
      <c r="G102" s="275">
        <f t="shared" si="13"/>
        <v>0.22603590906518981</v>
      </c>
    </row>
    <row r="103" spans="2:7" x14ac:dyDescent="0.3">
      <c r="B103" s="194" t="s">
        <v>231</v>
      </c>
      <c r="C103" s="194"/>
      <c r="D103" s="275">
        <f t="shared" si="13"/>
        <v>0.43273591202796935</v>
      </c>
      <c r="E103" s="275">
        <f t="shared" si="13"/>
        <v>8.1426022703487588E-2</v>
      </c>
      <c r="F103" s="275">
        <f t="shared" si="13"/>
        <v>0.25980215620335312</v>
      </c>
      <c r="G103" s="275">
        <f t="shared" si="13"/>
        <v>0.22603590906518981</v>
      </c>
    </row>
  </sheetData>
  <mergeCells count="11">
    <mergeCell ref="H2:I2"/>
    <mergeCell ref="B4:B5"/>
    <mergeCell ref="C4:E4"/>
    <mergeCell ref="F4:H4"/>
    <mergeCell ref="I4:K4"/>
    <mergeCell ref="R4:T4"/>
    <mergeCell ref="U4:W4"/>
    <mergeCell ref="X4:Z4"/>
    <mergeCell ref="K12:L12"/>
    <mergeCell ref="B25:H25"/>
    <mergeCell ref="Q4:Q5"/>
  </mergeCells>
  <conditionalFormatting sqref="K13:L13">
    <cfRule type="cellIs" dxfId="83" priority="1" operator="equal">
      <formula>"Escassez Hídrica"</formula>
    </cfRule>
    <cfRule type="cellIs" dxfId="82" priority="2" operator="equal">
      <formula>"VERDE"</formula>
    </cfRule>
    <cfRule type="cellIs" dxfId="81" priority="3" operator="equal">
      <formula>"BVM2"</formula>
    </cfRule>
    <cfRule type="cellIs" dxfId="80" priority="4" operator="equal">
      <formula>"BVM1"</formula>
    </cfRule>
    <cfRule type="cellIs" dxfId="79" priority="5" operator="equal">
      <formula>"BAM"</formula>
    </cfRule>
  </conditionalFormatting>
  <conditionalFormatting sqref="M3">
    <cfRule type="cellIs" dxfId="78" priority="16" operator="equal">
      <formula>"VERDE"</formula>
    </cfRule>
    <cfRule type="cellIs" dxfId="77" priority="17" operator="equal">
      <formula>"BVM2"</formula>
    </cfRule>
    <cfRule type="cellIs" dxfId="76" priority="18" operator="equal">
      <formula>"BVM1"</formula>
    </cfRule>
    <cfRule type="cellIs" dxfId="75" priority="19" operator="equal">
      <formula>"BAM"</formula>
    </cfRule>
  </conditionalFormatting>
  <conditionalFormatting sqref="M7">
    <cfRule type="containsText" dxfId="74" priority="11" operator="containsText" text="Escassez Hídrica">
      <formula>NOT(ISERROR(SEARCH("Escassez Hídrica",M7)))</formula>
    </cfRule>
    <cfRule type="cellIs" dxfId="73" priority="12" operator="equal">
      <formula>"VERDE"</formula>
    </cfRule>
    <cfRule type="cellIs" dxfId="72" priority="13" operator="equal">
      <formula>"BVM2"</formula>
    </cfRule>
    <cfRule type="cellIs" dxfId="71" priority="14" operator="equal">
      <formula>"BVM1"</formula>
    </cfRule>
    <cfRule type="cellIs" dxfId="70" priority="15" operator="equal">
      <formula>"BAM"</formula>
    </cfRule>
  </conditionalFormatting>
  <dataValidations count="1">
    <dataValidation type="list" allowBlank="1" showInputMessage="1" showErrorMessage="1" sqref="K13:L13" xr:uid="{63BECEBB-0D7F-475E-BC1C-B8BC6820BF57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2E40-3ABB-4150-86C4-5C2FF820F710}">
  <dimension ref="A1:Z103"/>
  <sheetViews>
    <sheetView showGridLines="0" zoomScale="80" zoomScaleNormal="80" workbookViewId="0">
      <selection activeCell="M34" sqref="M34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4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67</v>
      </c>
      <c r="E2" s="20" t="s">
        <v>28</v>
      </c>
      <c r="F2" s="21">
        <v>45358</v>
      </c>
      <c r="G2" s="1" t="s">
        <v>8</v>
      </c>
      <c r="H2" s="458" t="s">
        <v>207</v>
      </c>
      <c r="I2" s="458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'[4]B1 (Res) Branca OK'!N3</f>
        <v>0</v>
      </c>
    </row>
    <row r="4" spans="1:26" ht="15" customHeight="1" x14ac:dyDescent="0.3">
      <c r="B4" s="413" t="s">
        <v>31</v>
      </c>
      <c r="C4" s="405" t="s">
        <v>58</v>
      </c>
      <c r="D4" s="406"/>
      <c r="E4" s="407"/>
      <c r="F4" s="418" t="str">
        <f>'Fatura B1 (GD II) OK'!F4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'[4]B1 (Res) Branca OK'!N4</f>
        <v>1.8849999999999999E-2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'[4]B1 (Res) Branca OK'!N5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208</v>
      </c>
      <c r="C6" s="31">
        <f>'[4]TABELA DE TARIFAS ANTIGAS'!G73/1000</f>
        <v>0.85703999999999991</v>
      </c>
      <c r="D6" s="31">
        <f>'[4]TABELA DE TARIFAS ANTIGAS'!H73/1000</f>
        <v>0.45924999999999999</v>
      </c>
      <c r="E6" s="31">
        <f t="shared" ref="E6:E8" si="0">C6+D6</f>
        <v>1.31629</v>
      </c>
      <c r="F6" s="31">
        <f>'[4]TABELA DE TARIFAS NOVAS'!G75/1000</f>
        <v>0.85538999999999998</v>
      </c>
      <c r="G6" s="31">
        <f>'[4]TABELA DE TARIFAS NOVAS'!H75/1000</f>
        <v>0.45611000000000002</v>
      </c>
      <c r="H6" s="31">
        <f t="shared" ref="H6:H9" si="1">F6+G6</f>
        <v>1.3115000000000001</v>
      </c>
      <c r="I6" s="31">
        <f>((C6*$C$15)+(F6*$D$15))/($D$15+$C$15)</f>
        <v>0.86763193548387019</v>
      </c>
      <c r="J6" s="31">
        <f>((D6*$C$15)+(G6*$D$15))/($D$15+$C$15)</f>
        <v>0.47940677419354832</v>
      </c>
      <c r="K6" s="32">
        <f t="shared" ref="K6:K9" si="2">I6+J6</f>
        <v>1.3470387096774186</v>
      </c>
      <c r="M6" s="13" t="s">
        <v>16</v>
      </c>
      <c r="N6" s="14">
        <f>'[4]B1 (Res) Branca OK'!N6</f>
        <v>7.8770000000000007E-2</v>
      </c>
      <c r="Q6" s="30" t="str">
        <f>B6</f>
        <v>B1 Ponta</v>
      </c>
      <c r="R6" s="31">
        <f>'[4]FIO B'!H14/1000</f>
        <v>0.55059999999999998</v>
      </c>
      <c r="S6"/>
      <c r="T6"/>
      <c r="U6" s="31">
        <f>'[4]FIO B'!K14/1000</f>
        <v>0.53839715394503196</v>
      </c>
      <c r="V6"/>
      <c r="W6"/>
      <c r="X6" s="31">
        <f>((R6*$C$15)+(U6*$D$15))/($D$15+$C$15)</f>
        <v>0.62893439886898805</v>
      </c>
      <c r="Y6"/>
      <c r="Z6"/>
    </row>
    <row r="7" spans="1:26" customFormat="1" x14ac:dyDescent="0.3">
      <c r="B7" s="30" t="s">
        <v>209</v>
      </c>
      <c r="C7" s="31">
        <f>'[4]TABELA DE TARIFAS ANTIGAS'!G75/1000</f>
        <v>0.30417</v>
      </c>
      <c r="D7" s="31">
        <f>'[4]TABELA DE TARIFAS ANTIGAS'!H75/1000</f>
        <v>0.29163</v>
      </c>
      <c r="E7" s="31">
        <f t="shared" si="0"/>
        <v>0.5958</v>
      </c>
      <c r="F7" s="31">
        <f>'[4]TABELA DE TARIFAS NOVAS'!G77/1000</f>
        <v>0.29372999999999999</v>
      </c>
      <c r="G7" s="31">
        <f>'[4]TABELA DE TARIFAS NOVAS'!H77/1000</f>
        <v>0.28686</v>
      </c>
      <c r="H7" s="31">
        <f t="shared" si="1"/>
        <v>0.58058999999999994</v>
      </c>
      <c r="I7" s="31">
        <f>((C7*$C$15)+(F7*$D$15))/($D$15+$C$15)</f>
        <v>0.37118806451612885</v>
      </c>
      <c r="J7" s="31">
        <f>((D7*$C$15)+(G7*$D$15))/($D$15+$C$15)</f>
        <v>0.32225032258064507</v>
      </c>
      <c r="K7" s="32">
        <f t="shared" si="2"/>
        <v>0.69343838709677397</v>
      </c>
      <c r="M7" s="7" t="s">
        <v>17</v>
      </c>
      <c r="N7" s="15">
        <v>0.14199999999999999</v>
      </c>
      <c r="Q7" s="30" t="str">
        <f t="shared" ref="Q7:Q8" si="3">B7</f>
        <v>B1 Fora Ponta</v>
      </c>
      <c r="R7" s="31">
        <f>'[4]FIO B'!H16/1000</f>
        <v>0.11012000000000001</v>
      </c>
      <c r="U7" s="31">
        <f>'[4]FIO B'!K16/1000</f>
        <v>0.107679450308636</v>
      </c>
      <c r="X7" s="31">
        <f t="shared" ref="X7:X8" si="4">((R7*$C$15)+(U7*$D$15))/($D$15+$C$15)</f>
        <v>0.12578675447036905</v>
      </c>
    </row>
    <row r="8" spans="1:26" customFormat="1" x14ac:dyDescent="0.3">
      <c r="B8" s="30" t="s">
        <v>210</v>
      </c>
      <c r="C8" s="31">
        <f>'[4]TABELA DE TARIFAS ANTIGAS'!G74/1000</f>
        <v>0.5806</v>
      </c>
      <c r="D8" s="31">
        <f>'[4]TABELA DE TARIFAS ANTIGAS'!H74/1000</f>
        <v>0.29163</v>
      </c>
      <c r="E8" s="31">
        <f t="shared" si="0"/>
        <v>0.87223000000000006</v>
      </c>
      <c r="F8" s="31">
        <f>'[4]TABELA DE TARIFAS NOVAS'!G76/1000</f>
        <v>0.57455999999999996</v>
      </c>
      <c r="G8" s="31">
        <f>'[4]TABELA DE TARIFAS NOVAS'!H76/1000</f>
        <v>0.28686</v>
      </c>
      <c r="H8" s="31">
        <f t="shared" si="1"/>
        <v>0.86141999999999996</v>
      </c>
      <c r="I8" s="31">
        <f>((C8*$C$15)+(F8*$D$15))/($D$15+$C$15)</f>
        <v>0.61937290322580718</v>
      </c>
      <c r="J8" s="31">
        <f t="shared" ref="J8" si="5">((D8*$C$15)+(G8*$D$15))/($D$15+$C$15)</f>
        <v>0.32225032258064507</v>
      </c>
      <c r="K8" s="32">
        <f t="shared" si="2"/>
        <v>0.9416232258064523</v>
      </c>
      <c r="Q8" s="30" t="str">
        <f t="shared" si="3"/>
        <v>B1 Interm.</v>
      </c>
      <c r="R8" s="31">
        <f>'[4]FIO B'!H15/1000</f>
        <v>0.33035999999999999</v>
      </c>
      <c r="U8" s="31">
        <f>'[4]FIO B'!K15/1000</f>
        <v>0.32303825332776104</v>
      </c>
      <c r="X8" s="31">
        <f t="shared" si="4"/>
        <v>0.37736088992824357</v>
      </c>
    </row>
    <row r="9" spans="1:26" customFormat="1" x14ac:dyDescent="0.3">
      <c r="B9" s="243" t="s">
        <v>200</v>
      </c>
      <c r="C9" s="32">
        <f>'[4]B1 (Res) Branca OK'!C9</f>
        <v>2.0783073765861601E-4</v>
      </c>
      <c r="D9" s="32">
        <f>'[4]B1 (Res) Branca OK'!D9</f>
        <v>4.0179200000000003E-3</v>
      </c>
      <c r="E9" s="32">
        <f>SUM(C9+D9)</f>
        <v>4.225750737658616E-3</v>
      </c>
      <c r="F9" s="32">
        <f>T13</f>
        <v>1.7567285996534902E-4</v>
      </c>
      <c r="G9" s="32">
        <f>U13</f>
        <v>3.42973552660492E-3</v>
      </c>
      <c r="H9" s="32">
        <f t="shared" si="1"/>
        <v>3.6054083865702689E-3</v>
      </c>
      <c r="I9" s="31">
        <f>((C9*$C$15)+(F9*$D$15))/($D$15+$C$15)</f>
        <v>4.142635654315236E-4</v>
      </c>
      <c r="J9" s="31">
        <f>((D9*$C$15)+(G9*$D$15))/($D$15+$C$15)</f>
        <v>7.7936848453426149E-3</v>
      </c>
      <c r="K9" s="32">
        <f t="shared" si="2"/>
        <v>8.2079484107741383E-3</v>
      </c>
    </row>
    <row r="10" spans="1:26" x14ac:dyDescent="0.3">
      <c r="G10" s="1"/>
      <c r="H10" s="1"/>
      <c r="I10" s="1"/>
      <c r="J10" s="1"/>
      <c r="K10" s="1"/>
      <c r="O10" s="20"/>
      <c r="P10" s="228" t="s">
        <v>194</v>
      </c>
      <c r="Q10" s="229"/>
      <c r="R10" s="230" t="s">
        <v>195</v>
      </c>
      <c r="S10" s="230" t="s">
        <v>196</v>
      </c>
      <c r="T10" s="230" t="s">
        <v>35</v>
      </c>
      <c r="U10" s="230" t="s">
        <v>100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45139</v>
      </c>
      <c r="P11" s="231" t="s">
        <v>197</v>
      </c>
      <c r="Q11" s="232"/>
      <c r="R11" s="233"/>
      <c r="S11" s="233"/>
      <c r="T11" s="234"/>
      <c r="U11" s="234"/>
    </row>
    <row r="12" spans="1:26" x14ac:dyDescent="0.3">
      <c r="B12" s="38" t="s">
        <v>38</v>
      </c>
      <c r="C12" s="255"/>
      <c r="E12" s="1"/>
      <c r="F12" s="1"/>
      <c r="G12" s="1"/>
      <c r="H12" s="40">
        <f>E15</f>
        <v>45158</v>
      </c>
      <c r="K12" s="408" t="s">
        <v>26</v>
      </c>
      <c r="L12" s="408"/>
      <c r="P12" s="235" t="s">
        <v>198</v>
      </c>
      <c r="Q12" s="236"/>
      <c r="R12" s="237"/>
      <c r="S12" s="237"/>
      <c r="T12" s="238"/>
      <c r="U12" s="277">
        <f>5.61/1000</f>
        <v>5.6100000000000004E-3</v>
      </c>
    </row>
    <row r="13" spans="1:26" x14ac:dyDescent="0.3">
      <c r="B13" s="41"/>
      <c r="H13" s="42"/>
      <c r="K13" s="7" t="s">
        <v>13</v>
      </c>
      <c r="L13" s="7" t="s">
        <v>13</v>
      </c>
      <c r="P13" s="239" t="s">
        <v>199</v>
      </c>
      <c r="Q13" s="240"/>
      <c r="R13" s="241"/>
      <c r="S13" s="241"/>
      <c r="T13" s="278">
        <f>0.175672859965349/1000</f>
        <v>1.7567285996534902E-4</v>
      </c>
      <c r="U13" s="277">
        <f>3.42973552660492/1000</f>
        <v>3.42973552660492E-3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45127</v>
      </c>
      <c r="C15" s="18">
        <f>IF((F2-B15-1)&lt;0,0,(F2-B15-1))</f>
        <v>230</v>
      </c>
      <c r="D15" s="18">
        <f>E15-F2+1</f>
        <v>-199</v>
      </c>
      <c r="E15" s="17">
        <v>45158</v>
      </c>
      <c r="F15" s="44"/>
      <c r="G15" s="44"/>
      <c r="H15" s="45"/>
      <c r="J15" s="22">
        <f>B15</f>
        <v>45127</v>
      </c>
      <c r="K15" s="23">
        <f>IF((M11-J15-1)&lt;0,0,(M11-J15-1))</f>
        <v>11</v>
      </c>
      <c r="L15" s="23">
        <f>M15-M11+1</f>
        <v>20</v>
      </c>
      <c r="M15" s="22">
        <f>E15</f>
        <v>45158</v>
      </c>
    </row>
    <row r="17" spans="2:22" x14ac:dyDescent="0.3">
      <c r="B17" s="1"/>
      <c r="F17" s="254" t="s">
        <v>206</v>
      </c>
      <c r="G17"/>
      <c r="H17" s="3"/>
    </row>
    <row r="18" spans="2:22" x14ac:dyDescent="0.3">
      <c r="B18" s="5" t="s">
        <v>55</v>
      </c>
      <c r="E18" s="26" t="s">
        <v>144</v>
      </c>
      <c r="F18" s="85">
        <v>0.8115</v>
      </c>
      <c r="G18" s="86" t="s">
        <v>9</v>
      </c>
      <c r="H18" s="85">
        <v>1</v>
      </c>
      <c r="I18" s="280" t="s">
        <v>240</v>
      </c>
    </row>
    <row r="19" spans="2:22" x14ac:dyDescent="0.3">
      <c r="B19" s="5"/>
      <c r="E19" s="26" t="s">
        <v>146</v>
      </c>
      <c r="F19" s="85">
        <v>0.89380000000000004</v>
      </c>
      <c r="G19" s="86" t="s">
        <v>9</v>
      </c>
      <c r="H19" s="85">
        <v>1</v>
      </c>
      <c r="I19" s="280" t="s">
        <v>240</v>
      </c>
    </row>
    <row r="20" spans="2:22" x14ac:dyDescent="0.3">
      <c r="B20" s="5"/>
      <c r="E20" s="26" t="s">
        <v>241</v>
      </c>
      <c r="F20" s="85">
        <v>0.83309999999999995</v>
      </c>
      <c r="G20" s="86" t="s">
        <v>9</v>
      </c>
      <c r="H20" s="85">
        <v>1</v>
      </c>
      <c r="I20" s="280" t="s">
        <v>240</v>
      </c>
    </row>
    <row r="21" spans="2:22" x14ac:dyDescent="0.3">
      <c r="B21" s="5"/>
      <c r="E21" s="281" t="s">
        <v>144</v>
      </c>
      <c r="F21" s="282">
        <v>0.79859999999999998</v>
      </c>
      <c r="G21" s="279" t="s">
        <v>9</v>
      </c>
      <c r="H21" s="282">
        <v>1</v>
      </c>
      <c r="I21" s="280" t="s">
        <v>242</v>
      </c>
    </row>
    <row r="22" spans="2:22" x14ac:dyDescent="0.3">
      <c r="B22" s="5"/>
      <c r="E22" s="281" t="s">
        <v>146</v>
      </c>
      <c r="F22" s="282">
        <v>0.88270000000000004</v>
      </c>
      <c r="G22" s="279" t="s">
        <v>9</v>
      </c>
      <c r="H22" s="282">
        <v>1</v>
      </c>
      <c r="I22" s="280" t="s">
        <v>242</v>
      </c>
    </row>
    <row r="23" spans="2:22" x14ac:dyDescent="0.3">
      <c r="B23" s="5"/>
      <c r="E23" s="281" t="s">
        <v>241</v>
      </c>
      <c r="F23" s="282">
        <v>0.82010000000000005</v>
      </c>
      <c r="G23" s="279" t="s">
        <v>9</v>
      </c>
      <c r="H23" s="282">
        <v>1</v>
      </c>
      <c r="I23" s="280" t="s">
        <v>242</v>
      </c>
    </row>
    <row r="24" spans="2:22" x14ac:dyDescent="0.3"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x14ac:dyDescent="0.3">
      <c r="B25" s="415" t="s">
        <v>211</v>
      </c>
      <c r="C25" s="416"/>
      <c r="D25" s="416"/>
      <c r="E25" s="416"/>
      <c r="F25" s="416"/>
      <c r="G25" s="416"/>
      <c r="H25" s="417"/>
      <c r="I25" s="1"/>
      <c r="J25" s="127"/>
      <c r="K25" s="1"/>
      <c r="L25" s="1"/>
      <c r="M25" s="1"/>
      <c r="N25" s="1"/>
      <c r="O25" s="1"/>
      <c r="P25" s="1"/>
    </row>
    <row r="26" spans="2:22" x14ac:dyDescent="0.3">
      <c r="B26" s="41"/>
      <c r="D26" s="46" t="s">
        <v>40</v>
      </c>
      <c r="E26" s="46" t="s">
        <v>10</v>
      </c>
      <c r="F26" s="46" t="s">
        <v>9</v>
      </c>
      <c r="G26" s="46" t="s">
        <v>34</v>
      </c>
      <c r="H26" s="47" t="s">
        <v>7</v>
      </c>
      <c r="I26" s="1"/>
      <c r="J26" s="127" t="s">
        <v>104</v>
      </c>
      <c r="K26" s="1"/>
      <c r="L26" s="128"/>
      <c r="M26" s="1"/>
      <c r="N26" s="1"/>
      <c r="O26" s="1"/>
      <c r="P26" s="1"/>
    </row>
    <row r="27" spans="2:22" x14ac:dyDescent="0.3">
      <c r="B27" s="48" t="s">
        <v>41</v>
      </c>
      <c r="C27" s="49"/>
      <c r="D27" s="50"/>
      <c r="E27" s="50"/>
      <c r="F27" s="50"/>
      <c r="G27" s="50"/>
      <c r="H27" s="51">
        <f>SUM(H29:H36)+SUM(H49:H51)</f>
        <v>768.06443792059076</v>
      </c>
      <c r="I27" s="1"/>
      <c r="J27" s="1"/>
      <c r="K27" s="1"/>
      <c r="L27" s="1"/>
      <c r="M27" s="1"/>
      <c r="N27" s="1"/>
      <c r="O27" s="1"/>
      <c r="P27" s="1"/>
    </row>
    <row r="28" spans="2:22" x14ac:dyDescent="0.3">
      <c r="B28" s="41"/>
      <c r="D28" s="46"/>
      <c r="E28" s="46"/>
      <c r="F28" s="46"/>
      <c r="G28" s="46"/>
      <c r="H28" s="52"/>
      <c r="I28" s="1"/>
      <c r="J28"/>
      <c r="K28"/>
      <c r="L28"/>
      <c r="M28" s="1"/>
      <c r="N28" s="1"/>
      <c r="O28" s="1"/>
      <c r="P28" s="1"/>
      <c r="R28" s="26" t="s">
        <v>105</v>
      </c>
      <c r="S28" s="26" t="s">
        <v>106</v>
      </c>
    </row>
    <row r="29" spans="2:22" x14ac:dyDescent="0.3">
      <c r="B29" s="41" t="s">
        <v>107</v>
      </c>
      <c r="D29" s="256">
        <v>103</v>
      </c>
      <c r="E29" s="53">
        <f t="shared" ref="E29:F31" si="6">IF(AND($B$15&lt;$F$2,$E$15&lt;$F$2),C6,IF($B$15&lt;$F$2,I6,F6))</f>
        <v>0.85703999999999991</v>
      </c>
      <c r="F29" s="257">
        <f t="shared" si="6"/>
        <v>0.45924999999999999</v>
      </c>
      <c r="G29" s="53">
        <f>E29+F29</f>
        <v>1.31629</v>
      </c>
      <c r="H29" s="54">
        <f>ROUND((D29*E29),2)+ROUND((D29*F29),2)</f>
        <v>135.57999999999998</v>
      </c>
      <c r="I29" s="1"/>
      <c r="J29"/>
      <c r="K29"/>
      <c r="L29"/>
      <c r="M29" s="1"/>
      <c r="N29" s="1"/>
      <c r="O29" s="1"/>
      <c r="P29" s="1"/>
      <c r="R29" s="258">
        <f>IF(AND($B$15&lt;$F$2,$E$15&lt;$F$2),R6,IF($B$15&lt;$F$2,X6,U6))</f>
        <v>0.55059999999999998</v>
      </c>
      <c r="S29" s="137">
        <f>D29*R29</f>
        <v>56.711799999999997</v>
      </c>
      <c r="U29" s="259">
        <f>D29*E29</f>
        <v>88.275119999999987</v>
      </c>
    </row>
    <row r="30" spans="2:22" x14ac:dyDescent="0.3">
      <c r="B30" s="41" t="s">
        <v>108</v>
      </c>
      <c r="D30" s="256">
        <v>724</v>
      </c>
      <c r="E30" s="53">
        <f t="shared" si="6"/>
        <v>0.30417</v>
      </c>
      <c r="F30" s="257">
        <f t="shared" si="6"/>
        <v>0.29163</v>
      </c>
      <c r="G30" s="53">
        <f t="shared" ref="G30:G31" si="7">E30+F30</f>
        <v>0.5958</v>
      </c>
      <c r="H30" s="54">
        <f t="shared" ref="H30:H31" si="8">ROUND((D30*E30),2)+ROUND((D30*F30),2)</f>
        <v>431.36</v>
      </c>
      <c r="I30" s="1"/>
      <c r="J30" s="1"/>
      <c r="K30" s="1"/>
      <c r="L30" s="260"/>
      <c r="M30" s="1"/>
      <c r="N30" s="1"/>
      <c r="O30" s="1"/>
      <c r="P30" s="1"/>
      <c r="R30" s="258">
        <f>IF(AND($B$15&lt;$F$2,$E$15&lt;$F$2),R7,IF($B$15&lt;$F$2,X7,U7))</f>
        <v>0.11012000000000001</v>
      </c>
      <c r="S30" s="137">
        <f t="shared" ref="S30:S31" si="9">D30*R30</f>
        <v>79.726880000000008</v>
      </c>
      <c r="U30" s="259">
        <f t="shared" ref="U30:U31" si="10">D30*E30</f>
        <v>220.21907999999999</v>
      </c>
    </row>
    <row r="31" spans="2:22" x14ac:dyDescent="0.3">
      <c r="B31" s="41" t="s">
        <v>212</v>
      </c>
      <c r="D31" s="256">
        <v>51</v>
      </c>
      <c r="E31" s="53">
        <f t="shared" si="6"/>
        <v>0.5806</v>
      </c>
      <c r="F31" s="257">
        <f t="shared" si="6"/>
        <v>0.29163</v>
      </c>
      <c r="G31" s="53">
        <f t="shared" si="7"/>
        <v>0.87223000000000006</v>
      </c>
      <c r="H31" s="54">
        <f t="shared" si="8"/>
        <v>44.48</v>
      </c>
      <c r="I31" s="1"/>
      <c r="J31" s="1"/>
      <c r="K31" s="1"/>
      <c r="L31" s="260"/>
      <c r="M31" s="1"/>
      <c r="N31" s="1"/>
      <c r="O31" s="1"/>
      <c r="P31" s="1"/>
      <c r="R31" s="258">
        <f>IF(AND($B$15&lt;$F$2,$E$15&lt;$F$2),R8,IF($B$15&lt;$F$2,X8,U8))</f>
        <v>0.33035999999999999</v>
      </c>
      <c r="S31" s="137">
        <f t="shared" si="9"/>
        <v>16.84836</v>
      </c>
      <c r="U31" s="259">
        <f t="shared" si="10"/>
        <v>29.610600000000002</v>
      </c>
    </row>
    <row r="32" spans="2:22" x14ac:dyDescent="0.3">
      <c r="B32" s="41"/>
      <c r="D32" s="55"/>
      <c r="E32" s="56"/>
      <c r="F32" s="57"/>
      <c r="G32" s="57"/>
      <c r="H32" s="54"/>
      <c r="I32" s="1"/>
      <c r="J32" s="1"/>
      <c r="K32" s="1"/>
      <c r="L32" s="1"/>
      <c r="M32" s="1"/>
      <c r="N32" s="1"/>
      <c r="O32" s="1"/>
      <c r="P32" s="1"/>
      <c r="S32" s="144">
        <f>SUM(S29:S31)</f>
        <v>153.28703999999999</v>
      </c>
      <c r="U32" s="259">
        <f>SUM(U29:U31)</f>
        <v>338.10479999999995</v>
      </c>
    </row>
    <row r="33" spans="2:16" x14ac:dyDescent="0.3">
      <c r="B33" s="41" t="s">
        <v>43</v>
      </c>
      <c r="D33" s="58">
        <f>IF($K$13=M4,((D29+D30+D31)*(K15)/(K15+L15)),0)+IF($L$13=M4,((D29+D30+D31)*(L15)/(K15+L15)),0)</f>
        <v>0</v>
      </c>
      <c r="F33" s="59">
        <f>N4</f>
        <v>1.8849999999999999E-2</v>
      </c>
      <c r="G33" s="59"/>
      <c r="H33" s="54">
        <f>ROUND(D33*(E33+F33),2)</f>
        <v>0</v>
      </c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41" t="s">
        <v>44</v>
      </c>
      <c r="D34" s="58">
        <f>IF($K$13=M5,((D29+D30+D31)*(K15)/(K15+L15)),0)+IF($L$13=M5,((D29+D30+D31)*(L15)/(K15+L15)),0)</f>
        <v>0</v>
      </c>
      <c r="F34" s="59">
        <f>N5</f>
        <v>4.4630000000000003E-2</v>
      </c>
      <c r="G34" s="59"/>
      <c r="H34" s="54">
        <f>ROUND(D34*(E34+F34),2)</f>
        <v>0</v>
      </c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41" t="s">
        <v>45</v>
      </c>
      <c r="D35" s="58">
        <f>IF($K$13=M6,((D29+D30+D31)*(K15)/(K15+L15)),0)+IF($L$13=M6,((D29+D30+D31)*(L15)/(K15+L15)),0)</f>
        <v>0</v>
      </c>
      <c r="F35" s="59">
        <f>N6</f>
        <v>7.8770000000000007E-2</v>
      </c>
      <c r="G35" s="59"/>
      <c r="H35" s="54">
        <f>ROUND(D35*(E35+F35),2)</f>
        <v>0</v>
      </c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41" t="s">
        <v>46</v>
      </c>
      <c r="D36" s="58">
        <f>IF($K$13=M7,((D29+D30+D31)*(K15)/(K15+L15)),0)+IF($L$13=M7,((D29+D30+D31)*(L15)/(K15+L15)),0)</f>
        <v>0</v>
      </c>
      <c r="F36" s="59">
        <f>N7</f>
        <v>0.14199999999999999</v>
      </c>
      <c r="G36" s="59"/>
      <c r="H36" s="54">
        <f>ROUND(D36*(E36+F36),2)</f>
        <v>0</v>
      </c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41"/>
      <c r="D37" s="60"/>
      <c r="H37" s="54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41" t="s">
        <v>233</v>
      </c>
      <c r="D38" s="223">
        <v>-10</v>
      </c>
      <c r="E38" s="53">
        <f>IF(AND($B$15&lt;$F$2,$E$15&lt;$F$2),C6*$F$18,IF($B$15&lt;$F$2,(((C6*F18)*C15)+((F6*F21)*D15))/(C15+D15),F6*$F$21))</f>
        <v>0.69548795999999991</v>
      </c>
      <c r="F38" s="257">
        <f>F29</f>
        <v>0.45924999999999999</v>
      </c>
      <c r="G38" s="53">
        <f>E38+F38</f>
        <v>1.1547379599999998</v>
      </c>
      <c r="H38" s="54">
        <f>ROUND((D38*E38),2)+ROUND((D38*F38),2)</f>
        <v>-11.54</v>
      </c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41" t="s">
        <v>234</v>
      </c>
      <c r="D39" s="223">
        <v>-100</v>
      </c>
      <c r="E39" s="53">
        <f>IF(AND($B$15&lt;$F$2,$E$15&lt;$F$2),C7*$F$19,IF($B$15&lt;$F$2,(((C7*F19)*C15)+((F7*F22)*D15))/(C15+D15),F7*$F$22))</f>
        <v>0.271867146</v>
      </c>
      <c r="F39" s="257">
        <f t="shared" ref="F39:F40" si="11">F30</f>
        <v>0.29163</v>
      </c>
      <c r="G39" s="53">
        <f t="shared" ref="G39:G40" si="12">E39+F39</f>
        <v>0.563497146</v>
      </c>
      <c r="H39" s="54">
        <f t="shared" ref="H39:H40" si="13">ROUND((D39*E39),2)+ROUND((D39*F39),2)</f>
        <v>-56.35</v>
      </c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41" t="s">
        <v>235</v>
      </c>
      <c r="D40" s="223">
        <v>-10</v>
      </c>
      <c r="E40" s="53">
        <f>IF(AND($B$15&lt;$F$2,$E$15&lt;$F$2),C8*$F$20,IF($B$15&lt;$F$2,(((C8*F20)*C15)+((F8*F23)*D15))/(C15+D15),F8*$F$23))</f>
        <v>0.48369785999999998</v>
      </c>
      <c r="F40" s="257">
        <f t="shared" si="11"/>
        <v>0.29163</v>
      </c>
      <c r="G40" s="53">
        <f t="shared" si="12"/>
        <v>0.77532785999999998</v>
      </c>
      <c r="H40" s="54">
        <f t="shared" si="13"/>
        <v>-7.76</v>
      </c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41"/>
      <c r="D41" s="56"/>
      <c r="E41" s="56"/>
      <c r="F41" s="57"/>
      <c r="G41" s="57"/>
      <c r="H41" s="54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41" t="s">
        <v>236</v>
      </c>
      <c r="D42" s="58">
        <f>IF($K$13=M4,((D38+D39+D40)*(K15)/(K15+L15)),0)+IF($L$13=M4,((D38+D39+D40)*(L15)/(K15+L15)),0)</f>
        <v>0</v>
      </c>
      <c r="F42" s="59">
        <f>N13</f>
        <v>0</v>
      </c>
      <c r="G42" s="59"/>
      <c r="H42" s="54">
        <f>ROUND(D42*(E42+F42),2)</f>
        <v>0</v>
      </c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41" t="s">
        <v>237</v>
      </c>
      <c r="D43" s="58">
        <f>IF($K$13=M5,((D39+D40+D41)*(K15)/(K15+L15)),0)+IF($L$13=M5,((D39+D40+D41)*(L15)/(K15+L15)),0)</f>
        <v>0</v>
      </c>
      <c r="F43" s="59">
        <f>N14</f>
        <v>0</v>
      </c>
      <c r="G43" s="59"/>
      <c r="H43" s="54">
        <f>ROUND(D43*(E43+F43),2)</f>
        <v>0</v>
      </c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41" t="s">
        <v>238</v>
      </c>
      <c r="D44" s="58">
        <f>IF($K$13=M6,((D40+D41+D42)*(K15)/(K15+L15)),0)+IF($L$13=M6,((D40+D41+D42)*(L15)/(K15+L15)),0)</f>
        <v>0</v>
      </c>
      <c r="F44" s="59">
        <f>N15</f>
        <v>0</v>
      </c>
      <c r="G44" s="59"/>
      <c r="H44" s="54">
        <f>ROUND(D44*(E44+F44),2)</f>
        <v>0</v>
      </c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41" t="s">
        <v>239</v>
      </c>
      <c r="D45" s="58">
        <f>IF($K$13=M7,((D41+D42+D43)*(K15)/(K15+L15)),0)+IF($L$13=M7,((D41+D42+D43)*(L15)/(K15+L15)),0)</f>
        <v>0</v>
      </c>
      <c r="F45" s="59">
        <f>N16</f>
        <v>0</v>
      </c>
      <c r="G45" s="59"/>
      <c r="H45" s="54">
        <f>ROUND(D45*(E45+F45),2)</f>
        <v>0</v>
      </c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74"/>
      <c r="C46" s="75"/>
      <c r="D46" s="261"/>
      <c r="E46" s="262"/>
      <c r="F46" s="75"/>
      <c r="G46" s="75"/>
      <c r="H46" s="263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34"/>
      <c r="C47" s="35"/>
      <c r="D47" s="35"/>
      <c r="E47" s="35"/>
      <c r="F47" s="35"/>
      <c r="G47" s="35"/>
      <c r="H47" s="264"/>
      <c r="I47" s="1"/>
      <c r="L47" s="1"/>
      <c r="M47" s="1"/>
      <c r="N47" s="1"/>
      <c r="O47" s="1"/>
      <c r="P47" s="1"/>
    </row>
    <row r="48" spans="2:16" x14ac:dyDescent="0.3">
      <c r="B48" s="41"/>
      <c r="D48" s="63" t="s">
        <v>48</v>
      </c>
      <c r="E48" s="64"/>
      <c r="F48" s="64"/>
      <c r="G48" s="64"/>
      <c r="H48" s="65"/>
      <c r="I48" s="66"/>
      <c r="K48" s="67"/>
      <c r="L48" s="1"/>
      <c r="M48" s="1"/>
      <c r="N48" s="1"/>
      <c r="O48" s="1"/>
      <c r="P48" s="1"/>
    </row>
    <row r="49" spans="2:16" x14ac:dyDescent="0.3">
      <c r="B49" s="41" t="s">
        <v>49</v>
      </c>
      <c r="D49" s="67">
        <f>(SUM(H29:H36)/(1-E49-E50))</f>
        <v>637.49348347409034</v>
      </c>
      <c r="E49" s="265">
        <v>7.3000000000000001E-3</v>
      </c>
      <c r="H49" s="54">
        <f>D49*E49</f>
        <v>4.6537024293608598</v>
      </c>
      <c r="I49" s="67"/>
      <c r="L49" s="1"/>
      <c r="M49" s="1"/>
      <c r="N49" s="1"/>
      <c r="O49" s="1"/>
      <c r="P49" s="1"/>
    </row>
    <row r="50" spans="2:16" x14ac:dyDescent="0.3">
      <c r="B50" s="41" t="s">
        <v>51</v>
      </c>
      <c r="D50" s="67">
        <f>D49</f>
        <v>637.49348347409034</v>
      </c>
      <c r="E50" s="265">
        <v>3.3599999999999998E-2</v>
      </c>
      <c r="H50" s="54">
        <f>D50*E50</f>
        <v>21.419781044729433</v>
      </c>
      <c r="I50" s="67"/>
      <c r="L50" s="1"/>
      <c r="M50" s="1"/>
      <c r="N50" s="1"/>
      <c r="O50" s="1"/>
      <c r="P50" s="1"/>
    </row>
    <row r="51" spans="2:16" x14ac:dyDescent="0.3">
      <c r="B51" s="41" t="s">
        <v>11</v>
      </c>
      <c r="D51" s="266">
        <f>D49/(1-E51)</f>
        <v>768.06443792059076</v>
      </c>
      <c r="E51" s="267">
        <v>0.17</v>
      </c>
      <c r="H51" s="54">
        <f>D51*E51</f>
        <v>130.57095444650045</v>
      </c>
      <c r="I51" s="67"/>
      <c r="L51" s="1"/>
      <c r="M51" s="1"/>
      <c r="N51" s="1"/>
      <c r="O51" s="1"/>
      <c r="P51" s="1"/>
    </row>
    <row r="52" spans="2:16" x14ac:dyDescent="0.3">
      <c r="B52" s="74"/>
      <c r="C52" s="75"/>
      <c r="D52" s="75"/>
      <c r="E52" s="75"/>
      <c r="F52" s="75"/>
      <c r="G52" s="75"/>
      <c r="H52" s="268"/>
      <c r="L52" s="1"/>
      <c r="M52" s="1"/>
      <c r="N52" s="1"/>
      <c r="O52" s="1"/>
      <c r="P52" s="1"/>
    </row>
    <row r="53" spans="2:16" x14ac:dyDescent="0.3">
      <c r="B53" s="224" t="s">
        <v>193</v>
      </c>
      <c r="C53" s="133"/>
      <c r="D53" s="225">
        <f>SUM(D29:D31)+SUM(D38:D40)</f>
        <v>758</v>
      </c>
      <c r="E53" s="226">
        <f>IF(AND($B$15&lt;$F$2,$E$15&lt;$F$2),C9,IF($B$15&lt;$F$2,I9,F9))</f>
        <v>2.0783073765861601E-4</v>
      </c>
      <c r="F53" s="226">
        <f>IF(AND($B$15&lt;$F$2,$E$15&lt;$F$2),D9,IF($B$15&lt;$F$2,J9,G9))</f>
        <v>4.0179200000000003E-3</v>
      </c>
      <c r="G53" s="133"/>
      <c r="H53" s="224">
        <f>D53*(E53+F53)</f>
        <v>3.203119059145231</v>
      </c>
      <c r="L53" s="1"/>
      <c r="M53" s="1"/>
      <c r="N53" s="1"/>
      <c r="O53" s="1"/>
      <c r="P53" s="1"/>
    </row>
    <row r="54" spans="2:16" x14ac:dyDescent="0.3">
      <c r="L54" s="1"/>
      <c r="M54" s="1"/>
      <c r="N54" s="1"/>
      <c r="O54" s="1"/>
      <c r="P54" s="1"/>
    </row>
    <row r="55" spans="2:16" x14ac:dyDescent="0.3">
      <c r="B55" s="130" t="s">
        <v>213</v>
      </c>
      <c r="D55" s="64"/>
      <c r="E55" s="64" t="s">
        <v>8</v>
      </c>
      <c r="F55" s="64"/>
      <c r="G55" s="64"/>
      <c r="H55" s="66"/>
    </row>
    <row r="56" spans="2:16" x14ac:dyDescent="0.3">
      <c r="B56" s="269"/>
      <c r="C56" s="270" t="s">
        <v>7</v>
      </c>
    </row>
    <row r="57" spans="2:16" x14ac:dyDescent="0.3">
      <c r="B57" s="269" t="s">
        <v>214</v>
      </c>
      <c r="C57" s="271">
        <f>(SUM(H29:H36)*IF($B$15&lt;$F$2,D95,D67))</f>
        <v>264.58339133214054</v>
      </c>
    </row>
    <row r="58" spans="2:16" x14ac:dyDescent="0.3">
      <c r="B58" s="269" t="s">
        <v>215</v>
      </c>
      <c r="C58" s="271">
        <f>(SUM(H29:H36)*IF($B$15&lt;$F$2,F95,F67))</f>
        <v>158.84823434585459</v>
      </c>
    </row>
    <row r="59" spans="2:16" x14ac:dyDescent="0.3">
      <c r="B59" s="269" t="s">
        <v>216</v>
      </c>
      <c r="C59" s="271">
        <f>(SUM(H29:H36)*IF($B$15&lt;$F$2,E95,E67))</f>
        <v>49.785498801366387</v>
      </c>
    </row>
    <row r="60" spans="2:16" x14ac:dyDescent="0.3">
      <c r="B60" s="269" t="s">
        <v>217</v>
      </c>
      <c r="C60" s="271">
        <f>(SUM(H29:H36)*IF($B$15&lt;$F$2,G95,G67))</f>
        <v>138.20287552063866</v>
      </c>
    </row>
    <row r="61" spans="2:16" x14ac:dyDescent="0.3">
      <c r="B61" s="269" t="s">
        <v>218</v>
      </c>
      <c r="C61" s="272">
        <f>H49+H50+H51</f>
        <v>156.64443792059075</v>
      </c>
    </row>
    <row r="62" spans="2:16" x14ac:dyDescent="0.3">
      <c r="B62" s="273" t="s">
        <v>219</v>
      </c>
      <c r="C62" s="274">
        <f>SUM(C57:C61)</f>
        <v>768.06443792059099</v>
      </c>
    </row>
    <row r="64" spans="2:16" x14ac:dyDescent="0.3">
      <c r="B64" s="194">
        <v>2023</v>
      </c>
      <c r="C64" s="194"/>
      <c r="D64" s="194" t="s">
        <v>214</v>
      </c>
      <c r="E64" s="194" t="s">
        <v>216</v>
      </c>
      <c r="F64" s="194" t="s">
        <v>215</v>
      </c>
      <c r="G64" s="194" t="s">
        <v>220</v>
      </c>
    </row>
    <row r="65" spans="2:10" x14ac:dyDescent="0.3">
      <c r="B65" s="194" t="s">
        <v>221</v>
      </c>
      <c r="C65" s="194"/>
      <c r="D65" s="194" t="s">
        <v>222</v>
      </c>
      <c r="E65" s="194" t="s">
        <v>222</v>
      </c>
      <c r="F65" s="194" t="s">
        <v>222</v>
      </c>
      <c r="G65" s="194" t="s">
        <v>222</v>
      </c>
    </row>
    <row r="66" spans="2:10" x14ac:dyDescent="0.3">
      <c r="B66" s="194"/>
      <c r="C66" s="194"/>
      <c r="D66" s="194"/>
      <c r="E66" s="194"/>
      <c r="F66" s="194"/>
      <c r="G66" s="194"/>
    </row>
    <row r="67" spans="2:10" x14ac:dyDescent="0.3">
      <c r="B67" s="194" t="s">
        <v>223</v>
      </c>
      <c r="C67" s="194"/>
      <c r="D67" s="275">
        <v>0.43273591202796846</v>
      </c>
      <c r="E67" s="275">
        <v>8.1426022703487561E-2</v>
      </c>
      <c r="F67" s="275">
        <v>0.25980215620335384</v>
      </c>
      <c r="G67" s="275">
        <v>0.22603590906519025</v>
      </c>
    </row>
    <row r="68" spans="2:10" x14ac:dyDescent="0.3">
      <c r="B68" s="194" t="s">
        <v>224</v>
      </c>
      <c r="C68" s="194"/>
      <c r="D68" s="275">
        <v>0.52914974745856724</v>
      </c>
      <c r="E68" s="275">
        <v>9.9567792162627941E-2</v>
      </c>
      <c r="F68" s="275">
        <v>0.31768624124570172</v>
      </c>
      <c r="G68" s="275">
        <v>5.3596219133103154E-2</v>
      </c>
    </row>
    <row r="69" spans="2:10" x14ac:dyDescent="0.3">
      <c r="B69" s="194" t="s">
        <v>225</v>
      </c>
      <c r="C69" s="194"/>
      <c r="D69" s="275">
        <v>0.43273591202796835</v>
      </c>
      <c r="E69" s="275">
        <v>8.1426022703487574E-2</v>
      </c>
      <c r="F69" s="275">
        <v>0.25980215620335428</v>
      </c>
      <c r="G69" s="275">
        <v>0.22603590906518967</v>
      </c>
    </row>
    <row r="70" spans="2:10" x14ac:dyDescent="0.3">
      <c r="B70" s="194" t="s">
        <v>226</v>
      </c>
      <c r="C70" s="194"/>
      <c r="D70" s="275">
        <v>0.43273591202796835</v>
      </c>
      <c r="E70" s="275">
        <v>8.1426022703487574E-2</v>
      </c>
      <c r="F70" s="275">
        <v>0.25980215620335428</v>
      </c>
      <c r="G70" s="275">
        <v>0.22603590906518967</v>
      </c>
    </row>
    <row r="71" spans="2:10" x14ac:dyDescent="0.3">
      <c r="B71" s="194" t="s">
        <v>227</v>
      </c>
      <c r="C71" s="194"/>
      <c r="D71" s="275">
        <v>0.43273591202796846</v>
      </c>
      <c r="E71" s="275">
        <v>8.1426022703487491E-2</v>
      </c>
      <c r="F71" s="275">
        <v>0.25980215620335423</v>
      </c>
      <c r="G71" s="275">
        <v>0.22603590906518969</v>
      </c>
    </row>
    <row r="72" spans="2:10" x14ac:dyDescent="0.3">
      <c r="B72" s="194" t="s">
        <v>228</v>
      </c>
      <c r="C72" s="194"/>
      <c r="D72" s="275">
        <v>0.43273591202796846</v>
      </c>
      <c r="E72" s="275">
        <v>8.1426022703487561E-2</v>
      </c>
      <c r="F72" s="275">
        <v>0.25980215620335384</v>
      </c>
      <c r="G72" s="275">
        <v>0.22603590906519025</v>
      </c>
    </row>
    <row r="73" spans="2:10" x14ac:dyDescent="0.3">
      <c r="B73" s="194" t="s">
        <v>229</v>
      </c>
      <c r="C73" s="194"/>
      <c r="D73" s="275">
        <v>0.43273591202796846</v>
      </c>
      <c r="E73" s="275">
        <v>8.1426022703487561E-2</v>
      </c>
      <c r="F73" s="275">
        <v>0.25980215620335384</v>
      </c>
      <c r="G73" s="275">
        <v>0.22603590906519025</v>
      </c>
    </row>
    <row r="74" spans="2:10" x14ac:dyDescent="0.3">
      <c r="B74" s="194" t="s">
        <v>230</v>
      </c>
      <c r="C74" s="194"/>
      <c r="D74" s="275">
        <v>0.43273591202796818</v>
      </c>
      <c r="E74" s="275">
        <v>8.1426022703487477E-2</v>
      </c>
      <c r="F74" s="275">
        <v>0.25980215620335462</v>
      </c>
      <c r="G74" s="275">
        <v>0.22603590906518975</v>
      </c>
      <c r="J74" s="24"/>
    </row>
    <row r="75" spans="2:10" x14ac:dyDescent="0.3">
      <c r="B75" s="194" t="s">
        <v>231</v>
      </c>
      <c r="C75" s="194"/>
      <c r="D75" s="275">
        <v>0.43273591202796957</v>
      </c>
      <c r="E75" s="275">
        <v>8.1426022703487561E-2</v>
      </c>
      <c r="F75" s="275">
        <v>0.25980215620335317</v>
      </c>
      <c r="G75" s="275">
        <v>0.22603590906518972</v>
      </c>
    </row>
    <row r="76" spans="2:10" x14ac:dyDescent="0.3">
      <c r="B76" s="130"/>
      <c r="C76" s="130"/>
      <c r="D76" s="130"/>
      <c r="E76" s="130"/>
      <c r="F76" s="130"/>
      <c r="G76" s="130"/>
    </row>
    <row r="77" spans="2:10" x14ac:dyDescent="0.3">
      <c r="B77" s="130"/>
      <c r="C77" s="130"/>
      <c r="D77" s="130"/>
      <c r="E77" s="130"/>
      <c r="F77" s="130"/>
      <c r="G77" s="130"/>
    </row>
    <row r="78" spans="2:10" x14ac:dyDescent="0.3">
      <c r="B78" s="130">
        <v>2022</v>
      </c>
      <c r="C78" s="194"/>
      <c r="D78" s="194" t="s">
        <v>214</v>
      </c>
      <c r="E78" s="194" t="s">
        <v>216</v>
      </c>
      <c r="F78" s="194" t="s">
        <v>215</v>
      </c>
      <c r="G78" s="194" t="s">
        <v>220</v>
      </c>
    </row>
    <row r="79" spans="2:10" x14ac:dyDescent="0.3">
      <c r="B79" s="194" t="s">
        <v>221</v>
      </c>
      <c r="C79" s="194"/>
      <c r="D79" s="194" t="s">
        <v>222</v>
      </c>
      <c r="E79" s="194" t="s">
        <v>222</v>
      </c>
      <c r="F79" s="194" t="s">
        <v>222</v>
      </c>
      <c r="G79" s="194" t="s">
        <v>222</v>
      </c>
    </row>
    <row r="80" spans="2:10" x14ac:dyDescent="0.3">
      <c r="B80" s="194"/>
      <c r="C80" s="194"/>
      <c r="D80" s="194"/>
      <c r="E80" s="194"/>
      <c r="F80" s="194"/>
      <c r="G80" s="194"/>
    </row>
    <row r="81" spans="2:7" x14ac:dyDescent="0.3">
      <c r="B81" s="194" t="s">
        <v>223</v>
      </c>
      <c r="C81" s="194"/>
      <c r="D81" s="275">
        <v>0.43273591202796846</v>
      </c>
      <c r="E81" s="275">
        <v>8.1426022703487561E-2</v>
      </c>
      <c r="F81" s="275">
        <v>0.25980215620335384</v>
      </c>
      <c r="G81" s="275">
        <v>0.22603590906519025</v>
      </c>
    </row>
    <row r="82" spans="2:7" x14ac:dyDescent="0.3">
      <c r="B82" s="194" t="s">
        <v>224</v>
      </c>
      <c r="C82" s="194"/>
      <c r="D82" s="275">
        <v>0.52914974745856724</v>
      </c>
      <c r="E82" s="275">
        <v>9.9567792162627941E-2</v>
      </c>
      <c r="F82" s="275">
        <v>0.31768624124570172</v>
      </c>
      <c r="G82" s="275">
        <v>5.3596219133103154E-2</v>
      </c>
    </row>
    <row r="83" spans="2:7" x14ac:dyDescent="0.3">
      <c r="B83" s="194" t="s">
        <v>225</v>
      </c>
      <c r="C83" s="194"/>
      <c r="D83" s="275">
        <v>0.43273591202796835</v>
      </c>
      <c r="E83" s="275">
        <v>8.1426022703487574E-2</v>
      </c>
      <c r="F83" s="275">
        <v>0.25980215620335428</v>
      </c>
      <c r="G83" s="275">
        <v>0.22603590906518967</v>
      </c>
    </row>
    <row r="84" spans="2:7" x14ac:dyDescent="0.3">
      <c r="B84" s="194" t="s">
        <v>226</v>
      </c>
      <c r="C84" s="194"/>
      <c r="D84" s="275">
        <v>0.43273591202796835</v>
      </c>
      <c r="E84" s="275">
        <v>8.1426022703487574E-2</v>
      </c>
      <c r="F84" s="275">
        <v>0.25980215620335428</v>
      </c>
      <c r="G84" s="275">
        <v>0.22603590906518967</v>
      </c>
    </row>
    <row r="85" spans="2:7" x14ac:dyDescent="0.3">
      <c r="B85" s="194" t="s">
        <v>227</v>
      </c>
      <c r="C85" s="194"/>
      <c r="D85" s="275">
        <v>0.43273591202796846</v>
      </c>
      <c r="E85" s="275">
        <v>8.1426022703487491E-2</v>
      </c>
      <c r="F85" s="275">
        <v>0.25980215620335423</v>
      </c>
      <c r="G85" s="275">
        <v>0.22603590906518969</v>
      </c>
    </row>
    <row r="86" spans="2:7" x14ac:dyDescent="0.3">
      <c r="B86" s="194" t="s">
        <v>228</v>
      </c>
      <c r="C86" s="194"/>
      <c r="D86" s="275">
        <v>0.43273591202796846</v>
      </c>
      <c r="E86" s="275">
        <v>8.1426022703487561E-2</v>
      </c>
      <c r="F86" s="275">
        <v>0.25980215620335384</v>
      </c>
      <c r="G86" s="275">
        <v>0.22603590906519025</v>
      </c>
    </row>
    <row r="87" spans="2:7" x14ac:dyDescent="0.3">
      <c r="B87" s="194" t="s">
        <v>229</v>
      </c>
      <c r="C87" s="194"/>
      <c r="D87" s="275">
        <v>0.43273591202796846</v>
      </c>
      <c r="E87" s="275">
        <v>8.1426022703487561E-2</v>
      </c>
      <c r="F87" s="275">
        <v>0.25980215620335384</v>
      </c>
      <c r="G87" s="275">
        <v>0.22603590906519025</v>
      </c>
    </row>
    <row r="88" spans="2:7" x14ac:dyDescent="0.3">
      <c r="B88" s="194" t="s">
        <v>230</v>
      </c>
      <c r="C88" s="194"/>
      <c r="D88" s="275">
        <v>0.43273591202796818</v>
      </c>
      <c r="E88" s="275">
        <v>8.1426022703487477E-2</v>
      </c>
      <c r="F88" s="275">
        <v>0.25980215620335462</v>
      </c>
      <c r="G88" s="275">
        <v>0.22603590906518975</v>
      </c>
    </row>
    <row r="89" spans="2:7" x14ac:dyDescent="0.3">
      <c r="B89" s="194" t="s">
        <v>231</v>
      </c>
      <c r="C89" s="194"/>
      <c r="D89" s="275">
        <v>0.43273591202796957</v>
      </c>
      <c r="E89" s="275">
        <v>8.1426022703487561E-2</v>
      </c>
      <c r="F89" s="275">
        <v>0.25980215620335317</v>
      </c>
      <c r="G89" s="275">
        <v>0.22603590906518972</v>
      </c>
    </row>
    <row r="90" spans="2:7" x14ac:dyDescent="0.3">
      <c r="B90" s="130"/>
      <c r="C90" s="130"/>
      <c r="D90" s="130"/>
      <c r="E90" s="130"/>
      <c r="F90" s="130"/>
      <c r="G90" s="130"/>
    </row>
    <row r="91" spans="2:7" x14ac:dyDescent="0.3">
      <c r="B91" s="276" t="s">
        <v>232</v>
      </c>
      <c r="C91" s="130"/>
      <c r="D91" s="130"/>
      <c r="E91" s="130"/>
      <c r="F91" s="130"/>
      <c r="G91" s="130"/>
    </row>
    <row r="92" spans="2:7" x14ac:dyDescent="0.3">
      <c r="B92" s="194"/>
      <c r="C92" s="194"/>
      <c r="D92" s="194" t="s">
        <v>214</v>
      </c>
      <c r="E92" s="194" t="s">
        <v>216</v>
      </c>
      <c r="F92" s="194" t="s">
        <v>215</v>
      </c>
      <c r="G92" s="194" t="s">
        <v>220</v>
      </c>
    </row>
    <row r="93" spans="2:7" x14ac:dyDescent="0.3">
      <c r="B93" s="194" t="s">
        <v>221</v>
      </c>
      <c r="C93" s="194"/>
      <c r="D93" s="275" t="s">
        <v>222</v>
      </c>
      <c r="E93" s="275" t="s">
        <v>222</v>
      </c>
      <c r="F93" s="275" t="s">
        <v>222</v>
      </c>
      <c r="G93" s="275" t="s">
        <v>222</v>
      </c>
    </row>
    <row r="94" spans="2:7" x14ac:dyDescent="0.3">
      <c r="B94" s="194"/>
      <c r="C94" s="194"/>
      <c r="D94" s="275"/>
      <c r="E94" s="275"/>
      <c r="F94" s="275"/>
      <c r="G94" s="275"/>
    </row>
    <row r="95" spans="2:7" x14ac:dyDescent="0.3">
      <c r="B95" s="194" t="s">
        <v>223</v>
      </c>
      <c r="C95" s="194"/>
      <c r="D95" s="275">
        <f t="shared" ref="D95:G103" si="14">((D81*$C$15)+(D67*$D$15))/($C$15+$D$15)</f>
        <v>0.43273591202796846</v>
      </c>
      <c r="E95" s="275">
        <f t="shared" si="14"/>
        <v>8.1426022703487588E-2</v>
      </c>
      <c r="F95" s="275">
        <f t="shared" si="14"/>
        <v>0.25980215620335378</v>
      </c>
      <c r="G95" s="275">
        <f t="shared" si="14"/>
        <v>0.22603590906519028</v>
      </c>
    </row>
    <row r="96" spans="2:7" x14ac:dyDescent="0.3">
      <c r="B96" s="194" t="s">
        <v>224</v>
      </c>
      <c r="C96" s="194"/>
      <c r="D96" s="275">
        <f t="shared" si="14"/>
        <v>0.52914974745856713</v>
      </c>
      <c r="E96" s="275">
        <f t="shared" si="14"/>
        <v>9.9567792162627913E-2</v>
      </c>
      <c r="F96" s="275">
        <f t="shared" si="14"/>
        <v>0.31768624124570172</v>
      </c>
      <c r="G96" s="275">
        <f t="shared" si="14"/>
        <v>5.3596219133103189E-2</v>
      </c>
    </row>
    <row r="97" spans="2:7" x14ac:dyDescent="0.3">
      <c r="B97" s="194" t="s">
        <v>225</v>
      </c>
      <c r="C97" s="194"/>
      <c r="D97" s="275">
        <f t="shared" si="14"/>
        <v>0.43273591202796802</v>
      </c>
      <c r="E97" s="275">
        <f t="shared" si="14"/>
        <v>8.1426022703487588E-2</v>
      </c>
      <c r="F97" s="275">
        <f t="shared" si="14"/>
        <v>0.25980215620335428</v>
      </c>
      <c r="G97" s="275">
        <f t="shared" si="14"/>
        <v>0.22603590906518958</v>
      </c>
    </row>
    <row r="98" spans="2:7" x14ac:dyDescent="0.3">
      <c r="B98" s="194" t="s">
        <v>226</v>
      </c>
      <c r="C98" s="194"/>
      <c r="D98" s="275">
        <f t="shared" si="14"/>
        <v>0.43273591202796802</v>
      </c>
      <c r="E98" s="275">
        <f t="shared" si="14"/>
        <v>8.1426022703487588E-2</v>
      </c>
      <c r="F98" s="275">
        <f t="shared" si="14"/>
        <v>0.25980215620335428</v>
      </c>
      <c r="G98" s="275">
        <f t="shared" si="14"/>
        <v>0.22603590906518958</v>
      </c>
    </row>
    <row r="99" spans="2:7" x14ac:dyDescent="0.3">
      <c r="B99" s="194" t="s">
        <v>227</v>
      </c>
      <c r="C99" s="194"/>
      <c r="D99" s="275">
        <f t="shared" si="14"/>
        <v>0.43273591202796846</v>
      </c>
      <c r="E99" s="275">
        <f t="shared" si="14"/>
        <v>8.1426022703487477E-2</v>
      </c>
      <c r="F99" s="275">
        <f t="shared" si="14"/>
        <v>0.25980215620335428</v>
      </c>
      <c r="G99" s="275">
        <f t="shared" si="14"/>
        <v>0.22603590906518958</v>
      </c>
    </row>
    <row r="100" spans="2:7" x14ac:dyDescent="0.3">
      <c r="B100" s="194" t="s">
        <v>228</v>
      </c>
      <c r="C100" s="194"/>
      <c r="D100" s="275">
        <f t="shared" si="14"/>
        <v>0.43273591202796846</v>
      </c>
      <c r="E100" s="275">
        <f t="shared" si="14"/>
        <v>8.1426022703487588E-2</v>
      </c>
      <c r="F100" s="275">
        <f t="shared" si="14"/>
        <v>0.25980215620335378</v>
      </c>
      <c r="G100" s="275">
        <f t="shared" si="14"/>
        <v>0.22603590906519028</v>
      </c>
    </row>
    <row r="101" spans="2:7" x14ac:dyDescent="0.3">
      <c r="B101" s="194" t="s">
        <v>229</v>
      </c>
      <c r="C101" s="194"/>
      <c r="D101" s="275">
        <f t="shared" si="14"/>
        <v>0.43273591202796846</v>
      </c>
      <c r="E101" s="275">
        <f t="shared" si="14"/>
        <v>8.1426022703487588E-2</v>
      </c>
      <c r="F101" s="275">
        <f t="shared" si="14"/>
        <v>0.25980215620335378</v>
      </c>
      <c r="G101" s="275">
        <f t="shared" si="14"/>
        <v>0.22603590906519028</v>
      </c>
    </row>
    <row r="102" spans="2:7" x14ac:dyDescent="0.3">
      <c r="B102" s="194" t="s">
        <v>230</v>
      </c>
      <c r="C102" s="194"/>
      <c r="D102" s="275">
        <f t="shared" si="14"/>
        <v>0.43273591202796846</v>
      </c>
      <c r="E102" s="275">
        <f t="shared" si="14"/>
        <v>8.1426022703487477E-2</v>
      </c>
      <c r="F102" s="275">
        <f t="shared" si="14"/>
        <v>0.25980215620335451</v>
      </c>
      <c r="G102" s="275">
        <f t="shared" si="14"/>
        <v>0.22603590906518981</v>
      </c>
    </row>
    <row r="103" spans="2:7" x14ac:dyDescent="0.3">
      <c r="B103" s="194" t="s">
        <v>231</v>
      </c>
      <c r="C103" s="194"/>
      <c r="D103" s="275">
        <f t="shared" si="14"/>
        <v>0.43273591202796935</v>
      </c>
      <c r="E103" s="275">
        <f t="shared" si="14"/>
        <v>8.1426022703487588E-2</v>
      </c>
      <c r="F103" s="275">
        <f t="shared" si="14"/>
        <v>0.25980215620335312</v>
      </c>
      <c r="G103" s="275">
        <f t="shared" si="14"/>
        <v>0.22603590906518981</v>
      </c>
    </row>
  </sheetData>
  <mergeCells count="11">
    <mergeCell ref="H2:I2"/>
    <mergeCell ref="B4:B5"/>
    <mergeCell ref="C4:E4"/>
    <mergeCell ref="F4:H4"/>
    <mergeCell ref="I4:K4"/>
    <mergeCell ref="R4:T4"/>
    <mergeCell ref="U4:W4"/>
    <mergeCell ref="X4:Z4"/>
    <mergeCell ref="K12:L12"/>
    <mergeCell ref="B25:H25"/>
    <mergeCell ref="Q4:Q5"/>
  </mergeCells>
  <conditionalFormatting sqref="K13:L13">
    <cfRule type="cellIs" dxfId="69" priority="1" operator="equal">
      <formula>"Escassez Hídrica"</formula>
    </cfRule>
    <cfRule type="cellIs" dxfId="68" priority="2" operator="equal">
      <formula>"VERDE"</formula>
    </cfRule>
    <cfRule type="cellIs" dxfId="67" priority="3" operator="equal">
      <formula>"BVM2"</formula>
    </cfRule>
    <cfRule type="cellIs" dxfId="66" priority="4" operator="equal">
      <formula>"BVM1"</formula>
    </cfRule>
    <cfRule type="cellIs" dxfId="65" priority="5" operator="equal">
      <formula>"BAM"</formula>
    </cfRule>
  </conditionalFormatting>
  <conditionalFormatting sqref="M3">
    <cfRule type="cellIs" dxfId="64" priority="16" operator="equal">
      <formula>"VERDE"</formula>
    </cfRule>
    <cfRule type="cellIs" dxfId="63" priority="17" operator="equal">
      <formula>"BVM2"</formula>
    </cfRule>
    <cfRule type="cellIs" dxfId="62" priority="18" operator="equal">
      <formula>"BVM1"</formula>
    </cfRule>
    <cfRule type="cellIs" dxfId="61" priority="19" operator="equal">
      <formula>"BAM"</formula>
    </cfRule>
  </conditionalFormatting>
  <conditionalFormatting sqref="M7">
    <cfRule type="containsText" dxfId="60" priority="11" operator="containsText" text="Escassez Hídrica">
      <formula>NOT(ISERROR(SEARCH("Escassez Hídrica",M7)))</formula>
    </cfRule>
    <cfRule type="cellIs" dxfId="59" priority="12" operator="equal">
      <formula>"VERDE"</formula>
    </cfRule>
    <cfRule type="cellIs" dxfId="58" priority="13" operator="equal">
      <formula>"BVM2"</formula>
    </cfRule>
    <cfRule type="cellIs" dxfId="57" priority="14" operator="equal">
      <formula>"BVM1"</formula>
    </cfRule>
    <cfRule type="cellIs" dxfId="56" priority="15" operator="equal">
      <formula>"BAM"</formula>
    </cfRule>
  </conditionalFormatting>
  <dataValidations count="1">
    <dataValidation type="list" allowBlank="1" showInputMessage="1" showErrorMessage="1" sqref="K13:L13" xr:uid="{2A12DB54-D1C7-4AD2-B58E-C885D83E99DE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D52E-8DF4-4944-B981-3AD583C788D2}">
  <dimension ref="A1:Z103"/>
  <sheetViews>
    <sheetView showGridLines="0" topLeftCell="A28" zoomScale="80" zoomScaleNormal="80" workbookViewId="0">
      <selection activeCell="H40" sqref="H40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4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66</v>
      </c>
      <c r="E2" s="20" t="s">
        <v>28</v>
      </c>
      <c r="F2" s="21">
        <v>45358</v>
      </c>
      <c r="G2" s="1" t="s">
        <v>8</v>
      </c>
      <c r="H2" s="458" t="s">
        <v>207</v>
      </c>
      <c r="I2" s="458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'[4]B1 (Res) Branca OK'!N3</f>
        <v>0</v>
      </c>
    </row>
    <row r="4" spans="1:26" ht="15" customHeight="1" x14ac:dyDescent="0.3">
      <c r="B4" s="413" t="s">
        <v>31</v>
      </c>
      <c r="C4" s="405" t="s">
        <v>58</v>
      </c>
      <c r="D4" s="406"/>
      <c r="E4" s="407"/>
      <c r="F4" s="418" t="str">
        <f>'Fatura B1 (GD II) OK'!F4</f>
        <v>TARIFA NOVA - REH xxxx/2025</v>
      </c>
      <c r="G4" s="418"/>
      <c r="H4" s="418"/>
      <c r="I4" s="419" t="s">
        <v>32</v>
      </c>
      <c r="J4" s="419"/>
      <c r="K4" s="419"/>
      <c r="M4" s="9" t="s">
        <v>14</v>
      </c>
      <c r="N4" s="10">
        <f>'[4]B1 (Res) Branca OK'!N4</f>
        <v>1.8849999999999999E-2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xxxx/2025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'[4]B1 (Res) Branca OK'!N5</f>
        <v>4.4630000000000003E-2</v>
      </c>
      <c r="Q5" s="414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208</v>
      </c>
      <c r="C6" s="31">
        <f>'[4]TABELA DE TARIFAS ANTIGAS'!G85/1000</f>
        <v>0.95901000000000003</v>
      </c>
      <c r="D6" s="31">
        <f>'[4]TABELA DE TARIFAS ANTIGAS'!H85/1000</f>
        <v>0.45924999999999999</v>
      </c>
      <c r="E6" s="31">
        <f t="shared" ref="E6:E8" si="0">C6+D6</f>
        <v>1.4182600000000001</v>
      </c>
      <c r="F6" s="31">
        <f>'[4]TABELA DE TARIFAS NOVAS'!G87/1000</f>
        <v>0.95896999999999999</v>
      </c>
      <c r="G6" s="31">
        <f>'[4]TABELA DE TARIFAS NOVAS'!H87/1000</f>
        <v>0.45611000000000002</v>
      </c>
      <c r="H6" s="31">
        <f t="shared" ref="H6:H8" si="1">F6+G6</f>
        <v>1.4150800000000001</v>
      </c>
      <c r="I6" s="31">
        <f>((C6*$C$15)+(F6*$D$15))/($D$15+$C$15)</f>
        <v>0.95899000000000001</v>
      </c>
      <c r="J6" s="31">
        <f>((D6*$C$15)+(G6*$D$15))/($D$15+$C$15)</f>
        <v>0.45767999999999998</v>
      </c>
      <c r="K6" s="32">
        <f t="shared" ref="K6:K9" si="2">I6+J6</f>
        <v>1.4166699999999999</v>
      </c>
      <c r="M6" s="13" t="s">
        <v>16</v>
      </c>
      <c r="N6" s="14">
        <f>'[4]B1 (Res) Branca OK'!N6</f>
        <v>7.8770000000000007E-2</v>
      </c>
      <c r="Q6" s="30" t="str">
        <f>B6</f>
        <v>B1 Ponta</v>
      </c>
      <c r="R6" s="31">
        <f>'[4]FIO B'!H29/1000</f>
        <v>0.67215999999999998</v>
      </c>
      <c r="S6"/>
      <c r="T6"/>
      <c r="U6" s="31">
        <f>'[4]FIO B'!K29/1000</f>
        <v>0.61783277400953995</v>
      </c>
      <c r="V6"/>
      <c r="W6"/>
      <c r="X6" s="31">
        <f>((R6*$C$15)+(U6*$D$15))/($D$15+$C$15)</f>
        <v>0.64499638700476991</v>
      </c>
      <c r="Y6"/>
      <c r="Z6"/>
    </row>
    <row r="7" spans="1:26" customFormat="1" x14ac:dyDescent="0.3">
      <c r="B7" s="30" t="s">
        <v>209</v>
      </c>
      <c r="C7" s="31">
        <f>'[4]TABELA DE TARIFAS ANTIGAS'!G87/1000</f>
        <v>0.32456000000000002</v>
      </c>
      <c r="D7" s="31">
        <f>'[4]TABELA DE TARIFAS ANTIGAS'!H87/1000</f>
        <v>0.29163</v>
      </c>
      <c r="E7" s="31">
        <f t="shared" si="0"/>
        <v>0.61619000000000002</v>
      </c>
      <c r="F7" s="31">
        <f>'[4]TABELA DE TARIFAS NOVAS'!G89/1000</f>
        <v>0.31445000000000001</v>
      </c>
      <c r="G7" s="31">
        <f>'[4]TABELA DE TARIFAS NOVAS'!H89/1000</f>
        <v>0.28686</v>
      </c>
      <c r="H7" s="31">
        <f t="shared" si="1"/>
        <v>0.60131000000000001</v>
      </c>
      <c r="I7" s="31">
        <f>((C7*$C$15)+(F7*$D$15))/($D$15+$C$15)</f>
        <v>0.31950500000000004</v>
      </c>
      <c r="J7" s="31">
        <f>((D7*$C$15)+(G7*$D$15))/($D$15+$C$15)</f>
        <v>0.28924499999999997</v>
      </c>
      <c r="K7" s="32">
        <f t="shared" si="2"/>
        <v>0.60875000000000001</v>
      </c>
      <c r="M7" s="7" t="s">
        <v>17</v>
      </c>
      <c r="N7" s="15">
        <v>0.14199999999999999</v>
      </c>
      <c r="Q7" s="30" t="str">
        <f t="shared" ref="Q7:Q8" si="3">B7</f>
        <v>B1 Fora Ponta</v>
      </c>
      <c r="R7" s="31">
        <f>'[4]FIO B'!H31/1000</f>
        <v>0.13442999999999999</v>
      </c>
      <c r="U7" s="31">
        <f>'[4]FIO B'!K31/1000</f>
        <v>0.123566574321537</v>
      </c>
      <c r="X7" s="31">
        <f>((R7*$C$15)+(U7*$D$15))/($D$15+$C$15)</f>
        <v>0.1289982871607685</v>
      </c>
    </row>
    <row r="8" spans="1:26" customFormat="1" x14ac:dyDescent="0.3">
      <c r="B8" s="30" t="s">
        <v>210</v>
      </c>
      <c r="C8" s="31">
        <f>'[4]TABELA DE TARIFAS ANTIGAS'!G86/1000</f>
        <v>0.64178000000000002</v>
      </c>
      <c r="D8" s="31">
        <f>'[4]TABELA DE TARIFAS ANTIGAS'!H86/1000</f>
        <v>0.29163</v>
      </c>
      <c r="E8" s="31">
        <f t="shared" si="0"/>
        <v>0.93341000000000007</v>
      </c>
      <c r="F8" s="31">
        <f>'[4]TABELA DE TARIFAS NOVAS'!G88/1000</f>
        <v>0.63671</v>
      </c>
      <c r="G8" s="31">
        <f>'[4]TABELA DE TARIFAS NOVAS'!H88/1000</f>
        <v>0.28686</v>
      </c>
      <c r="H8" s="31">
        <f t="shared" si="1"/>
        <v>0.92357</v>
      </c>
      <c r="I8" s="31">
        <f>((C8*$C$15)+(F8*$D$15))/($D$15+$C$15)</f>
        <v>0.63924500000000006</v>
      </c>
      <c r="J8" s="31">
        <f t="shared" ref="J8" si="4">((D8*$C$15)+(G8*$D$15))/($D$15+$C$15)</f>
        <v>0.28924499999999997</v>
      </c>
      <c r="K8" s="32">
        <f t="shared" si="2"/>
        <v>0.92849000000000004</v>
      </c>
      <c r="Q8" s="30" t="str">
        <f t="shared" si="3"/>
        <v>B1 Interm.</v>
      </c>
      <c r="R8" s="31">
        <f>'[4]FIO B'!H30/1000</f>
        <v>0.40329999999999999</v>
      </c>
      <c r="U8" s="31">
        <f>'[4]FIO B'!K30/1000</f>
        <v>0.370699625366465</v>
      </c>
      <c r="X8" s="31">
        <f>((R8*$C$15)+(U8*$D$15))/($D$15+$C$15)</f>
        <v>0.38699981268323247</v>
      </c>
    </row>
    <row r="9" spans="1:26" customFormat="1" x14ac:dyDescent="0.3">
      <c r="B9" s="243" t="s">
        <v>200</v>
      </c>
      <c r="C9" s="32">
        <f>'[4]B1 (Res) Branca OK'!C8</f>
        <v>0.55340999999999996</v>
      </c>
      <c r="D9" s="32">
        <f>'[4]B1 (Res) Branca OK'!D8</f>
        <v>0.29163</v>
      </c>
      <c r="E9" s="32">
        <f>SUM(C9+D9)</f>
        <v>0.84504000000000001</v>
      </c>
      <c r="F9" s="32">
        <f>T12</f>
        <v>0</v>
      </c>
      <c r="G9" s="32">
        <f>U12</f>
        <v>5.6100000000000004E-3</v>
      </c>
      <c r="H9" s="32">
        <f>F9+G9</f>
        <v>5.6100000000000004E-3</v>
      </c>
      <c r="I9" s="31">
        <f>((C9*$C$15)+(F9*$D$15))/($D$15+$C$15)</f>
        <v>0.27670499999999998</v>
      </c>
      <c r="J9" s="31">
        <f>((D9*$C$15)+(G9*$D$15))/($D$15+$C$15)</f>
        <v>0.14862</v>
      </c>
      <c r="K9" s="32">
        <f t="shared" si="2"/>
        <v>0.42532499999999995</v>
      </c>
    </row>
    <row r="10" spans="1:26" x14ac:dyDescent="0.3">
      <c r="G10" s="1"/>
      <c r="H10" s="1"/>
      <c r="I10" s="1"/>
      <c r="J10" s="1"/>
      <c r="K10" s="1"/>
      <c r="O10" s="20"/>
      <c r="P10" s="228" t="s">
        <v>194</v>
      </c>
      <c r="Q10" s="229"/>
      <c r="R10" s="230" t="s">
        <v>195</v>
      </c>
      <c r="S10" s="230" t="s">
        <v>196</v>
      </c>
      <c r="T10" s="230" t="s">
        <v>35</v>
      </c>
      <c r="U10" s="230" t="s">
        <v>100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45352</v>
      </c>
      <c r="P11" s="231" t="s">
        <v>197</v>
      </c>
      <c r="Q11" s="232"/>
      <c r="R11" s="233"/>
      <c r="S11" s="233"/>
      <c r="T11" s="234"/>
      <c r="U11" s="234"/>
    </row>
    <row r="12" spans="1:26" x14ac:dyDescent="0.3">
      <c r="B12" s="38" t="s">
        <v>38</v>
      </c>
      <c r="C12" s="287">
        <v>302116</v>
      </c>
      <c r="E12" s="1"/>
      <c r="F12" s="1"/>
      <c r="G12" s="1"/>
      <c r="H12" s="40">
        <f>E15</f>
        <v>45365</v>
      </c>
      <c r="K12" s="408" t="s">
        <v>26</v>
      </c>
      <c r="L12" s="408"/>
      <c r="P12" s="235" t="s">
        <v>198</v>
      </c>
      <c r="Q12" s="236"/>
      <c r="R12" s="237"/>
      <c r="S12" s="237"/>
      <c r="T12" s="238"/>
      <c r="U12" s="277">
        <f>5.61/1000</f>
        <v>5.6100000000000004E-3</v>
      </c>
    </row>
    <row r="13" spans="1:26" x14ac:dyDescent="0.3">
      <c r="B13" s="41"/>
      <c r="H13" s="42"/>
      <c r="K13" s="7" t="s">
        <v>14</v>
      </c>
      <c r="L13" s="7" t="s">
        <v>13</v>
      </c>
      <c r="P13" s="239" t="s">
        <v>199</v>
      </c>
      <c r="Q13" s="240"/>
      <c r="R13" s="241"/>
      <c r="S13" s="241"/>
      <c r="T13" s="278">
        <f>0.175672859965349/1000</f>
        <v>1.7567285996534902E-4</v>
      </c>
      <c r="U13" s="277">
        <f>3.42973552660492/1000</f>
        <v>3.42973552660492E-3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45349</v>
      </c>
      <c r="C15" s="18">
        <f>IF((F2-B15-1)&lt;0,0,(F2-B15-1))</f>
        <v>8</v>
      </c>
      <c r="D15" s="18">
        <f>E15-F2+1</f>
        <v>8</v>
      </c>
      <c r="E15" s="17">
        <v>45365</v>
      </c>
      <c r="F15" s="44"/>
      <c r="G15" s="44"/>
      <c r="H15" s="45"/>
      <c r="J15" s="22">
        <f>B15</f>
        <v>45349</v>
      </c>
      <c r="K15" s="23">
        <f>IF((M11-J15-1)&lt;0,0,(M11-J15-1))</f>
        <v>2</v>
      </c>
      <c r="L15" s="23">
        <f>M15-M11+1</f>
        <v>14</v>
      </c>
      <c r="M15" s="22">
        <f>E15</f>
        <v>45365</v>
      </c>
    </row>
    <row r="17" spans="2:22" x14ac:dyDescent="0.3">
      <c r="B17" s="1"/>
      <c r="F17" s="254"/>
      <c r="G17"/>
      <c r="H17" s="3"/>
    </row>
    <row r="18" spans="2:22" x14ac:dyDescent="0.3">
      <c r="B18" s="5" t="s">
        <v>55</v>
      </c>
      <c r="E18" s="26" t="s">
        <v>144</v>
      </c>
      <c r="F18" s="85">
        <v>0.80669999999999997</v>
      </c>
      <c r="G18" s="86" t="s">
        <v>9</v>
      </c>
      <c r="H18" s="85">
        <v>1</v>
      </c>
      <c r="I18" s="280" t="s">
        <v>240</v>
      </c>
      <c r="K18" s="285" t="s">
        <v>244</v>
      </c>
      <c r="L18" s="286">
        <v>30005966440</v>
      </c>
    </row>
    <row r="19" spans="2:22" x14ac:dyDescent="0.3">
      <c r="B19" s="5"/>
      <c r="E19" s="26" t="s">
        <v>146</v>
      </c>
      <c r="F19" s="85">
        <v>0.82669999999999999</v>
      </c>
      <c r="G19" s="86" t="s">
        <v>9</v>
      </c>
      <c r="H19" s="85">
        <v>1</v>
      </c>
      <c r="I19" s="280" t="s">
        <v>240</v>
      </c>
    </row>
    <row r="20" spans="2:22" x14ac:dyDescent="0.3">
      <c r="B20" s="5"/>
      <c r="E20" s="26" t="s">
        <v>241</v>
      </c>
      <c r="F20" s="85">
        <v>0.88580000000000003</v>
      </c>
      <c r="G20" s="86" t="s">
        <v>9</v>
      </c>
      <c r="H20" s="85">
        <v>1</v>
      </c>
      <c r="I20" s="280" t="s">
        <v>240</v>
      </c>
    </row>
    <row r="21" spans="2:22" x14ac:dyDescent="0.3">
      <c r="B21" s="5"/>
      <c r="E21" s="281" t="s">
        <v>144</v>
      </c>
      <c r="F21" s="282">
        <v>0.79390000000000005</v>
      </c>
      <c r="G21" s="279" t="s">
        <v>9</v>
      </c>
      <c r="H21" s="282">
        <v>1</v>
      </c>
      <c r="I21" s="280" t="s">
        <v>242</v>
      </c>
    </row>
    <row r="22" spans="2:22" x14ac:dyDescent="0.3">
      <c r="B22" s="5"/>
      <c r="E22" s="281" t="s">
        <v>146</v>
      </c>
      <c r="F22" s="282">
        <v>0.87429999999999997</v>
      </c>
      <c r="G22" s="279" t="s">
        <v>9</v>
      </c>
      <c r="H22" s="282">
        <v>1</v>
      </c>
      <c r="I22" s="280" t="s">
        <v>242</v>
      </c>
    </row>
    <row r="23" spans="2:22" x14ac:dyDescent="0.3">
      <c r="B23" s="5"/>
      <c r="E23" s="281" t="s">
        <v>241</v>
      </c>
      <c r="F23" s="282">
        <v>0.81369999999999998</v>
      </c>
      <c r="G23" s="279" t="s">
        <v>9</v>
      </c>
      <c r="H23" s="282">
        <v>1</v>
      </c>
      <c r="I23" s="280" t="s">
        <v>242</v>
      </c>
    </row>
    <row r="24" spans="2:22" x14ac:dyDescent="0.3"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x14ac:dyDescent="0.3">
      <c r="B25" s="415" t="s">
        <v>211</v>
      </c>
      <c r="C25" s="416"/>
      <c r="D25" s="416"/>
      <c r="E25" s="416"/>
      <c r="F25" s="416"/>
      <c r="G25" s="416"/>
      <c r="H25" s="417"/>
      <c r="I25" s="1"/>
      <c r="J25" s="127"/>
      <c r="K25" s="1"/>
      <c r="L25" s="1"/>
      <c r="M25" s="1"/>
      <c r="N25" s="1"/>
      <c r="O25" s="1"/>
      <c r="P25" s="1"/>
    </row>
    <row r="26" spans="2:22" x14ac:dyDescent="0.3">
      <c r="B26" s="41"/>
      <c r="D26" s="46" t="s">
        <v>40</v>
      </c>
      <c r="E26" s="46" t="s">
        <v>10</v>
      </c>
      <c r="F26" s="46" t="s">
        <v>9</v>
      </c>
      <c r="G26" s="46" t="s">
        <v>34</v>
      </c>
      <c r="H26" s="47" t="s">
        <v>7</v>
      </c>
      <c r="I26" s="1"/>
      <c r="J26" s="127"/>
      <c r="K26" s="1"/>
      <c r="L26" s="1"/>
      <c r="M26" s="1"/>
      <c r="N26" s="1"/>
      <c r="O26" s="1"/>
      <c r="P26" s="1"/>
    </row>
    <row r="27" spans="2:22" x14ac:dyDescent="0.3">
      <c r="B27" s="48" t="s">
        <v>41</v>
      </c>
      <c r="C27" s="49"/>
      <c r="D27" s="50"/>
      <c r="E27" s="50"/>
      <c r="F27" s="50"/>
      <c r="G27" s="50"/>
      <c r="H27" s="51">
        <f>SUM(H29:H36)+SUM(H49:H51)</f>
        <v>743.92031686332439</v>
      </c>
      <c r="I27" s="1"/>
      <c r="J27" s="1"/>
      <c r="K27" s="1"/>
      <c r="L27" s="1"/>
      <c r="M27" s="1"/>
      <c r="N27" s="1"/>
      <c r="O27" s="1"/>
      <c r="P27" s="1"/>
    </row>
    <row r="28" spans="2:22" x14ac:dyDescent="0.3">
      <c r="B28" s="41"/>
      <c r="D28" s="46"/>
      <c r="E28" s="46"/>
      <c r="F28" s="46"/>
      <c r="G28" s="46"/>
      <c r="H28" s="52"/>
      <c r="I28" s="1"/>
      <c r="J28"/>
      <c r="K28"/>
      <c r="L28"/>
      <c r="M28" s="1"/>
      <c r="N28" s="1"/>
      <c r="O28" s="1"/>
      <c r="P28" s="1"/>
      <c r="R28" s="26" t="s">
        <v>105</v>
      </c>
      <c r="S28" s="26" t="s">
        <v>106</v>
      </c>
    </row>
    <row r="29" spans="2:22" x14ac:dyDescent="0.3">
      <c r="B29" s="41" t="s">
        <v>107</v>
      </c>
      <c r="D29" s="256">
        <v>200</v>
      </c>
      <c r="E29" s="53">
        <f t="shared" ref="E29:F31" si="5">IF(AND($B$15&lt;$F$2,$E$15&lt;$F$2),C6,IF($B$15&lt;$F$2,I6,F6))</f>
        <v>0.95899000000000001</v>
      </c>
      <c r="F29" s="257">
        <f t="shared" si="5"/>
        <v>0.45767999999999998</v>
      </c>
      <c r="G29" s="53">
        <f>E29+F29</f>
        <v>1.4166699999999999</v>
      </c>
      <c r="H29" s="54">
        <f>ROUND((D29*E29),2)+ROUND((D29*F29),2)</f>
        <v>283.34000000000003</v>
      </c>
      <c r="I29" s="1"/>
      <c r="J29"/>
      <c r="K29"/>
      <c r="L29"/>
      <c r="M29" s="1"/>
      <c r="N29" s="1"/>
      <c r="O29" s="1"/>
      <c r="P29" s="1"/>
      <c r="R29" s="258">
        <f>IF(AND($B$15&lt;$F$2,$E$15&lt;$F$2),R6,IF($B$15&lt;$F$2,X6,U6))</f>
        <v>0.64499638700476991</v>
      </c>
      <c r="S29" s="137">
        <f>D29*R29</f>
        <v>128.99927740095399</v>
      </c>
      <c r="U29" s="259">
        <f>D29*E29</f>
        <v>191.798</v>
      </c>
    </row>
    <row r="30" spans="2:22" x14ac:dyDescent="0.3">
      <c r="B30" s="41" t="s">
        <v>108</v>
      </c>
      <c r="D30" s="256">
        <v>200</v>
      </c>
      <c r="E30" s="53">
        <f t="shared" si="5"/>
        <v>0.31950500000000004</v>
      </c>
      <c r="F30" s="257">
        <f t="shared" si="5"/>
        <v>0.28924499999999997</v>
      </c>
      <c r="G30" s="53">
        <f t="shared" ref="G30:G31" si="6">E30+F30</f>
        <v>0.60875000000000001</v>
      </c>
      <c r="H30" s="54">
        <f t="shared" ref="H30:H31" si="7">ROUND((D30*E30),2)+ROUND((D30*F30),2)</f>
        <v>121.75</v>
      </c>
      <c r="I30" s="1"/>
      <c r="J30" s="1"/>
      <c r="K30" s="1"/>
      <c r="L30" s="260"/>
      <c r="M30" s="1"/>
      <c r="N30" s="1"/>
      <c r="O30" s="1"/>
      <c r="P30" s="1"/>
      <c r="R30" s="258">
        <f>IF(AND($B$15&lt;$F$2,$E$15&lt;$F$2),R7,IF($B$15&lt;$F$2,X7,U7))</f>
        <v>0.1289982871607685</v>
      </c>
      <c r="S30" s="137">
        <f t="shared" ref="S30:S31" si="8">D30*R30</f>
        <v>25.799657432153701</v>
      </c>
      <c r="U30" s="259">
        <f t="shared" ref="U30:U31" si="9">D30*E30</f>
        <v>63.90100000000001</v>
      </c>
    </row>
    <row r="31" spans="2:22" x14ac:dyDescent="0.3">
      <c r="B31" s="41" t="s">
        <v>212</v>
      </c>
      <c r="D31" s="256">
        <v>200</v>
      </c>
      <c r="E31" s="53">
        <f t="shared" si="5"/>
        <v>0.63924500000000006</v>
      </c>
      <c r="F31" s="257">
        <f t="shared" si="5"/>
        <v>0.28924499999999997</v>
      </c>
      <c r="G31" s="53">
        <f t="shared" si="6"/>
        <v>0.92849000000000004</v>
      </c>
      <c r="H31" s="54">
        <f t="shared" si="7"/>
        <v>185.7</v>
      </c>
      <c r="I31" s="1"/>
      <c r="J31" s="1"/>
      <c r="K31" s="1"/>
      <c r="L31" s="260"/>
      <c r="M31" s="1"/>
      <c r="N31" s="1"/>
      <c r="O31" s="1"/>
      <c r="P31" s="1"/>
      <c r="R31" s="258">
        <f>IF(AND($B$15&lt;$F$2,$E$15&lt;$F$2),R8,IF($B$15&lt;$F$2,X8,U8))</f>
        <v>0.38699981268323247</v>
      </c>
      <c r="S31" s="137">
        <f t="shared" si="8"/>
        <v>77.399962536646498</v>
      </c>
      <c r="U31" s="259">
        <f t="shared" si="9"/>
        <v>127.84900000000002</v>
      </c>
    </row>
    <row r="32" spans="2:22" x14ac:dyDescent="0.3">
      <c r="B32" s="41"/>
      <c r="D32" s="55"/>
      <c r="E32" s="56"/>
      <c r="F32" s="57"/>
      <c r="G32" s="57"/>
      <c r="H32" s="54"/>
      <c r="I32" s="1"/>
      <c r="J32" s="1"/>
      <c r="K32" s="1"/>
      <c r="L32" s="1"/>
      <c r="M32" s="1"/>
      <c r="N32" s="1"/>
      <c r="O32" s="1"/>
      <c r="P32" s="1"/>
      <c r="S32" s="144">
        <f>SUM(S29:S31)</f>
        <v>232.19889736975421</v>
      </c>
      <c r="U32" s="259">
        <f>SUM(U29:U31)</f>
        <v>383.548</v>
      </c>
    </row>
    <row r="33" spans="2:16" x14ac:dyDescent="0.3">
      <c r="B33" s="41" t="s">
        <v>43</v>
      </c>
      <c r="D33" s="58">
        <f>IF($K$13=M4,((D29+D30+D31)*(K15)/(K15+L15)),0)+IF($L$13=M4,((D29+D30+D31)*(L15)/(K15+L15)),0)</f>
        <v>75</v>
      </c>
      <c r="F33" s="59">
        <f>N4</f>
        <v>1.8849999999999999E-2</v>
      </c>
      <c r="G33" s="59"/>
      <c r="H33" s="54">
        <f>ROUND(D33*(E33+F33),2)</f>
        <v>1.41</v>
      </c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41" t="s">
        <v>44</v>
      </c>
      <c r="D34" s="58">
        <f>IF($K$13=M5,((D29+D30+D31)*(K15)/(K15+L15)),0)+IF($L$13=M5,((D29+D30+D31)*(L15)/(K15+L15)),0)</f>
        <v>0</v>
      </c>
      <c r="F34" s="59">
        <f>N5</f>
        <v>4.4630000000000003E-2</v>
      </c>
      <c r="G34" s="59"/>
      <c r="H34" s="54">
        <f>ROUND(D34*(E34+F34),2)</f>
        <v>0</v>
      </c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41" t="s">
        <v>45</v>
      </c>
      <c r="D35" s="58">
        <f>IF($K$13=M6,((D29+D30+D31)*(K15)/(K15+L15)),0)+IF($L$13=M6,((D29+D30+D31)*(L15)/(K15+L15)),0)</f>
        <v>0</v>
      </c>
      <c r="F35" s="59">
        <f>N6</f>
        <v>7.8770000000000007E-2</v>
      </c>
      <c r="G35" s="59"/>
      <c r="H35" s="54">
        <f>ROUND(D35*(E35+F35),2)</f>
        <v>0</v>
      </c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41" t="s">
        <v>46</v>
      </c>
      <c r="D36" s="58">
        <f>IF($K$13=M7,((D29+D30+D31)*(K15)/(K15+L15)),0)+IF($L$13=M7,((D29+D30+D31)*(L15)/(K15+L15)),0)</f>
        <v>0</v>
      </c>
      <c r="F36" s="59">
        <f>N7</f>
        <v>0.14199999999999999</v>
      </c>
      <c r="G36" s="59"/>
      <c r="H36" s="54">
        <f>ROUND(D36*(E36+F36),2)</f>
        <v>0</v>
      </c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41"/>
      <c r="D37" s="60"/>
      <c r="H37" s="54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41" t="s">
        <v>233</v>
      </c>
      <c r="D38" s="223">
        <v>-200</v>
      </c>
      <c r="E38" s="53">
        <f>IF(AND($B$15&lt;$F$2,$E$15&lt;$F$2),C6*$F$18,IF($B$15&lt;$F$2,(((C6*F18)*C15)+((F6*F21)*D15))/(C15+D15),F6*$F$21))</f>
        <v>0.767479825</v>
      </c>
      <c r="F38" s="257">
        <f>F29</f>
        <v>0.45767999999999998</v>
      </c>
      <c r="G38" s="53">
        <f>E38+F38</f>
        <v>1.225159825</v>
      </c>
      <c r="H38" s="54">
        <f>ROUND((D38*E38),2)+ROUND((D38*F38),2)</f>
        <v>-245.04000000000002</v>
      </c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41" t="s">
        <v>234</v>
      </c>
      <c r="D39" s="223">
        <v>-200</v>
      </c>
      <c r="E39" s="53">
        <f>IF(AND($B$15&lt;$F$2,$E$15&lt;$F$2),C7*$F$19,IF($B$15&lt;$F$2,(((C7*F19)*C15)+((F7*F22)*D15))/(C15+D15),F7*$F$22))</f>
        <v>0.27161869350000001</v>
      </c>
      <c r="F39" s="257">
        <f t="shared" ref="F39:F40" si="10">F30</f>
        <v>0.28924499999999997</v>
      </c>
      <c r="G39" s="53">
        <f t="shared" ref="G39:G40" si="11">E39+F39</f>
        <v>0.56086369349999998</v>
      </c>
      <c r="H39" s="54">
        <f t="shared" ref="H39:H40" si="12">ROUND((D39*E39),2)+ROUND((D39*F39),2)</f>
        <v>-112.17</v>
      </c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41" t="s">
        <v>235</v>
      </c>
      <c r="D40" s="223">
        <v>-200</v>
      </c>
      <c r="E40" s="53">
        <f>IF(AND($B$15&lt;$F$2,$E$15&lt;$F$2),C8*$F$20,IF($B$15&lt;$F$2,(((C8*F20)*C15)+((F8*F23)*D15))/(C15+D15),F8*$F$23))</f>
        <v>0.54328982550000005</v>
      </c>
      <c r="F40" s="257">
        <f t="shared" si="10"/>
        <v>0.28924499999999997</v>
      </c>
      <c r="G40" s="53">
        <f t="shared" si="11"/>
        <v>0.83253482550000002</v>
      </c>
      <c r="H40" s="54">
        <f t="shared" si="12"/>
        <v>-166.51</v>
      </c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41"/>
      <c r="D41" s="56"/>
      <c r="E41" s="56"/>
      <c r="F41" s="57"/>
      <c r="G41" s="57"/>
      <c r="H41" s="54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41" t="s">
        <v>236</v>
      </c>
      <c r="D42" s="58">
        <f>IF($K$13=M4,((D38+D39+D40)*(K15)/(K15+L15)),0)+IF($L$13=M4,((D38+D39+D40)*(L15)/(K15+L15)),0)</f>
        <v>-75</v>
      </c>
      <c r="F42" s="59">
        <f>N4</f>
        <v>1.8849999999999999E-2</v>
      </c>
      <c r="G42" s="59"/>
      <c r="H42" s="54">
        <f>ROUND(D42*(E42+F42),2)</f>
        <v>-1.41</v>
      </c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41" t="s">
        <v>237</v>
      </c>
      <c r="D43" s="58">
        <f>IF($K$13=M5,((D39+D40+D41)*(K15)/(K15+L15)),0)+IF($L$13=M5,((D39+D40+D41)*(L15)/(K15+L15)),0)</f>
        <v>0</v>
      </c>
      <c r="F43" s="59">
        <f>N14</f>
        <v>0</v>
      </c>
      <c r="G43" s="59"/>
      <c r="H43" s="54">
        <f>ROUND(D43*(E43+F43),2)</f>
        <v>0</v>
      </c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41" t="s">
        <v>238</v>
      </c>
      <c r="D44" s="58">
        <f>IF($K$13=M6,((D40+D41+D42)*(K15)/(K15+L15)),0)+IF($L$13=M6,((D40+D41+D42)*(L15)/(K15+L15)),0)</f>
        <v>0</v>
      </c>
      <c r="F44" s="59">
        <f>N15</f>
        <v>0</v>
      </c>
      <c r="G44" s="59"/>
      <c r="H44" s="54">
        <f>ROUND(D44*(E44+F44),2)</f>
        <v>0</v>
      </c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41" t="s">
        <v>239</v>
      </c>
      <c r="D45" s="58">
        <f>IF($K$13=M7,((D41+D42+D43)*(K15)/(K15+L15)),0)+IF($L$13=M7,((D41+D42+D43)*(L15)/(K15+L15)),0)</f>
        <v>0</v>
      </c>
      <c r="F45" s="59">
        <f>N16</f>
        <v>0</v>
      </c>
      <c r="G45" s="59"/>
      <c r="H45" s="54">
        <f>ROUND(D45*(E45+F45),2)</f>
        <v>0</v>
      </c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74"/>
      <c r="C46" s="75"/>
      <c r="D46" s="261"/>
      <c r="E46" s="262"/>
      <c r="F46" s="75"/>
      <c r="G46" s="75"/>
      <c r="H46" s="263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34"/>
      <c r="C47" s="35"/>
      <c r="D47" s="35"/>
      <c r="E47" s="35"/>
      <c r="F47" s="35"/>
      <c r="G47" s="35"/>
      <c r="H47" s="264"/>
      <c r="I47" s="1"/>
      <c r="L47" s="1"/>
      <c r="M47" s="1"/>
      <c r="N47" s="1"/>
      <c r="O47" s="1"/>
      <c r="P47" s="1"/>
    </row>
    <row r="48" spans="2:16" x14ac:dyDescent="0.3">
      <c r="B48" s="41"/>
      <c r="D48" s="63" t="s">
        <v>48</v>
      </c>
      <c r="E48" s="64"/>
      <c r="F48" s="64"/>
      <c r="G48" s="64"/>
      <c r="H48" s="65"/>
      <c r="I48" s="66"/>
      <c r="K48" s="67"/>
      <c r="L48" s="1"/>
      <c r="M48" s="1"/>
      <c r="N48" s="1"/>
      <c r="O48" s="1"/>
      <c r="P48" s="1"/>
    </row>
    <row r="49" spans="2:16" x14ac:dyDescent="0.3">
      <c r="B49" s="41" t="s">
        <v>49</v>
      </c>
      <c r="D49" s="67">
        <f>(SUM(H29:H36)/(1-E49-E50))</f>
        <v>617.45386299655911</v>
      </c>
      <c r="E49" s="265">
        <v>7.3000000000000001E-3</v>
      </c>
      <c r="H49" s="54">
        <f>D49*E49</f>
        <v>4.5074131998748816</v>
      </c>
      <c r="I49" s="67"/>
      <c r="L49" s="1"/>
      <c r="M49" s="1"/>
      <c r="N49" s="1"/>
      <c r="O49" s="1"/>
      <c r="P49" s="1"/>
    </row>
    <row r="50" spans="2:16" x14ac:dyDescent="0.3">
      <c r="B50" s="41" t="s">
        <v>51</v>
      </c>
      <c r="D50" s="67">
        <f>D49</f>
        <v>617.45386299655911</v>
      </c>
      <c r="E50" s="265">
        <v>3.3599999999999998E-2</v>
      </c>
      <c r="H50" s="54">
        <f>D50*E50</f>
        <v>20.746449796684384</v>
      </c>
      <c r="I50" s="67"/>
      <c r="L50" s="1"/>
      <c r="M50" s="1"/>
      <c r="N50" s="1"/>
      <c r="O50" s="1"/>
      <c r="P50" s="1"/>
    </row>
    <row r="51" spans="2:16" x14ac:dyDescent="0.3">
      <c r="B51" s="41" t="s">
        <v>11</v>
      </c>
      <c r="D51" s="266">
        <f>D49/(1-E51)</f>
        <v>743.92031686332427</v>
      </c>
      <c r="E51" s="267">
        <v>0.17</v>
      </c>
      <c r="H51" s="54">
        <f>D51*E51</f>
        <v>126.46645386676514</v>
      </c>
      <c r="I51" s="67"/>
      <c r="L51" s="1"/>
      <c r="M51" s="1"/>
      <c r="N51" s="1"/>
      <c r="O51" s="1"/>
      <c r="P51" s="1"/>
    </row>
    <row r="52" spans="2:16" x14ac:dyDescent="0.3">
      <c r="B52" s="74"/>
      <c r="C52" s="75"/>
      <c r="D52" s="75"/>
      <c r="E52" s="75"/>
      <c r="F52" s="75"/>
      <c r="G52" s="75"/>
      <c r="H52" s="268"/>
      <c r="L52" s="1"/>
      <c r="M52" s="1"/>
      <c r="N52" s="1"/>
      <c r="O52" s="1"/>
      <c r="P52" s="1"/>
    </row>
    <row r="53" spans="2:16" x14ac:dyDescent="0.3">
      <c r="B53" s="224" t="s">
        <v>193</v>
      </c>
      <c r="C53" s="133"/>
      <c r="D53" s="225">
        <f>SUM(D29:D31)+SUM(D38:D40)</f>
        <v>0</v>
      </c>
      <c r="E53" s="226">
        <f>IF(AND($B$15&lt;$F$2,$E$15&lt;$F$2),C9,IF($B$15&lt;$F$2,I9,F9))</f>
        <v>0.27670499999999998</v>
      </c>
      <c r="F53" s="226">
        <f>IF(AND($B$15&lt;$F$2,$E$15&lt;$F$2),D9,IF($B$15&lt;$F$2,J9,G9))</f>
        <v>0.14862</v>
      </c>
      <c r="G53" s="133"/>
      <c r="H53" s="224">
        <f>D53*(E53+F53)</f>
        <v>0</v>
      </c>
      <c r="L53" s="1"/>
      <c r="M53" s="1"/>
      <c r="N53" s="1"/>
      <c r="O53" s="1"/>
      <c r="P53" s="1"/>
    </row>
    <row r="54" spans="2:16" x14ac:dyDescent="0.3">
      <c r="L54" s="1"/>
      <c r="M54" s="1"/>
      <c r="N54" s="1"/>
      <c r="O54" s="1"/>
      <c r="P54" s="1"/>
    </row>
    <row r="55" spans="2:16" x14ac:dyDescent="0.3">
      <c r="B55" s="130" t="s">
        <v>213</v>
      </c>
      <c r="D55" s="64"/>
      <c r="E55" s="64" t="s">
        <v>8</v>
      </c>
      <c r="F55" s="64"/>
      <c r="G55" s="64"/>
      <c r="H55" s="66"/>
    </row>
    <row r="56" spans="2:16" x14ac:dyDescent="0.3">
      <c r="B56" s="269"/>
      <c r="C56" s="270" t="s">
        <v>7</v>
      </c>
    </row>
    <row r="57" spans="2:16" x14ac:dyDescent="0.3">
      <c r="B57" s="269" t="s">
        <v>214</v>
      </c>
      <c r="C57" s="271">
        <f>(SUM(H29:H36)*IF($B$15&lt;$F$2,D95,D67))</f>
        <v>256.26620710296288</v>
      </c>
    </row>
    <row r="58" spans="2:16" x14ac:dyDescent="0.3">
      <c r="B58" s="269" t="s">
        <v>215</v>
      </c>
      <c r="C58" s="271">
        <f>(SUM(H29:H36)*IF($B$15&lt;$F$2,F95,F67))</f>
        <v>153.85483690362614</v>
      </c>
    </row>
    <row r="59" spans="2:16" x14ac:dyDescent="0.3">
      <c r="B59" s="269" t="s">
        <v>216</v>
      </c>
      <c r="C59" s="271">
        <f>(SUM(H29:H36)*IF($B$15&lt;$F$2,E95,E67))</f>
        <v>48.220490645005327</v>
      </c>
    </row>
    <row r="60" spans="2:16" x14ac:dyDescent="0.3">
      <c r="B60" s="269" t="s">
        <v>217</v>
      </c>
      <c r="C60" s="271">
        <f>(SUM(H29:H36)*IF($B$15&lt;$F$2,G95,G67))</f>
        <v>133.85846534840564</v>
      </c>
    </row>
    <row r="61" spans="2:16" x14ac:dyDescent="0.3">
      <c r="B61" s="269" t="s">
        <v>218</v>
      </c>
      <c r="C61" s="272">
        <f>H49+H50+H51</f>
        <v>151.7203168633244</v>
      </c>
    </row>
    <row r="62" spans="2:16" x14ac:dyDescent="0.3">
      <c r="B62" s="273" t="s">
        <v>219</v>
      </c>
      <c r="C62" s="274">
        <f>SUM(C57:C61)</f>
        <v>743.92031686332439</v>
      </c>
    </row>
    <row r="64" spans="2:16" x14ac:dyDescent="0.3">
      <c r="B64" s="194">
        <v>2023</v>
      </c>
      <c r="C64" s="194"/>
      <c r="D64" s="194" t="s">
        <v>214</v>
      </c>
      <c r="E64" s="194" t="s">
        <v>216</v>
      </c>
      <c r="F64" s="194" t="s">
        <v>215</v>
      </c>
      <c r="G64" s="194" t="s">
        <v>220</v>
      </c>
    </row>
    <row r="65" spans="2:10" x14ac:dyDescent="0.3">
      <c r="B65" s="194" t="s">
        <v>221</v>
      </c>
      <c r="C65" s="194"/>
      <c r="D65" s="194" t="s">
        <v>222</v>
      </c>
      <c r="E65" s="194" t="s">
        <v>222</v>
      </c>
      <c r="F65" s="194" t="s">
        <v>222</v>
      </c>
      <c r="G65" s="194" t="s">
        <v>222</v>
      </c>
    </row>
    <row r="66" spans="2:10" x14ac:dyDescent="0.3">
      <c r="B66" s="194"/>
      <c r="C66" s="194"/>
      <c r="D66" s="194"/>
      <c r="E66" s="194"/>
      <c r="F66" s="194"/>
      <c r="G66" s="194"/>
    </row>
    <row r="67" spans="2:10" x14ac:dyDescent="0.3">
      <c r="B67" s="194" t="s">
        <v>223</v>
      </c>
      <c r="C67" s="194"/>
      <c r="D67" s="275">
        <v>0.43273591202796846</v>
      </c>
      <c r="E67" s="275">
        <v>8.1426022703487561E-2</v>
      </c>
      <c r="F67" s="275">
        <v>0.25980215620335384</v>
      </c>
      <c r="G67" s="275">
        <v>0.22603590906519025</v>
      </c>
    </row>
    <row r="68" spans="2:10" x14ac:dyDescent="0.3">
      <c r="B68" s="194" t="s">
        <v>224</v>
      </c>
      <c r="C68" s="194"/>
      <c r="D68" s="275">
        <v>0.52914974745856724</v>
      </c>
      <c r="E68" s="275">
        <v>9.9567792162627941E-2</v>
      </c>
      <c r="F68" s="275">
        <v>0.31768624124570172</v>
      </c>
      <c r="G68" s="275">
        <v>5.3596219133103154E-2</v>
      </c>
    </row>
    <row r="69" spans="2:10" x14ac:dyDescent="0.3">
      <c r="B69" s="194" t="s">
        <v>225</v>
      </c>
      <c r="C69" s="194"/>
      <c r="D69" s="275">
        <v>0.43273591202796835</v>
      </c>
      <c r="E69" s="275">
        <v>8.1426022703487574E-2</v>
      </c>
      <c r="F69" s="275">
        <v>0.25980215620335428</v>
      </c>
      <c r="G69" s="275">
        <v>0.22603590906518967</v>
      </c>
    </row>
    <row r="70" spans="2:10" x14ac:dyDescent="0.3">
      <c r="B70" s="194" t="s">
        <v>226</v>
      </c>
      <c r="C70" s="194"/>
      <c r="D70" s="275">
        <v>0.43273591202796835</v>
      </c>
      <c r="E70" s="275">
        <v>8.1426022703487574E-2</v>
      </c>
      <c r="F70" s="275">
        <v>0.25980215620335428</v>
      </c>
      <c r="G70" s="275">
        <v>0.22603590906518967</v>
      </c>
    </row>
    <row r="71" spans="2:10" x14ac:dyDescent="0.3">
      <c r="B71" s="194" t="s">
        <v>227</v>
      </c>
      <c r="C71" s="194"/>
      <c r="D71" s="275">
        <v>0.43273591202796846</v>
      </c>
      <c r="E71" s="275">
        <v>8.1426022703487491E-2</v>
      </c>
      <c r="F71" s="275">
        <v>0.25980215620335423</v>
      </c>
      <c r="G71" s="275">
        <v>0.22603590906518969</v>
      </c>
    </row>
    <row r="72" spans="2:10" x14ac:dyDescent="0.3">
      <c r="B72" s="194" t="s">
        <v>228</v>
      </c>
      <c r="C72" s="194"/>
      <c r="D72" s="275">
        <v>0.43273591202796846</v>
      </c>
      <c r="E72" s="275">
        <v>8.1426022703487561E-2</v>
      </c>
      <c r="F72" s="275">
        <v>0.25980215620335384</v>
      </c>
      <c r="G72" s="275">
        <v>0.22603590906519025</v>
      </c>
    </row>
    <row r="73" spans="2:10" x14ac:dyDescent="0.3">
      <c r="B73" s="194" t="s">
        <v>229</v>
      </c>
      <c r="C73" s="194"/>
      <c r="D73" s="275">
        <v>0.43273591202796846</v>
      </c>
      <c r="E73" s="275">
        <v>8.1426022703487561E-2</v>
      </c>
      <c r="F73" s="275">
        <v>0.25980215620335384</v>
      </c>
      <c r="G73" s="275">
        <v>0.22603590906519025</v>
      </c>
    </row>
    <row r="74" spans="2:10" x14ac:dyDescent="0.3">
      <c r="B74" s="194" t="s">
        <v>230</v>
      </c>
      <c r="C74" s="194"/>
      <c r="D74" s="275">
        <v>0.43273591202796818</v>
      </c>
      <c r="E74" s="275">
        <v>8.1426022703487477E-2</v>
      </c>
      <c r="F74" s="275">
        <v>0.25980215620335462</v>
      </c>
      <c r="G74" s="275">
        <v>0.22603590906518975</v>
      </c>
      <c r="J74" s="24"/>
    </row>
    <row r="75" spans="2:10" x14ac:dyDescent="0.3">
      <c r="B75" s="194" t="s">
        <v>231</v>
      </c>
      <c r="C75" s="194"/>
      <c r="D75" s="275">
        <v>0.43273591202796957</v>
      </c>
      <c r="E75" s="275">
        <v>8.1426022703487561E-2</v>
      </c>
      <c r="F75" s="275">
        <v>0.25980215620335317</v>
      </c>
      <c r="G75" s="275">
        <v>0.22603590906518972</v>
      </c>
    </row>
    <row r="76" spans="2:10" x14ac:dyDescent="0.3">
      <c r="B76" s="130"/>
      <c r="C76" s="130"/>
      <c r="D76" s="130"/>
      <c r="E76" s="130"/>
      <c r="F76" s="130"/>
      <c r="G76" s="130"/>
    </row>
    <row r="77" spans="2:10" x14ac:dyDescent="0.3">
      <c r="B77" s="130"/>
      <c r="C77" s="130"/>
      <c r="D77" s="130"/>
      <c r="E77" s="130"/>
      <c r="F77" s="130"/>
      <c r="G77" s="130"/>
    </row>
    <row r="78" spans="2:10" x14ac:dyDescent="0.3">
      <c r="B78" s="130">
        <v>2022</v>
      </c>
      <c r="C78" s="194"/>
      <c r="D78" s="194" t="s">
        <v>214</v>
      </c>
      <c r="E78" s="194" t="s">
        <v>216</v>
      </c>
      <c r="F78" s="194" t="s">
        <v>215</v>
      </c>
      <c r="G78" s="194" t="s">
        <v>220</v>
      </c>
    </row>
    <row r="79" spans="2:10" x14ac:dyDescent="0.3">
      <c r="B79" s="194" t="s">
        <v>221</v>
      </c>
      <c r="C79" s="194"/>
      <c r="D79" s="194" t="s">
        <v>222</v>
      </c>
      <c r="E79" s="194" t="s">
        <v>222</v>
      </c>
      <c r="F79" s="194" t="s">
        <v>222</v>
      </c>
      <c r="G79" s="194" t="s">
        <v>222</v>
      </c>
    </row>
    <row r="80" spans="2:10" x14ac:dyDescent="0.3">
      <c r="B80" s="194"/>
      <c r="C80" s="194"/>
      <c r="D80" s="194"/>
      <c r="E80" s="194"/>
      <c r="F80" s="194"/>
      <c r="G80" s="194"/>
    </row>
    <row r="81" spans="2:7" x14ac:dyDescent="0.3">
      <c r="B81" s="194" t="s">
        <v>223</v>
      </c>
      <c r="C81" s="194"/>
      <c r="D81" s="275">
        <v>0.43273591202796846</v>
      </c>
      <c r="E81" s="275">
        <v>8.1426022703487561E-2</v>
      </c>
      <c r="F81" s="275">
        <v>0.25980215620335384</v>
      </c>
      <c r="G81" s="275">
        <v>0.22603590906519025</v>
      </c>
    </row>
    <row r="82" spans="2:7" x14ac:dyDescent="0.3">
      <c r="B82" s="194" t="s">
        <v>224</v>
      </c>
      <c r="C82" s="194"/>
      <c r="D82" s="275">
        <v>0.52914974745856724</v>
      </c>
      <c r="E82" s="275">
        <v>9.9567792162627941E-2</v>
      </c>
      <c r="F82" s="275">
        <v>0.31768624124570172</v>
      </c>
      <c r="G82" s="275">
        <v>5.3596219133103154E-2</v>
      </c>
    </row>
    <row r="83" spans="2:7" x14ac:dyDescent="0.3">
      <c r="B83" s="194" t="s">
        <v>225</v>
      </c>
      <c r="C83" s="194"/>
      <c r="D83" s="275">
        <v>0.43273591202796835</v>
      </c>
      <c r="E83" s="275">
        <v>8.1426022703487574E-2</v>
      </c>
      <c r="F83" s="275">
        <v>0.25980215620335428</v>
      </c>
      <c r="G83" s="275">
        <v>0.22603590906518967</v>
      </c>
    </row>
    <row r="84" spans="2:7" x14ac:dyDescent="0.3">
      <c r="B84" s="194" t="s">
        <v>226</v>
      </c>
      <c r="C84" s="194"/>
      <c r="D84" s="275">
        <v>0.43273591202796835</v>
      </c>
      <c r="E84" s="275">
        <v>8.1426022703487574E-2</v>
      </c>
      <c r="F84" s="275">
        <v>0.25980215620335428</v>
      </c>
      <c r="G84" s="275">
        <v>0.22603590906518967</v>
      </c>
    </row>
    <row r="85" spans="2:7" x14ac:dyDescent="0.3">
      <c r="B85" s="194" t="s">
        <v>227</v>
      </c>
      <c r="C85" s="194"/>
      <c r="D85" s="275">
        <v>0.43273591202796846</v>
      </c>
      <c r="E85" s="275">
        <v>8.1426022703487491E-2</v>
      </c>
      <c r="F85" s="275">
        <v>0.25980215620335423</v>
      </c>
      <c r="G85" s="275">
        <v>0.22603590906518969</v>
      </c>
    </row>
    <row r="86" spans="2:7" x14ac:dyDescent="0.3">
      <c r="B86" s="194" t="s">
        <v>228</v>
      </c>
      <c r="C86" s="194"/>
      <c r="D86" s="275">
        <v>0.43273591202796846</v>
      </c>
      <c r="E86" s="275">
        <v>8.1426022703487561E-2</v>
      </c>
      <c r="F86" s="275">
        <v>0.25980215620335384</v>
      </c>
      <c r="G86" s="275">
        <v>0.22603590906519025</v>
      </c>
    </row>
    <row r="87" spans="2:7" x14ac:dyDescent="0.3">
      <c r="B87" s="194" t="s">
        <v>229</v>
      </c>
      <c r="C87" s="194"/>
      <c r="D87" s="275">
        <v>0.43273591202796846</v>
      </c>
      <c r="E87" s="275">
        <v>8.1426022703487561E-2</v>
      </c>
      <c r="F87" s="275">
        <v>0.25980215620335384</v>
      </c>
      <c r="G87" s="275">
        <v>0.22603590906519025</v>
      </c>
    </row>
    <row r="88" spans="2:7" x14ac:dyDescent="0.3">
      <c r="B88" s="194" t="s">
        <v>230</v>
      </c>
      <c r="C88" s="194"/>
      <c r="D88" s="275">
        <v>0.43273591202796818</v>
      </c>
      <c r="E88" s="275">
        <v>8.1426022703487477E-2</v>
      </c>
      <c r="F88" s="275">
        <v>0.25980215620335462</v>
      </c>
      <c r="G88" s="275">
        <v>0.22603590906518975</v>
      </c>
    </row>
    <row r="89" spans="2:7" x14ac:dyDescent="0.3">
      <c r="B89" s="194" t="s">
        <v>231</v>
      </c>
      <c r="C89" s="194"/>
      <c r="D89" s="275">
        <v>0.43273591202796957</v>
      </c>
      <c r="E89" s="275">
        <v>8.1426022703487561E-2</v>
      </c>
      <c r="F89" s="275">
        <v>0.25980215620335317</v>
      </c>
      <c r="G89" s="275">
        <v>0.22603590906518972</v>
      </c>
    </row>
    <row r="90" spans="2:7" x14ac:dyDescent="0.3">
      <c r="B90" s="130"/>
      <c r="C90" s="130"/>
      <c r="D90" s="130"/>
      <c r="E90" s="130"/>
      <c r="F90" s="130"/>
      <c r="G90" s="130"/>
    </row>
    <row r="91" spans="2:7" x14ac:dyDescent="0.3">
      <c r="B91" s="276" t="s">
        <v>232</v>
      </c>
      <c r="C91" s="130"/>
      <c r="D91" s="130"/>
      <c r="E91" s="130"/>
      <c r="F91" s="130"/>
      <c r="G91" s="130"/>
    </row>
    <row r="92" spans="2:7" x14ac:dyDescent="0.3">
      <c r="B92" s="194"/>
      <c r="C92" s="194"/>
      <c r="D92" s="194" t="s">
        <v>214</v>
      </c>
      <c r="E92" s="194" t="s">
        <v>216</v>
      </c>
      <c r="F92" s="194" t="s">
        <v>215</v>
      </c>
      <c r="G92" s="194" t="s">
        <v>220</v>
      </c>
    </row>
    <row r="93" spans="2:7" x14ac:dyDescent="0.3">
      <c r="B93" s="194" t="s">
        <v>221</v>
      </c>
      <c r="C93" s="194"/>
      <c r="D93" s="275" t="s">
        <v>222</v>
      </c>
      <c r="E93" s="275" t="s">
        <v>222</v>
      </c>
      <c r="F93" s="275" t="s">
        <v>222</v>
      </c>
      <c r="G93" s="275" t="s">
        <v>222</v>
      </c>
    </row>
    <row r="94" spans="2:7" x14ac:dyDescent="0.3">
      <c r="B94" s="194"/>
      <c r="C94" s="194"/>
      <c r="D94" s="275"/>
      <c r="E94" s="275"/>
      <c r="F94" s="275"/>
      <c r="G94" s="275"/>
    </row>
    <row r="95" spans="2:7" x14ac:dyDescent="0.3">
      <c r="B95" s="194" t="s">
        <v>223</v>
      </c>
      <c r="C95" s="194"/>
      <c r="D95" s="275">
        <f t="shared" ref="D95:G103" si="13">((D81*$C$15)+(D67*$D$15))/($C$15+$D$15)</f>
        <v>0.43273591202796846</v>
      </c>
      <c r="E95" s="275">
        <f t="shared" si="13"/>
        <v>8.1426022703487561E-2</v>
      </c>
      <c r="F95" s="275">
        <f t="shared" si="13"/>
        <v>0.25980215620335384</v>
      </c>
      <c r="G95" s="275">
        <f t="shared" si="13"/>
        <v>0.22603590906519025</v>
      </c>
    </row>
    <row r="96" spans="2:7" x14ac:dyDescent="0.3">
      <c r="B96" s="194" t="s">
        <v>224</v>
      </c>
      <c r="C96" s="194"/>
      <c r="D96" s="275">
        <f t="shared" si="13"/>
        <v>0.52914974745856724</v>
      </c>
      <c r="E96" s="275">
        <f t="shared" si="13"/>
        <v>9.9567792162627941E-2</v>
      </c>
      <c r="F96" s="275">
        <f t="shared" si="13"/>
        <v>0.31768624124570172</v>
      </c>
      <c r="G96" s="275">
        <f t="shared" si="13"/>
        <v>5.3596219133103154E-2</v>
      </c>
    </row>
    <row r="97" spans="2:7" x14ac:dyDescent="0.3">
      <c r="B97" s="194" t="s">
        <v>225</v>
      </c>
      <c r="C97" s="194"/>
      <c r="D97" s="275">
        <f t="shared" si="13"/>
        <v>0.43273591202796835</v>
      </c>
      <c r="E97" s="275">
        <f t="shared" si="13"/>
        <v>8.1426022703487574E-2</v>
      </c>
      <c r="F97" s="275">
        <f t="shared" si="13"/>
        <v>0.25980215620335428</v>
      </c>
      <c r="G97" s="275">
        <f t="shared" si="13"/>
        <v>0.22603590906518967</v>
      </c>
    </row>
    <row r="98" spans="2:7" x14ac:dyDescent="0.3">
      <c r="B98" s="194" t="s">
        <v>226</v>
      </c>
      <c r="C98" s="194"/>
      <c r="D98" s="275">
        <f t="shared" si="13"/>
        <v>0.43273591202796835</v>
      </c>
      <c r="E98" s="275">
        <f t="shared" si="13"/>
        <v>8.1426022703487574E-2</v>
      </c>
      <c r="F98" s="275">
        <f t="shared" si="13"/>
        <v>0.25980215620335428</v>
      </c>
      <c r="G98" s="275">
        <f t="shared" si="13"/>
        <v>0.22603590906518967</v>
      </c>
    </row>
    <row r="99" spans="2:7" x14ac:dyDescent="0.3">
      <c r="B99" s="194" t="s">
        <v>227</v>
      </c>
      <c r="C99" s="194"/>
      <c r="D99" s="275">
        <f t="shared" si="13"/>
        <v>0.43273591202796846</v>
      </c>
      <c r="E99" s="275">
        <f t="shared" si="13"/>
        <v>8.1426022703487491E-2</v>
      </c>
      <c r="F99" s="275">
        <f t="shared" si="13"/>
        <v>0.25980215620335423</v>
      </c>
      <c r="G99" s="275">
        <f t="shared" si="13"/>
        <v>0.22603590906518969</v>
      </c>
    </row>
    <row r="100" spans="2:7" x14ac:dyDescent="0.3">
      <c r="B100" s="194" t="s">
        <v>228</v>
      </c>
      <c r="C100" s="194"/>
      <c r="D100" s="275">
        <f t="shared" si="13"/>
        <v>0.43273591202796846</v>
      </c>
      <c r="E100" s="275">
        <f t="shared" si="13"/>
        <v>8.1426022703487561E-2</v>
      </c>
      <c r="F100" s="275">
        <f t="shared" si="13"/>
        <v>0.25980215620335384</v>
      </c>
      <c r="G100" s="275">
        <f t="shared" si="13"/>
        <v>0.22603590906519025</v>
      </c>
    </row>
    <row r="101" spans="2:7" x14ac:dyDescent="0.3">
      <c r="B101" s="194" t="s">
        <v>229</v>
      </c>
      <c r="C101" s="194"/>
      <c r="D101" s="275">
        <f t="shared" si="13"/>
        <v>0.43273591202796846</v>
      </c>
      <c r="E101" s="275">
        <f t="shared" si="13"/>
        <v>8.1426022703487561E-2</v>
      </c>
      <c r="F101" s="275">
        <f t="shared" si="13"/>
        <v>0.25980215620335384</v>
      </c>
      <c r="G101" s="275">
        <f t="shared" si="13"/>
        <v>0.22603590906519025</v>
      </c>
    </row>
    <row r="102" spans="2:7" x14ac:dyDescent="0.3">
      <c r="B102" s="194" t="s">
        <v>230</v>
      </c>
      <c r="C102" s="194"/>
      <c r="D102" s="275">
        <f t="shared" si="13"/>
        <v>0.43273591202796818</v>
      </c>
      <c r="E102" s="275">
        <f t="shared" si="13"/>
        <v>8.1426022703487477E-2</v>
      </c>
      <c r="F102" s="275">
        <f t="shared" si="13"/>
        <v>0.25980215620335462</v>
      </c>
      <c r="G102" s="275">
        <f t="shared" si="13"/>
        <v>0.22603590906518975</v>
      </c>
    </row>
    <row r="103" spans="2:7" x14ac:dyDescent="0.3">
      <c r="B103" s="194" t="s">
        <v>231</v>
      </c>
      <c r="C103" s="194"/>
      <c r="D103" s="275">
        <f t="shared" si="13"/>
        <v>0.43273591202796957</v>
      </c>
      <c r="E103" s="275">
        <f t="shared" si="13"/>
        <v>8.1426022703487561E-2</v>
      </c>
      <c r="F103" s="275">
        <f t="shared" si="13"/>
        <v>0.25980215620335317</v>
      </c>
      <c r="G103" s="275">
        <f t="shared" si="13"/>
        <v>0.22603590906518972</v>
      </c>
    </row>
  </sheetData>
  <mergeCells count="11">
    <mergeCell ref="H2:I2"/>
    <mergeCell ref="B4:B5"/>
    <mergeCell ref="C4:E4"/>
    <mergeCell ref="F4:H4"/>
    <mergeCell ref="I4:K4"/>
    <mergeCell ref="R4:T4"/>
    <mergeCell ref="U4:W4"/>
    <mergeCell ref="X4:Z4"/>
    <mergeCell ref="K12:L12"/>
    <mergeCell ref="B25:H25"/>
    <mergeCell ref="Q4:Q5"/>
  </mergeCells>
  <conditionalFormatting sqref="K13:L13">
    <cfRule type="cellIs" dxfId="55" priority="1" operator="equal">
      <formula>"Escassez Hídrica"</formula>
    </cfRule>
    <cfRule type="cellIs" dxfId="54" priority="2" operator="equal">
      <formula>"VERDE"</formula>
    </cfRule>
    <cfRule type="cellIs" dxfId="53" priority="3" operator="equal">
      <formula>"BVM2"</formula>
    </cfRule>
    <cfRule type="cellIs" dxfId="52" priority="4" operator="equal">
      <formula>"BVM1"</formula>
    </cfRule>
    <cfRule type="cellIs" dxfId="51" priority="5" operator="equal">
      <formula>"BAM"</formula>
    </cfRule>
  </conditionalFormatting>
  <conditionalFormatting sqref="M3">
    <cfRule type="cellIs" dxfId="50" priority="16" operator="equal">
      <formula>"VERDE"</formula>
    </cfRule>
    <cfRule type="cellIs" dxfId="49" priority="17" operator="equal">
      <formula>"BVM2"</formula>
    </cfRule>
    <cfRule type="cellIs" dxfId="48" priority="18" operator="equal">
      <formula>"BVM1"</formula>
    </cfRule>
    <cfRule type="cellIs" dxfId="47" priority="19" operator="equal">
      <formula>"BAM"</formula>
    </cfRule>
  </conditionalFormatting>
  <conditionalFormatting sqref="M7">
    <cfRule type="containsText" dxfId="46" priority="11" operator="containsText" text="Escassez Hídrica">
      <formula>NOT(ISERROR(SEARCH("Escassez Hídrica",M7)))</formula>
    </cfRule>
    <cfRule type="cellIs" dxfId="45" priority="12" operator="equal">
      <formula>"VERDE"</formula>
    </cfRule>
    <cfRule type="cellIs" dxfId="44" priority="13" operator="equal">
      <formula>"BVM2"</formula>
    </cfRule>
    <cfRule type="cellIs" dxfId="43" priority="14" operator="equal">
      <formula>"BVM1"</formula>
    </cfRule>
    <cfRule type="cellIs" dxfId="42" priority="15" operator="equal">
      <formula>"BAM"</formula>
    </cfRule>
  </conditionalFormatting>
  <dataValidations count="1">
    <dataValidation type="list" allowBlank="1" showInputMessage="1" showErrorMessage="1" sqref="K13:L13" xr:uid="{368793F6-AD10-4CC6-BA94-D4032BB29A8F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216F-FF51-42ED-AF3B-D132061A7A76}">
  <sheetPr>
    <tabColor rgb="FFFFC000"/>
  </sheetPr>
  <dimension ref="A1:Z66"/>
  <sheetViews>
    <sheetView showGridLines="0" topLeftCell="A13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4" width="12.6640625" style="19" customWidth="1"/>
    <col min="15" max="15" width="12.109375" style="19" customWidth="1"/>
    <col min="16" max="16" width="13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F1" s="24"/>
      <c r="G1" s="1"/>
      <c r="H1" s="1"/>
      <c r="I1" s="1"/>
      <c r="J1" s="1"/>
      <c r="K1" s="1"/>
    </row>
    <row r="2" spans="1:26" ht="18" x14ac:dyDescent="0.3">
      <c r="B2" s="25" t="s">
        <v>96</v>
      </c>
      <c r="C2" s="26" t="s">
        <v>97</v>
      </c>
      <c r="E2" s="20" t="s">
        <v>28</v>
      </c>
      <c r="F2" s="21">
        <f>'[5]A2 Azul'!F2</f>
        <v>45145</v>
      </c>
      <c r="G2" s="1" t="s">
        <v>8</v>
      </c>
      <c r="I2" s="86" t="s">
        <v>98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[5]BANDEIRA!$D$4</f>
        <v>0</v>
      </c>
    </row>
    <row r="4" spans="1:26" ht="15" customHeight="1" x14ac:dyDescent="0.3">
      <c r="B4" s="413" t="s">
        <v>31</v>
      </c>
      <c r="C4" s="405" t="str">
        <f>'[5]A2 Azul'!C4:E4</f>
        <v>TARIFA ANTIGA - REH 3091/2022</v>
      </c>
      <c r="D4" s="406"/>
      <c r="E4" s="407"/>
      <c r="F4" s="405" t="str">
        <f>'[5]A2 Azul'!F4:H4</f>
        <v>TARIFA NOVA - REH 3241/2023</v>
      </c>
      <c r="G4" s="406"/>
      <c r="H4" s="407"/>
      <c r="I4" s="405" t="s">
        <v>32</v>
      </c>
      <c r="J4" s="406"/>
      <c r="K4" s="407"/>
      <c r="M4" s="9" t="s">
        <v>14</v>
      </c>
      <c r="N4" s="10">
        <f>[5]BANDEIRA!$D$5</f>
        <v>2.989E-2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3241/2023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99</v>
      </c>
      <c r="D5" s="28" t="s">
        <v>35</v>
      </c>
      <c r="E5" s="28" t="s">
        <v>100</v>
      </c>
      <c r="F5" s="28" t="s">
        <v>99</v>
      </c>
      <c r="G5" s="28" t="s">
        <v>35</v>
      </c>
      <c r="H5" s="28" t="s">
        <v>100</v>
      </c>
      <c r="I5" s="28" t="s">
        <v>99</v>
      </c>
      <c r="J5" s="28" t="s">
        <v>35</v>
      </c>
      <c r="K5" s="28" t="s">
        <v>100</v>
      </c>
      <c r="M5" s="11" t="s">
        <v>15</v>
      </c>
      <c r="N5" s="12">
        <f>[5]BANDEIRA!$D$6</f>
        <v>6.5000000000000002E-2</v>
      </c>
      <c r="Q5" s="414"/>
      <c r="R5" s="28" t="s">
        <v>99</v>
      </c>
      <c r="S5" s="28" t="s">
        <v>99</v>
      </c>
      <c r="T5"/>
      <c r="U5" s="28" t="s">
        <v>99</v>
      </c>
      <c r="V5" s="28" t="s">
        <v>99</v>
      </c>
      <c r="W5"/>
      <c r="X5" s="28" t="s">
        <v>99</v>
      </c>
      <c r="Y5" s="28" t="s">
        <v>99</v>
      </c>
      <c r="Z5"/>
    </row>
    <row r="6" spans="1:26" x14ac:dyDescent="0.3">
      <c r="B6" s="30" t="s">
        <v>101</v>
      </c>
      <c r="C6" s="31">
        <f>'[5]TABELA DE TARIFAS ANTIGAS'!E52</f>
        <v>30.44</v>
      </c>
      <c r="D6" s="31">
        <f>'[5]TABELA DE TARIFAS ANTIGAS'!F53/1000</f>
        <v>1.2400199999999999</v>
      </c>
      <c r="E6" s="31">
        <f>'[5]TABELA DE TARIFAS ANTIGAS'!G53/1000</f>
        <v>0.42260000000000003</v>
      </c>
      <c r="F6" s="31">
        <f>'[5]TABELA DE TARIFAS NOVAS'!E52</f>
        <v>31.53</v>
      </c>
      <c r="G6" s="31">
        <f>'[5]TABELA DE TARIFAS NOVAS'!F53/1000</f>
        <v>1.26783</v>
      </c>
      <c r="H6" s="31">
        <f>'[5]TABELA DE TARIFAS NOVAS'!G53/1000</f>
        <v>0.45802999999999999</v>
      </c>
      <c r="I6" s="31">
        <f>((C6*$C$17)+(F6*$D$17))/($D$17+$C$17)</f>
        <v>31.319032258064517</v>
      </c>
      <c r="J6" s="31">
        <f>((D6*$C$17)+(G6*$D$17))/($D$17+$C$17)</f>
        <v>1.2624474193548385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Verde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3">
      <c r="B7" s="30" t="s">
        <v>102</v>
      </c>
      <c r="C7" s="31"/>
      <c r="D7" s="31">
        <f>'[5]TABELA DE TARIFAS ANTIGAS'!F54/1000</f>
        <v>0.13433</v>
      </c>
      <c r="E7" s="31">
        <f>'[5]TABELA DE TARIFAS ANTIGAS'!G54/1000</f>
        <v>0.26380000000000003</v>
      </c>
      <c r="F7" s="31"/>
      <c r="G7" s="31">
        <f>'[5]TABELA DE TARIFAS NOVAS'!F54/1000</f>
        <v>0.12117</v>
      </c>
      <c r="H7" s="31">
        <f>'[5]TABELA DE TARIFAS NOVAS'!G54/1000</f>
        <v>0.29041</v>
      </c>
      <c r="I7" s="31"/>
      <c r="J7" s="31">
        <f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Verde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3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3">
      <c r="B9" s="94" t="s">
        <v>138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3">
      <c r="B10" s="94" t="s">
        <v>139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3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3">
      <c r="B12" s="118" t="s">
        <v>97</v>
      </c>
    </row>
    <row r="13" spans="1:26" x14ac:dyDescent="0.3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3">
      <c r="B14" s="38" t="s">
        <v>38</v>
      </c>
      <c r="C14" s="39">
        <v>1175387</v>
      </c>
      <c r="E14" s="1"/>
      <c r="F14" s="1"/>
      <c r="G14" s="1"/>
      <c r="H14" s="40">
        <f>E17</f>
        <v>45169</v>
      </c>
      <c r="K14" s="408" t="s">
        <v>26</v>
      </c>
      <c r="L14" s="408"/>
    </row>
    <row r="15" spans="1:26" x14ac:dyDescent="0.3">
      <c r="B15" s="41"/>
      <c r="H15" s="43"/>
      <c r="K15" s="7" t="s">
        <v>13</v>
      </c>
      <c r="L15" s="7" t="s">
        <v>13</v>
      </c>
    </row>
    <row r="16" spans="1:26" ht="27.6" x14ac:dyDescent="0.3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3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3">
      <c r="N18"/>
      <c r="O18"/>
      <c r="P18"/>
      <c r="Q18"/>
      <c r="R18"/>
    </row>
    <row r="19" spans="2:18" x14ac:dyDescent="0.3">
      <c r="B19" s="5" t="s">
        <v>55</v>
      </c>
      <c r="E19" s="26" t="s">
        <v>144</v>
      </c>
      <c r="F19" s="85">
        <v>0.88680000000000003</v>
      </c>
      <c r="G19" s="86" t="s">
        <v>145</v>
      </c>
      <c r="H19" s="85">
        <v>1</v>
      </c>
      <c r="N19"/>
      <c r="O19"/>
      <c r="P19"/>
      <c r="Q19"/>
      <c r="R19"/>
    </row>
    <row r="20" spans="2:18" x14ac:dyDescent="0.3">
      <c r="B20" s="5"/>
      <c r="E20" s="26" t="s">
        <v>146</v>
      </c>
      <c r="F20" s="85">
        <v>1</v>
      </c>
      <c r="G20" s="86" t="s">
        <v>147</v>
      </c>
      <c r="H20" s="85">
        <v>1</v>
      </c>
      <c r="N20"/>
      <c r="O20"/>
      <c r="P20"/>
      <c r="Q20"/>
      <c r="R20"/>
    </row>
    <row r="21" spans="2:18" x14ac:dyDescent="0.3">
      <c r="N21"/>
      <c r="O21"/>
      <c r="P21"/>
      <c r="Q21"/>
      <c r="R21"/>
    </row>
    <row r="22" spans="2:18" x14ac:dyDescent="0.3">
      <c r="B22" s="459" t="s">
        <v>103</v>
      </c>
      <c r="C22" s="460"/>
      <c r="D22" s="460"/>
      <c r="E22" s="460"/>
      <c r="F22" s="460"/>
      <c r="G22" s="460"/>
      <c r="H22" s="461"/>
      <c r="I22"/>
      <c r="J22" s="127" t="s">
        <v>104</v>
      </c>
      <c r="K22" s="1"/>
      <c r="L22" s="128"/>
      <c r="M22" s="1"/>
      <c r="N22" s="1"/>
      <c r="O22"/>
      <c r="P22"/>
      <c r="Q22"/>
      <c r="R22"/>
    </row>
    <row r="23" spans="2:18" x14ac:dyDescent="0.3">
      <c r="B23" s="129"/>
      <c r="C23" s="130"/>
      <c r="D23" s="131" t="s">
        <v>40</v>
      </c>
      <c r="E23" s="131" t="s">
        <v>10</v>
      </c>
      <c r="F23" s="130" t="s">
        <v>9</v>
      </c>
      <c r="G23" s="131" t="s">
        <v>34</v>
      </c>
      <c r="H23" s="132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3">
      <c r="B24" s="129"/>
      <c r="C24" s="130"/>
      <c r="D24" s="131"/>
      <c r="E24" s="131"/>
      <c r="F24" s="130"/>
      <c r="G24" s="131"/>
      <c r="H24" s="132"/>
      <c r="I24"/>
      <c r="J24" s="26" t="s">
        <v>105</v>
      </c>
      <c r="K24" s="26" t="s">
        <v>106</v>
      </c>
      <c r="L24" s="1"/>
      <c r="M24" s="1"/>
      <c r="N24" s="1"/>
      <c r="O24"/>
      <c r="P24"/>
      <c r="Q24"/>
      <c r="R24"/>
    </row>
    <row r="25" spans="2:18" x14ac:dyDescent="0.3">
      <c r="B25" s="129" t="s">
        <v>107</v>
      </c>
      <c r="C25" s="130"/>
      <c r="D25" s="133">
        <v>1290.8358000000001</v>
      </c>
      <c r="E25" s="134">
        <f>IF(AND($B$17&lt;$F$2,$E$17&lt;$F$2),D6,IF($B$17&lt;$F$2,J6,G6))</f>
        <v>1.2624474193548385</v>
      </c>
      <c r="F25" s="134">
        <f>IF(AND($B$17&lt;$F$2,$E$17&lt;$F$2),E6,IF($B$17&lt;$F$2,K6,H6))</f>
        <v>0.4511725806451613</v>
      </c>
      <c r="G25" s="134">
        <f>E25+F25</f>
        <v>1.7136199999999997</v>
      </c>
      <c r="H25" s="135">
        <f>ROUND((D25*E25),2)+ROUND((D25*F25),2)</f>
        <v>2212</v>
      </c>
      <c r="I25"/>
      <c r="J25" s="136">
        <f>IF(AND($B$17&lt;$F$2,$E$17&lt;$F$2),S6,IF($B$17&lt;$F$2,Y6,V6))</f>
        <v>0.87487999999999999</v>
      </c>
      <c r="K25" s="137">
        <f>D25*J25</f>
        <v>1129.3264247040001</v>
      </c>
      <c r="L25" s="138"/>
      <c r="M25" s="1"/>
      <c r="N25" s="1"/>
      <c r="O25" s="1"/>
      <c r="P25" s="1"/>
    </row>
    <row r="26" spans="2:18" x14ac:dyDescent="0.3">
      <c r="B26" s="129" t="s">
        <v>108</v>
      </c>
      <c r="C26" s="130"/>
      <c r="D26" s="133">
        <v>12358.3266</v>
      </c>
      <c r="E26" s="134">
        <f>IF(AND($B$17&lt;$F$2,$E$17&lt;$F$2),D7,IF($B$17&lt;$F$2,J7,G7))</f>
        <v>0.12371709677419356</v>
      </c>
      <c r="F26" s="134">
        <f>IF(AND($B$17&lt;$F$2,$E$17&lt;$F$2),E7,IF($B$17&lt;$F$2,K7,H7))</f>
        <v>0.28525967741935482</v>
      </c>
      <c r="G26" s="134">
        <f>E26+F26</f>
        <v>0.40897677419354839</v>
      </c>
      <c r="H26" s="135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3">
      <c r="B27" s="129"/>
      <c r="C27" s="130"/>
      <c r="D27" s="139"/>
      <c r="E27" s="130"/>
      <c r="F27" s="130"/>
      <c r="G27" s="130"/>
      <c r="H27" s="132"/>
      <c r="I27"/>
      <c r="J27" s="1"/>
      <c r="K27" s="1"/>
      <c r="L27" s="1"/>
      <c r="M27" s="1"/>
      <c r="N27" s="1"/>
      <c r="O27" s="1"/>
      <c r="P27" s="1"/>
    </row>
    <row r="28" spans="2:18" x14ac:dyDescent="0.3">
      <c r="B28" s="129" t="s">
        <v>109</v>
      </c>
      <c r="C28" s="130"/>
      <c r="D28" s="140">
        <f>IF($K$15=$M$4,((D25+D26)*(K17)/(K17+L17)),0)+IF($L$15=$M$4,((D25+D26)*(L17)/(K17+L17)),0)</f>
        <v>0</v>
      </c>
      <c r="E28" s="130"/>
      <c r="F28" s="141">
        <f>N4</f>
        <v>2.989E-2</v>
      </c>
      <c r="G28" s="130"/>
      <c r="H28" s="135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3">
      <c r="B29" s="129" t="s">
        <v>44</v>
      </c>
      <c r="C29" s="130"/>
      <c r="D29" s="140">
        <f>IF($K$15=$M$5,((D25+D26)*(K17)/(K17+L17)),0)+IF($L$15=$M$5,((D25+D26)*(L17)/(K17+L17)),0)</f>
        <v>0</v>
      </c>
      <c r="E29" s="130"/>
      <c r="F29" s="141">
        <f>N5</f>
        <v>6.5000000000000002E-2</v>
      </c>
      <c r="G29" s="130"/>
      <c r="H29" s="135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3">
      <c r="B30" s="129" t="s">
        <v>45</v>
      </c>
      <c r="C30" s="130"/>
      <c r="D30" s="140">
        <f>IF($K$15=$M$6,((D25+D26)*(K17)/(K17+L17)),0)+IF($L$15=$M$6,((D25+D26)*(L17)/(K17+L17)),0)</f>
        <v>0</v>
      </c>
      <c r="E30" s="130"/>
      <c r="F30" s="141">
        <f>N6</f>
        <v>9.7949999999999995E-2</v>
      </c>
      <c r="G30" s="130"/>
      <c r="H30" s="135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3">
      <c r="B31" s="129" t="s">
        <v>110</v>
      </c>
      <c r="C31" s="130"/>
      <c r="D31" s="140">
        <f>IF($K$15=$M$7,((D25+D26)*(K17)/(K17+L17)),0)+IF($L$15=$M$7,((D25+D26)*(L17)/(K17+L17)),0)</f>
        <v>0</v>
      </c>
      <c r="E31" s="130"/>
      <c r="F31" s="141">
        <f>N7</f>
        <v>0.14199999999999999</v>
      </c>
      <c r="G31" s="130"/>
      <c r="H31" s="135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3">
      <c r="B32" s="129"/>
      <c r="C32" s="130"/>
      <c r="D32" s="142"/>
      <c r="E32" s="130"/>
      <c r="F32" s="130"/>
      <c r="G32" s="130"/>
      <c r="H32" s="132"/>
      <c r="I32"/>
      <c r="K32" s="1"/>
      <c r="L32" s="1"/>
      <c r="M32" s="1"/>
      <c r="N32" s="1"/>
      <c r="O32" s="1"/>
      <c r="P32" s="1"/>
    </row>
    <row r="33" spans="2:16" x14ac:dyDescent="0.3">
      <c r="B33" s="129" t="s">
        <v>111</v>
      </c>
      <c r="C33" s="130"/>
      <c r="D33" s="121">
        <v>0</v>
      </c>
      <c r="E33" s="143">
        <f>-E25</f>
        <v>-1.2624474193548385</v>
      </c>
      <c r="F33" s="143">
        <f>-F25</f>
        <v>-0.4511725806451613</v>
      </c>
      <c r="G33" s="130"/>
      <c r="H33" s="135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3">
      <c r="B34" s="129" t="s">
        <v>112</v>
      </c>
      <c r="C34" s="130"/>
      <c r="D34" s="121">
        <v>-1422.72</v>
      </c>
      <c r="E34" s="143">
        <f>-E26</f>
        <v>-0.12371709677419356</v>
      </c>
      <c r="F34" s="143">
        <f>-F26</f>
        <v>-0.28525967741935482</v>
      </c>
      <c r="G34" s="130"/>
      <c r="H34" s="135">
        <f>ROUND(D34*(E34+F34),2)</f>
        <v>581.86</v>
      </c>
      <c r="I34"/>
      <c r="K34" s="1"/>
      <c r="L34" s="1"/>
      <c r="M34" s="1"/>
      <c r="N34" s="1"/>
      <c r="O34" s="1"/>
      <c r="P34" s="1"/>
    </row>
    <row r="35" spans="2:16" x14ac:dyDescent="0.3">
      <c r="B35" s="129"/>
      <c r="C35" s="130"/>
      <c r="D35" s="139"/>
      <c r="E35" s="130"/>
      <c r="F35" s="130"/>
      <c r="G35" s="130"/>
      <c r="H35" s="132"/>
      <c r="I35"/>
      <c r="K35" s="1"/>
      <c r="L35" s="1"/>
      <c r="M35" s="1"/>
      <c r="N35" s="1"/>
      <c r="O35" s="1"/>
      <c r="P35" s="1"/>
    </row>
    <row r="36" spans="2:16" x14ac:dyDescent="0.3">
      <c r="B36" s="129" t="s">
        <v>109</v>
      </c>
      <c r="C36" s="130"/>
      <c r="D36" s="140">
        <f>IF($K$15=$M$4,((D33+D34)*(K17)/(K17+L17)),0)+IF($L$15=$M$4,((D33+D34)*(L17)/(K17+L17)),0)</f>
        <v>0</v>
      </c>
      <c r="E36" s="130"/>
      <c r="F36" s="141">
        <f>-F28</f>
        <v>-2.989E-2</v>
      </c>
      <c r="G36" s="130"/>
      <c r="H36" s="135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3">
      <c r="B37" s="129" t="s">
        <v>44</v>
      </c>
      <c r="C37" s="130"/>
      <c r="D37" s="140">
        <f>IF($K$15=$M$5,((D33+D34)*(K17)/(K17+L17)),0)+IF($L$15=$M$5,((D33+D34)*(L17)/(K17+L17)),0)</f>
        <v>0</v>
      </c>
      <c r="E37" s="130"/>
      <c r="F37" s="141">
        <f t="shared" ref="F37:F39" si="0">-F29</f>
        <v>-6.5000000000000002E-2</v>
      </c>
      <c r="G37" s="130"/>
      <c r="H37" s="135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3">
      <c r="B38" s="129" t="s">
        <v>45</v>
      </c>
      <c r="C38" s="130"/>
      <c r="D38" s="140">
        <f>IF($K$15=$M$6,((D33+D34)*(K17)/(K17+L17)),0)+IF($L$15=$M$6,((D33+D34)*(L17)/(K17+L17)),0)</f>
        <v>0</v>
      </c>
      <c r="E38" s="130"/>
      <c r="F38" s="141">
        <f t="shared" si="0"/>
        <v>-9.7949999999999995E-2</v>
      </c>
      <c r="G38" s="130"/>
      <c r="H38" s="135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3">
      <c r="B39" s="129" t="s">
        <v>110</v>
      </c>
      <c r="C39" s="130"/>
      <c r="D39" s="140">
        <f>IF($K$15=$M$7,((D33+D34)*(K17)/(K17+L17)),0)+IF($L$15=$M$7,((D33+D34)*(L17)/(K17+L17)),0)</f>
        <v>0</v>
      </c>
      <c r="E39" s="130"/>
      <c r="F39" s="141">
        <f t="shared" si="0"/>
        <v>-0.14199999999999999</v>
      </c>
      <c r="G39" s="130"/>
      <c r="H39" s="135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3">
      <c r="B40" s="129"/>
      <c r="C40" s="130"/>
      <c r="D40" s="139"/>
      <c r="E40" s="130"/>
      <c r="F40" s="130"/>
      <c r="G40" s="130"/>
      <c r="H40" s="132"/>
      <c r="I40"/>
      <c r="J40" s="26" t="s">
        <v>105</v>
      </c>
      <c r="K40" s="26" t="s">
        <v>106</v>
      </c>
      <c r="L40" s="26" t="s">
        <v>113</v>
      </c>
      <c r="M40" s="1"/>
      <c r="N40" s="1"/>
      <c r="O40" s="1"/>
      <c r="P40" s="1"/>
    </row>
    <row r="41" spans="2:16" x14ac:dyDescent="0.3">
      <c r="B41" s="129" t="s">
        <v>114</v>
      </c>
      <c r="C41" s="130"/>
      <c r="D41" s="133">
        <v>100.86</v>
      </c>
      <c r="E41" s="134">
        <f>IF(AND($B$17&lt;$F$2,$E$17&lt;$F$2),C6,IF($B$17&lt;$F$2,I6,F6))</f>
        <v>31.319032258064517</v>
      </c>
      <c r="F41" s="130"/>
      <c r="G41" s="130"/>
      <c r="H41" s="135">
        <f>ROUND(D41*(E41+F41),2)</f>
        <v>3158.84</v>
      </c>
      <c r="I41"/>
      <c r="J41" s="136">
        <f>IF(AND($B$17&lt;$F$2,$E$17&lt;$F$2),R6,IF($B$17&lt;$F$2,X6,U6))</f>
        <v>24.450322580645164</v>
      </c>
      <c r="K41" s="137">
        <f>D41*J41</f>
        <v>2466.0595354838711</v>
      </c>
      <c r="L41" s="144">
        <f>K41+K44+K47</f>
        <v>2567.2838709677421</v>
      </c>
      <c r="M41" s="1"/>
      <c r="N41" s="1"/>
      <c r="O41" s="1"/>
      <c r="P41" s="1"/>
    </row>
    <row r="42" spans="2:16" x14ac:dyDescent="0.3">
      <c r="B42" s="129"/>
      <c r="C42"/>
      <c r="D42"/>
      <c r="E42"/>
      <c r="F42"/>
      <c r="G42"/>
      <c r="H42" s="135"/>
      <c r="I42"/>
      <c r="K42" s="1"/>
      <c r="L42" s="1"/>
      <c r="M42" s="1"/>
      <c r="N42" s="1"/>
      <c r="O42" s="1"/>
      <c r="P42" s="1"/>
    </row>
    <row r="43" spans="2:16" x14ac:dyDescent="0.3">
      <c r="B43" s="129"/>
      <c r="C43" s="130"/>
      <c r="D43" s="139"/>
      <c r="E43" s="130"/>
      <c r="F43" s="130"/>
      <c r="G43" s="130"/>
      <c r="H43" s="135"/>
      <c r="I43"/>
      <c r="K43" s="1"/>
      <c r="L43" s="1"/>
      <c r="M43" s="1"/>
      <c r="N43" s="1"/>
      <c r="O43" s="1"/>
      <c r="P43" s="1"/>
    </row>
    <row r="44" spans="2:16" x14ac:dyDescent="0.3">
      <c r="B44" s="129" t="s">
        <v>115</v>
      </c>
      <c r="C44" s="130"/>
      <c r="D44" s="133">
        <v>4.1399999999999997</v>
      </c>
      <c r="E44" s="134">
        <f>E41</f>
        <v>31.319032258064517</v>
      </c>
      <c r="F44" s="130"/>
      <c r="G44" s="130"/>
      <c r="H44" s="135">
        <f>ROUND(D44*(E44+F44),2)</f>
        <v>129.66</v>
      </c>
      <c r="I44"/>
      <c r="J44" s="145">
        <f>J41</f>
        <v>24.450322580645164</v>
      </c>
      <c r="K44" s="137">
        <f>D44*J44</f>
        <v>101.22433548387097</v>
      </c>
      <c r="L44" s="1"/>
      <c r="M44" s="1"/>
      <c r="N44" s="1"/>
      <c r="O44" s="1"/>
      <c r="P44" s="1"/>
    </row>
    <row r="45" spans="2:16" x14ac:dyDescent="0.3">
      <c r="B45" s="129"/>
      <c r="C45"/>
      <c r="D45"/>
      <c r="E45"/>
      <c r="F45"/>
      <c r="G45"/>
      <c r="H45" s="135"/>
      <c r="I45"/>
      <c r="K45" s="1"/>
      <c r="L45" s="1"/>
      <c r="M45" s="1"/>
      <c r="N45" s="1"/>
      <c r="O45" s="1"/>
      <c r="P45" s="1"/>
    </row>
    <row r="46" spans="2:16" x14ac:dyDescent="0.3">
      <c r="B46" s="129"/>
      <c r="C46" s="130"/>
      <c r="D46" s="139"/>
      <c r="E46" s="130"/>
      <c r="F46" s="130"/>
      <c r="G46" s="130"/>
      <c r="H46" s="135"/>
      <c r="I46"/>
      <c r="K46" s="1"/>
      <c r="L46" s="1"/>
      <c r="M46" s="1"/>
      <c r="N46" s="1"/>
      <c r="O46" s="1"/>
      <c r="P46" s="1"/>
    </row>
    <row r="47" spans="2:16" x14ac:dyDescent="0.3">
      <c r="B47" s="129" t="s">
        <v>116</v>
      </c>
      <c r="C47" s="130"/>
      <c r="D47" s="146">
        <v>0</v>
      </c>
      <c r="E47" s="147">
        <f>E41*2</f>
        <v>62.638064516129035</v>
      </c>
      <c r="F47" s="130"/>
      <c r="G47" s="130"/>
      <c r="H47" s="135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3">
      <c r="B48" s="129"/>
      <c r="C48"/>
      <c r="D48"/>
      <c r="E48"/>
      <c r="F48"/>
      <c r="G48"/>
      <c r="H48" s="135"/>
      <c r="I48"/>
      <c r="K48" s="1"/>
      <c r="L48" s="1"/>
      <c r="M48" s="1"/>
      <c r="N48" s="1"/>
      <c r="O48" s="1"/>
      <c r="P48" s="1"/>
    </row>
    <row r="49" spans="2:16" x14ac:dyDescent="0.3">
      <c r="B49" s="119" t="s">
        <v>140</v>
      </c>
      <c r="C49" s="120"/>
      <c r="D49" s="121">
        <f>-D33</f>
        <v>0</v>
      </c>
      <c r="E49" s="122">
        <f>E25</f>
        <v>1.2624474193548385</v>
      </c>
      <c r="F49" s="122">
        <f>IF(AND($B$17&lt;$F$2,$E$17&lt;$F$2),D9,IF($B$17&lt;$F$2,K9,H9))</f>
        <v>5.5406854838709677E-2</v>
      </c>
      <c r="G49" s="122">
        <f>E49+F49</f>
        <v>1.3178542741935482</v>
      </c>
      <c r="H49" s="124">
        <f>ROUND(D49*(E49+F49),2)</f>
        <v>0</v>
      </c>
      <c r="K49" s="1"/>
      <c r="L49" s="1"/>
      <c r="M49" s="1"/>
      <c r="N49" s="1"/>
      <c r="O49" s="1"/>
      <c r="P49" s="1"/>
    </row>
    <row r="50" spans="2:16" x14ac:dyDescent="0.3">
      <c r="B50" s="119" t="s">
        <v>141</v>
      </c>
      <c r="C50" s="120"/>
      <c r="D50" s="121">
        <f>-D34</f>
        <v>1422.72</v>
      </c>
      <c r="E50" s="122">
        <f>E26</f>
        <v>0.12371709677419356</v>
      </c>
      <c r="F50" s="122">
        <f>IF(AND($B$17&lt;$F$2,$E$17&lt;$F$2),D10,IF($B$17&lt;$F$2,K10,H10))</f>
        <v>3.513024193548387E-2</v>
      </c>
      <c r="G50" s="122">
        <f>E50+F50</f>
        <v>0.15884733870967743</v>
      </c>
      <c r="H50" s="124">
        <f>ROUND(D50*(E50+F50),2)</f>
        <v>226</v>
      </c>
      <c r="K50" s="1"/>
      <c r="L50" s="1"/>
      <c r="M50" s="1"/>
      <c r="N50" s="1"/>
      <c r="O50" s="1"/>
      <c r="P50" s="1"/>
    </row>
    <row r="51" spans="2:16" x14ac:dyDescent="0.3">
      <c r="B51" s="119"/>
      <c r="C51" s="120"/>
      <c r="D51" s="125"/>
      <c r="E51" s="120"/>
      <c r="F51" s="126"/>
      <c r="G51" s="126"/>
      <c r="H51" s="124"/>
      <c r="K51" s="1"/>
      <c r="L51" s="1"/>
      <c r="M51" s="1"/>
      <c r="N51" s="1"/>
      <c r="O51" s="1"/>
      <c r="P51" s="1"/>
    </row>
    <row r="52" spans="2:16" x14ac:dyDescent="0.3">
      <c r="B52" s="119" t="s">
        <v>142</v>
      </c>
      <c r="C52" s="120"/>
      <c r="D52" s="121">
        <f>-D49</f>
        <v>0</v>
      </c>
      <c r="E52" s="122">
        <f>E49*F19</f>
        <v>1.1195383714838709</v>
      </c>
      <c r="F52" s="123">
        <f>F49*H19</f>
        <v>5.5406854838709677E-2</v>
      </c>
      <c r="G52" s="122">
        <f>E52+F52</f>
        <v>1.1749452263225806</v>
      </c>
      <c r="H52" s="124">
        <f>ROUND(D52*(E52+F52),2)</f>
        <v>0</v>
      </c>
      <c r="K52" s="1"/>
      <c r="L52" s="1"/>
      <c r="M52" s="1"/>
      <c r="N52" s="1"/>
      <c r="O52" s="1"/>
      <c r="P52" s="1"/>
    </row>
    <row r="53" spans="2:16" x14ac:dyDescent="0.3">
      <c r="B53" s="119" t="s">
        <v>143</v>
      </c>
      <c r="C53" s="120"/>
      <c r="D53" s="121">
        <f>-D50</f>
        <v>-1422.72</v>
      </c>
      <c r="E53" s="122">
        <f>E50*F20</f>
        <v>0.12371709677419356</v>
      </c>
      <c r="F53" s="123">
        <f>F50*H20</f>
        <v>3.513024193548387E-2</v>
      </c>
      <c r="G53" s="122">
        <f>E53+F53</f>
        <v>0.15884733870967743</v>
      </c>
      <c r="H53" s="124">
        <f>ROUND(D53*(E53+F53),2)</f>
        <v>-226</v>
      </c>
      <c r="K53" s="1"/>
      <c r="L53" s="1"/>
      <c r="M53" s="1"/>
      <c r="N53" s="1"/>
      <c r="O53" s="1"/>
      <c r="P53" s="1"/>
    </row>
    <row r="54" spans="2:16" x14ac:dyDescent="0.3">
      <c r="B54" s="129"/>
      <c r="C54" s="130"/>
      <c r="D54" s="146"/>
      <c r="E54" s="147"/>
      <c r="F54" s="130"/>
      <c r="G54" s="130"/>
      <c r="H54" s="135"/>
      <c r="K54" s="1"/>
      <c r="L54" s="1"/>
      <c r="M54" s="1"/>
      <c r="N54" s="1"/>
      <c r="O54" s="1"/>
      <c r="P54" s="1"/>
    </row>
    <row r="55" spans="2:16" x14ac:dyDescent="0.3">
      <c r="B55" s="129" t="s">
        <v>117</v>
      </c>
      <c r="C55" s="130"/>
      <c r="D55" s="133">
        <v>27.675000000000001</v>
      </c>
      <c r="E55" s="134"/>
      <c r="F55" s="134">
        <f>IF(AND($B$17&lt;$F$2,$E$17&lt;$F$2),E8,IF($B$17&lt;$F$2,K8,H8))</f>
        <v>0.30007032258064514</v>
      </c>
      <c r="G55" s="130"/>
      <c r="H55" s="135">
        <f>ROUND(D55*(E55+F55),2)</f>
        <v>8.3000000000000007</v>
      </c>
      <c r="J55" s="1"/>
      <c r="K55" s="1"/>
      <c r="L55" s="1"/>
      <c r="M55" s="1"/>
      <c r="N55" s="1"/>
      <c r="O55" s="1"/>
      <c r="P55" s="1"/>
    </row>
    <row r="56" spans="2:16" x14ac:dyDescent="0.3">
      <c r="B56" s="148" t="s">
        <v>118</v>
      </c>
      <c r="C56" s="149"/>
      <c r="D56" s="133">
        <v>0</v>
      </c>
      <c r="E56" s="150">
        <f>E42</f>
        <v>0</v>
      </c>
      <c r="F56" s="149"/>
      <c r="G56" s="149"/>
      <c r="H56" s="151">
        <f>ROUND(D56*(E56+F56),2)</f>
        <v>0</v>
      </c>
      <c r="K56" s="1"/>
      <c r="L56" s="97"/>
      <c r="M56" s="1"/>
      <c r="N56" s="1"/>
      <c r="O56" s="1"/>
      <c r="P56" s="1"/>
    </row>
    <row r="57" spans="2:16" x14ac:dyDescent="0.3">
      <c r="B57" s="152"/>
      <c r="C57" s="153"/>
      <c r="D57" s="153"/>
      <c r="E57" s="153"/>
      <c r="F57" s="153"/>
      <c r="G57" s="154"/>
      <c r="H57" s="155"/>
      <c r="K57" s="1"/>
      <c r="L57" s="1"/>
      <c r="M57" s="1"/>
      <c r="N57" s="1"/>
      <c r="O57" s="1"/>
      <c r="P57" s="1"/>
    </row>
    <row r="58" spans="2:16" x14ac:dyDescent="0.3">
      <c r="B58" s="129"/>
      <c r="C58" s="130"/>
      <c r="D58" s="156" t="s">
        <v>48</v>
      </c>
      <c r="E58" s="157"/>
      <c r="F58" s="157"/>
      <c r="G58" s="130"/>
      <c r="H58" s="158"/>
      <c r="J58" s="67"/>
      <c r="K58" s="1"/>
      <c r="L58" s="1"/>
      <c r="M58" s="1"/>
      <c r="N58" s="1"/>
      <c r="O58" s="1"/>
      <c r="P58" s="1"/>
    </row>
    <row r="59" spans="2:16" x14ac:dyDescent="0.3">
      <c r="B59" s="129" t="s">
        <v>49</v>
      </c>
      <c r="C59" s="130"/>
      <c r="D59" s="159">
        <f>(SUM(H25:H31)+H41+H47+H55+H56)/(1-E59-E62)</f>
        <v>10922.749162479062</v>
      </c>
      <c r="E59" s="160">
        <v>8.0000000000000002E-3</v>
      </c>
      <c r="F59" s="130"/>
      <c r="G59" s="130"/>
      <c r="H59" s="135">
        <f>D59*E59</f>
        <v>87.381993299832502</v>
      </c>
      <c r="K59" s="1"/>
      <c r="L59" s="1"/>
      <c r="M59" s="1"/>
      <c r="N59" s="1"/>
      <c r="O59" s="1"/>
      <c r="P59" s="1"/>
    </row>
    <row r="60" spans="2:16" x14ac:dyDescent="0.3">
      <c r="B60" s="129" t="s">
        <v>119</v>
      </c>
      <c r="C60" s="130"/>
      <c r="D60" s="159">
        <f>(SUM(H33:H39,H49:H53))/(1-E59-E62)</f>
        <v>609.14991624790616</v>
      </c>
      <c r="E60" s="161">
        <f>E59</f>
        <v>8.0000000000000002E-3</v>
      </c>
      <c r="F60" s="130"/>
      <c r="G60" s="130"/>
      <c r="H60" s="135">
        <f t="shared" ref="H60:H64" si="1">D60*E60</f>
        <v>4.8731993299832492</v>
      </c>
      <c r="K60" s="1"/>
      <c r="L60" s="1"/>
      <c r="M60" s="1"/>
      <c r="N60" s="1"/>
      <c r="O60" s="1"/>
      <c r="P60" s="1"/>
    </row>
    <row r="61" spans="2:16" x14ac:dyDescent="0.3">
      <c r="B61" s="129" t="s">
        <v>120</v>
      </c>
      <c r="C61" s="130"/>
      <c r="D61" s="159">
        <f>(H44)/(1-E61-E64)</f>
        <v>135.74120603015075</v>
      </c>
      <c r="E61" s="161">
        <f>E59</f>
        <v>8.0000000000000002E-3</v>
      </c>
      <c r="F61" s="130"/>
      <c r="G61" s="130"/>
      <c r="H61" s="135">
        <f t="shared" si="1"/>
        <v>1.085929648241206</v>
      </c>
      <c r="K61" s="1"/>
      <c r="L61" s="1"/>
      <c r="M61" s="1"/>
      <c r="N61" s="1"/>
      <c r="O61" s="1"/>
      <c r="P61" s="1"/>
    </row>
    <row r="62" spans="2:16" x14ac:dyDescent="0.3">
      <c r="B62" s="129" t="s">
        <v>51</v>
      </c>
      <c r="C62" s="130"/>
      <c r="D62" s="159">
        <f>D59</f>
        <v>10922.749162479062</v>
      </c>
      <c r="E62" s="160">
        <v>3.6799999999999999E-2</v>
      </c>
      <c r="F62" s="130"/>
      <c r="G62" s="130"/>
      <c r="H62" s="135">
        <f t="shared" si="1"/>
        <v>401.95716917922948</v>
      </c>
      <c r="K62" s="1"/>
      <c r="L62" s="1"/>
      <c r="M62" s="1"/>
      <c r="N62" s="1"/>
      <c r="O62" s="1"/>
      <c r="P62" s="1"/>
    </row>
    <row r="63" spans="2:16" x14ac:dyDescent="0.3">
      <c r="B63" s="129" t="s">
        <v>121</v>
      </c>
      <c r="C63" s="130"/>
      <c r="D63" s="159">
        <f>D60</f>
        <v>609.14991624790616</v>
      </c>
      <c r="E63" s="161">
        <f>E62</f>
        <v>3.6799999999999999E-2</v>
      </c>
      <c r="F63" s="130"/>
      <c r="G63" s="130"/>
      <c r="H63" s="135">
        <f t="shared" si="1"/>
        <v>22.416716917922948</v>
      </c>
      <c r="K63" s="1"/>
      <c r="L63" s="1"/>
      <c r="M63" s="1"/>
      <c r="N63" s="1"/>
      <c r="O63" s="1"/>
      <c r="P63" s="1"/>
    </row>
    <row r="64" spans="2:16" x14ac:dyDescent="0.3">
      <c r="B64" s="129" t="s">
        <v>122</v>
      </c>
      <c r="C64" s="130"/>
      <c r="D64" s="159">
        <f>D61</f>
        <v>135.74120603015075</v>
      </c>
      <c r="E64" s="161">
        <f>E62</f>
        <v>3.6799999999999999E-2</v>
      </c>
      <c r="F64" s="130"/>
      <c r="G64" s="130"/>
      <c r="H64" s="135">
        <f t="shared" si="1"/>
        <v>4.9952763819095471</v>
      </c>
      <c r="K64" s="1"/>
      <c r="L64" s="1"/>
      <c r="M64" s="1"/>
      <c r="N64" s="1"/>
      <c r="O64" s="1"/>
      <c r="P64" s="1"/>
    </row>
    <row r="65" spans="2:16" x14ac:dyDescent="0.3">
      <c r="B65" s="148" t="s">
        <v>11</v>
      </c>
      <c r="C65" s="149"/>
      <c r="D65" s="162">
        <f>D59/(1-E65)</f>
        <v>13159.938749974774</v>
      </c>
      <c r="E65" s="163">
        <v>0.17</v>
      </c>
      <c r="F65" s="149"/>
      <c r="G65" s="149"/>
      <c r="H65" s="151">
        <f>D65*E65</f>
        <v>2237.1895874957117</v>
      </c>
      <c r="K65" s="1"/>
      <c r="L65" s="1"/>
      <c r="M65" s="1"/>
      <c r="N65" s="1"/>
      <c r="O65" s="1"/>
      <c r="P65" s="1"/>
    </row>
    <row r="66" spans="2:16" x14ac:dyDescent="0.3">
      <c r="B66" s="148" t="s">
        <v>123</v>
      </c>
      <c r="C66" s="149"/>
      <c r="D66" s="162">
        <f>((D33*F33)+(D34*F34)+SUM(H36:H39)+(D49*F49)+(D50*F50)+(D52*F52)+(D53*F53))/(1-E60-E63)/(1-E66)</f>
        <v>511.90269653748726</v>
      </c>
      <c r="E66" s="163">
        <f>E65</f>
        <v>0.17</v>
      </c>
      <c r="F66" s="149"/>
      <c r="G66" s="149"/>
      <c r="H66" s="151">
        <f>D66*E66</f>
        <v>87.023458411372843</v>
      </c>
      <c r="K66" s="1"/>
      <c r="L66" s="1"/>
      <c r="M66" s="1"/>
      <c r="N66" s="1"/>
      <c r="O66" s="1"/>
      <c r="P66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41" priority="1" operator="equal">
      <formula>"Escassez Hídrica"</formula>
    </cfRule>
    <cfRule type="cellIs" dxfId="40" priority="2" operator="equal">
      <formula>"VERDE"</formula>
    </cfRule>
    <cfRule type="cellIs" dxfId="39" priority="3" operator="equal">
      <formula>"BVM2"</formula>
    </cfRule>
    <cfRule type="cellIs" dxfId="38" priority="4" operator="equal">
      <formula>"BVM1"</formula>
    </cfRule>
    <cfRule type="cellIs" dxfId="37" priority="5" operator="equal">
      <formula>"BAM"</formula>
    </cfRule>
  </conditionalFormatting>
  <conditionalFormatting sqref="M3">
    <cfRule type="cellIs" dxfId="36" priority="16" operator="equal">
      <formula>"VERDE"</formula>
    </cfRule>
    <cfRule type="cellIs" dxfId="35" priority="17" operator="equal">
      <formula>"BVM2"</formula>
    </cfRule>
    <cfRule type="cellIs" dxfId="34" priority="18" operator="equal">
      <formula>"BVM1"</formula>
    </cfRule>
    <cfRule type="cellIs" dxfId="33" priority="19" operator="equal">
      <formula>"BAM"</formula>
    </cfRule>
  </conditionalFormatting>
  <conditionalFormatting sqref="M7">
    <cfRule type="containsText" dxfId="32" priority="11" operator="containsText" text="Escassez Hídrica">
      <formula>NOT(ISERROR(SEARCH("Escassez Hídrica",M7)))</formula>
    </cfRule>
    <cfRule type="cellIs" dxfId="31" priority="12" operator="equal">
      <formula>"VERDE"</formula>
    </cfRule>
    <cfRule type="cellIs" dxfId="30" priority="13" operator="equal">
      <formula>"BVM2"</formula>
    </cfRule>
    <cfRule type="cellIs" dxfId="29" priority="14" operator="equal">
      <formula>"BVM1"</formula>
    </cfRule>
    <cfRule type="cellIs" dxfId="28" priority="15" operator="equal">
      <formula>"BAM"</formula>
    </cfRule>
  </conditionalFormatting>
  <dataValidations disablePrompts="1" count="1">
    <dataValidation type="list" allowBlank="1" showInputMessage="1" showErrorMessage="1" sqref="K15:L15" xr:uid="{BB82347B-9541-4372-8067-627CB46C04AB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D3BB-82FD-4D20-9815-64F6B506A3E5}">
  <sheetPr>
    <tabColor rgb="FFFFC000"/>
  </sheetPr>
  <dimension ref="A1:Z67"/>
  <sheetViews>
    <sheetView showGridLines="0" topLeftCell="A35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4" width="12.6640625" style="19" customWidth="1"/>
    <col min="15" max="15" width="12.109375" style="19" customWidth="1"/>
    <col min="16" max="16" width="13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F1" s="24"/>
      <c r="G1" s="1"/>
      <c r="H1" s="1"/>
      <c r="I1" s="1"/>
      <c r="J1" s="1"/>
      <c r="K1" s="1"/>
    </row>
    <row r="2" spans="1:26" ht="18" x14ac:dyDescent="0.3">
      <c r="B2" s="25" t="s">
        <v>124</v>
      </c>
      <c r="C2" s="26" t="s">
        <v>97</v>
      </c>
      <c r="E2" s="20" t="s">
        <v>28</v>
      </c>
      <c r="F2" s="21">
        <f>'[5]A2 Azul'!F2</f>
        <v>45145</v>
      </c>
      <c r="G2" s="1" t="s">
        <v>8</v>
      </c>
      <c r="I2" s="86" t="s">
        <v>98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[5]BANDEIRA!$D$4</f>
        <v>0</v>
      </c>
    </row>
    <row r="4" spans="1:26" ht="15" customHeight="1" x14ac:dyDescent="0.3">
      <c r="B4" s="413" t="s">
        <v>31</v>
      </c>
      <c r="C4" s="405" t="str">
        <f>'[5]A2 Azul'!C4:E4</f>
        <v>TARIFA ANTIGA - REH 3091/2022</v>
      </c>
      <c r="D4" s="406"/>
      <c r="E4" s="407"/>
      <c r="F4" s="405" t="str">
        <f>'[5]A2 Azul'!F4:H4</f>
        <v>TARIFA NOVA - REH 3241/2023</v>
      </c>
      <c r="G4" s="406"/>
      <c r="H4" s="407"/>
      <c r="I4" s="405" t="s">
        <v>32</v>
      </c>
      <c r="J4" s="406"/>
      <c r="K4" s="407"/>
      <c r="M4" s="9" t="s">
        <v>14</v>
      </c>
      <c r="N4" s="10">
        <f>[5]BANDEIRA!$D$5</f>
        <v>2.989E-2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3241/2023</v>
      </c>
      <c r="V4" s="406"/>
      <c r="W4" s="407"/>
      <c r="X4" s="405" t="s">
        <v>32</v>
      </c>
      <c r="Y4" s="406"/>
      <c r="Z4" s="407"/>
    </row>
    <row r="5" spans="1:26" x14ac:dyDescent="0.3">
      <c r="B5" s="414"/>
      <c r="C5" s="28" t="s">
        <v>99</v>
      </c>
      <c r="D5" s="28" t="s">
        <v>35</v>
      </c>
      <c r="E5" s="28" t="s">
        <v>100</v>
      </c>
      <c r="F5" s="28" t="s">
        <v>99</v>
      </c>
      <c r="G5" s="28" t="s">
        <v>35</v>
      </c>
      <c r="H5" s="28" t="s">
        <v>100</v>
      </c>
      <c r="I5" s="28" t="s">
        <v>99</v>
      </c>
      <c r="J5" s="28" t="s">
        <v>35</v>
      </c>
      <c r="K5" s="28" t="s">
        <v>100</v>
      </c>
      <c r="M5" s="11" t="s">
        <v>15</v>
      </c>
      <c r="N5" s="12">
        <f>[5]BANDEIRA!$D$6</f>
        <v>6.5000000000000002E-2</v>
      </c>
      <c r="Q5" s="414"/>
      <c r="R5" s="28" t="s">
        <v>99</v>
      </c>
      <c r="S5" s="28" t="s">
        <v>99</v>
      </c>
      <c r="T5"/>
      <c r="U5" s="28" t="s">
        <v>99</v>
      </c>
      <c r="V5" s="28" t="s">
        <v>99</v>
      </c>
      <c r="W5"/>
      <c r="X5" s="28" t="s">
        <v>99</v>
      </c>
      <c r="Y5" s="28" t="s">
        <v>99</v>
      </c>
      <c r="Z5"/>
    </row>
    <row r="6" spans="1:26" x14ac:dyDescent="0.3">
      <c r="B6" s="30" t="s">
        <v>125</v>
      </c>
      <c r="C6" s="31">
        <f>'[5]A4 Azul'!C6</f>
        <v>45.59</v>
      </c>
      <c r="D6" s="31">
        <f>'[5]A4 Azul'!D6</f>
        <v>0.13433</v>
      </c>
      <c r="E6" s="31">
        <f>'[5]A4 Azul'!E6</f>
        <v>0.42260000000000003</v>
      </c>
      <c r="F6" s="31">
        <f>'[5]A4 Azul'!F6</f>
        <v>47.23</v>
      </c>
      <c r="G6" s="31">
        <f>'[5]A4 Azul'!G6</f>
        <v>0.12117</v>
      </c>
      <c r="H6" s="31">
        <f>'[5]A4 Azul'!H6</f>
        <v>0.45802999999999999</v>
      </c>
      <c r="I6" s="31">
        <f>((C6*$C$17)+(F6*$D$17))/($D$17+$C$17)</f>
        <v>46.912580645161292</v>
      </c>
      <c r="J6" s="31">
        <f>((D6*$C$17)+(G6*$D$17))/($D$17+$C$17)</f>
        <v>0.12371709677419356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Azul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3">
      <c r="B7" s="30" t="s">
        <v>126</v>
      </c>
      <c r="C7" s="31">
        <f>'[5]A4 Azul'!C7</f>
        <v>30.44</v>
      </c>
      <c r="D7" s="31">
        <f>'[5]A4 Azul'!D7</f>
        <v>0.13433</v>
      </c>
      <c r="E7" s="31">
        <f>'[5]A4 Azul'!E7</f>
        <v>0.26380000000000003</v>
      </c>
      <c r="F7" s="31">
        <f>'[5]A4 Azul'!F7</f>
        <v>31.53</v>
      </c>
      <c r="G7" s="31">
        <f>'[5]A4 Azul'!G7</f>
        <v>0.12117</v>
      </c>
      <c r="H7" s="31">
        <f>'[5]A4 Azul'!H7</f>
        <v>0.29041</v>
      </c>
      <c r="I7" s="31">
        <f>((C7*$C$17)+(F7*$D$17))/($D$17+$C$17)</f>
        <v>31.319032258064517</v>
      </c>
      <c r="J7" s="31">
        <f t="shared" ref="J7" si="0"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Azul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3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3">
      <c r="B9" s="94" t="s">
        <v>138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3">
      <c r="B10" s="94" t="s">
        <v>139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3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3">
      <c r="B12" s="118" t="s">
        <v>97</v>
      </c>
    </row>
    <row r="13" spans="1:26" x14ac:dyDescent="0.3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3">
      <c r="B14" s="38" t="s">
        <v>38</v>
      </c>
      <c r="C14" s="39"/>
      <c r="E14" s="1"/>
      <c r="F14" s="1"/>
      <c r="G14" s="1"/>
      <c r="H14" s="40">
        <f>E17</f>
        <v>45169</v>
      </c>
      <c r="K14" s="408" t="s">
        <v>26</v>
      </c>
      <c r="L14" s="408"/>
    </row>
    <row r="15" spans="1:26" x14ac:dyDescent="0.3">
      <c r="B15" s="41"/>
      <c r="H15" s="43"/>
      <c r="K15" s="7" t="s">
        <v>13</v>
      </c>
      <c r="L15" s="7" t="s">
        <v>13</v>
      </c>
    </row>
    <row r="16" spans="1:26" ht="27.6" x14ac:dyDescent="0.3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3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3">
      <c r="N18"/>
      <c r="O18"/>
      <c r="P18"/>
      <c r="Q18"/>
      <c r="R18"/>
    </row>
    <row r="19" spans="2:18" x14ac:dyDescent="0.3">
      <c r="B19" s="5" t="s">
        <v>55</v>
      </c>
      <c r="E19" s="26" t="s">
        <v>144</v>
      </c>
      <c r="F19" s="85">
        <v>1</v>
      </c>
      <c r="G19" s="86" t="s">
        <v>145</v>
      </c>
      <c r="H19" s="85">
        <v>1</v>
      </c>
      <c r="N19"/>
      <c r="O19"/>
      <c r="P19"/>
      <c r="Q19"/>
      <c r="R19"/>
    </row>
    <row r="20" spans="2:18" x14ac:dyDescent="0.3">
      <c r="B20" s="5"/>
      <c r="E20" s="26" t="s">
        <v>146</v>
      </c>
      <c r="F20" s="85">
        <v>1</v>
      </c>
      <c r="G20" s="86" t="s">
        <v>147</v>
      </c>
      <c r="H20" s="85">
        <v>1</v>
      </c>
      <c r="N20"/>
      <c r="O20"/>
      <c r="P20"/>
      <c r="Q20"/>
      <c r="R20"/>
    </row>
    <row r="21" spans="2:18" x14ac:dyDescent="0.3">
      <c r="N21"/>
      <c r="O21"/>
      <c r="P21"/>
      <c r="Q21"/>
      <c r="R21"/>
    </row>
    <row r="22" spans="2:18" x14ac:dyDescent="0.3">
      <c r="B22" s="459" t="s">
        <v>127</v>
      </c>
      <c r="C22" s="460"/>
      <c r="D22" s="460"/>
      <c r="E22" s="460"/>
      <c r="F22" s="460"/>
      <c r="G22" s="460"/>
      <c r="H22" s="461"/>
      <c r="I22"/>
      <c r="J22" s="127" t="s">
        <v>104</v>
      </c>
      <c r="K22" s="1"/>
      <c r="L22" s="128"/>
      <c r="M22" s="1"/>
      <c r="N22" s="1"/>
      <c r="O22"/>
      <c r="P22"/>
      <c r="Q22"/>
      <c r="R22"/>
    </row>
    <row r="23" spans="2:18" x14ac:dyDescent="0.3">
      <c r="B23" s="129"/>
      <c r="C23" s="130"/>
      <c r="D23" s="131" t="s">
        <v>40</v>
      </c>
      <c r="E23" s="131" t="s">
        <v>10</v>
      </c>
      <c r="F23" s="130" t="s">
        <v>9</v>
      </c>
      <c r="G23" s="131" t="s">
        <v>34</v>
      </c>
      <c r="H23" s="132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3">
      <c r="B24" s="129"/>
      <c r="C24" s="130"/>
      <c r="D24" s="131"/>
      <c r="E24" s="131"/>
      <c r="F24" s="130"/>
      <c r="G24" s="131"/>
      <c r="H24" s="132"/>
      <c r="I24"/>
      <c r="J24" s="26" t="s">
        <v>105</v>
      </c>
      <c r="K24" s="26" t="s">
        <v>106</v>
      </c>
      <c r="L24" s="1"/>
      <c r="M24" s="1"/>
      <c r="N24" s="1"/>
      <c r="O24"/>
      <c r="P24"/>
      <c r="Q24"/>
      <c r="R24"/>
    </row>
    <row r="25" spans="2:18" x14ac:dyDescent="0.3">
      <c r="B25" s="129" t="s">
        <v>107</v>
      </c>
      <c r="C25" s="130"/>
      <c r="D25" s="133">
        <v>1290.8358000000001</v>
      </c>
      <c r="E25" s="134">
        <f>IF(AND($B$17&lt;$F$2,$E$17&lt;$F$2),D6,IF($B$17&lt;$F$2,J6,G6))</f>
        <v>0.12371709677419356</v>
      </c>
      <c r="F25" s="134">
        <f>IF(AND($B$17&lt;$F$2,$E$17&lt;$F$2),E6,IF($B$17&lt;$F$2,K6,H6))</f>
        <v>0.4511725806451613</v>
      </c>
      <c r="G25" s="134">
        <f>E25+F25</f>
        <v>0.57488967741935482</v>
      </c>
      <c r="H25" s="135">
        <f>ROUND((D25*E25),2)+ROUND((D25*F25),2)</f>
        <v>742.08999999999992</v>
      </c>
      <c r="I25"/>
      <c r="J25" s="136">
        <f>IF(AND($B$17&lt;$F$2,$E$17&lt;$F$2),S6,IF($B$17&lt;$F$2,Y6,V6))</f>
        <v>0.87487999999999999</v>
      </c>
      <c r="K25" s="137">
        <f>D25*J25</f>
        <v>1129.3264247040001</v>
      </c>
      <c r="L25" s="138"/>
      <c r="M25" s="1"/>
      <c r="N25" s="1"/>
      <c r="O25" s="1"/>
      <c r="P25" s="1"/>
    </row>
    <row r="26" spans="2:18" x14ac:dyDescent="0.3">
      <c r="B26" s="129" t="s">
        <v>108</v>
      </c>
      <c r="C26" s="130"/>
      <c r="D26" s="133">
        <v>12358.3266</v>
      </c>
      <c r="E26" s="134">
        <f>IF(AND($B$17&lt;$F$2,$E$17&lt;$F$2),D7,IF($B$17&lt;$F$2,J7,G7))</f>
        <v>0.12371709677419356</v>
      </c>
      <c r="F26" s="134">
        <f>IF(AND($B$17&lt;$F$2,$E$17&lt;$F$2),E7,IF($B$17&lt;$F$2,K7,H7))</f>
        <v>0.28525967741935482</v>
      </c>
      <c r="G26" s="134">
        <f>E26+F26</f>
        <v>0.40897677419354839</v>
      </c>
      <c r="H26" s="135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3">
      <c r="B27" s="129"/>
      <c r="C27" s="130"/>
      <c r="D27" s="139"/>
      <c r="E27" s="130"/>
      <c r="F27" s="130"/>
      <c r="G27" s="130"/>
      <c r="H27" s="132"/>
      <c r="I27"/>
      <c r="J27" s="1"/>
      <c r="K27" s="1"/>
      <c r="L27" s="1"/>
      <c r="M27" s="1"/>
      <c r="N27" s="1"/>
      <c r="O27" s="1"/>
      <c r="P27" s="1"/>
    </row>
    <row r="28" spans="2:18" x14ac:dyDescent="0.3">
      <c r="B28" s="129" t="s">
        <v>109</v>
      </c>
      <c r="C28" s="130"/>
      <c r="D28" s="140">
        <f>IF($K$15=$M$4,((D25+D26)*(K17)/(K17+L17)),0)+IF($L$15=$M$4,((D25+D26)*(L17)/(K17+L17)),0)</f>
        <v>0</v>
      </c>
      <c r="E28" s="130"/>
      <c r="F28" s="141">
        <f>N4</f>
        <v>2.989E-2</v>
      </c>
      <c r="G28" s="130"/>
      <c r="H28" s="135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3">
      <c r="B29" s="129" t="s">
        <v>44</v>
      </c>
      <c r="C29" s="130"/>
      <c r="D29" s="140">
        <f>IF($K$15=$M$5,((D25+D26)*(K17)/(K17+L17)),0)+IF($L$15=$M$5,((D25+D26)*(L17)/(K17+L17)),0)</f>
        <v>0</v>
      </c>
      <c r="E29" s="130"/>
      <c r="F29" s="141">
        <f>N5</f>
        <v>6.5000000000000002E-2</v>
      </c>
      <c r="G29" s="130"/>
      <c r="H29" s="135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3">
      <c r="B30" s="129" t="s">
        <v>45</v>
      </c>
      <c r="C30" s="130"/>
      <c r="D30" s="140">
        <f>IF($K$15=$M$6,((D25+D26)*(K17)/(K17+L17)),0)+IF($L$15=$M$6,((D25+D26)*(L17)/(K17+L17)),0)</f>
        <v>0</v>
      </c>
      <c r="E30" s="130"/>
      <c r="F30" s="141">
        <f>N6</f>
        <v>9.7949999999999995E-2</v>
      </c>
      <c r="G30" s="130"/>
      <c r="H30" s="135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3">
      <c r="B31" s="129" t="s">
        <v>110</v>
      </c>
      <c r="C31" s="130"/>
      <c r="D31" s="140">
        <f>IF($K$15=$M$7,((D25+D26)*(K17)/(K17+L17)),0)+IF($L$15=$M$7,((D25+D26)*(L17)/(K17+L17)),0)</f>
        <v>0</v>
      </c>
      <c r="E31" s="130"/>
      <c r="F31" s="141">
        <f>N7</f>
        <v>0.14199999999999999</v>
      </c>
      <c r="G31" s="130"/>
      <c r="H31" s="135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3">
      <c r="B32" s="129"/>
      <c r="C32" s="130"/>
      <c r="D32" s="142"/>
      <c r="E32" s="130"/>
      <c r="F32" s="130"/>
      <c r="G32" s="130"/>
      <c r="H32" s="132"/>
      <c r="I32"/>
      <c r="K32" s="1"/>
      <c r="L32" s="1"/>
      <c r="M32" s="1"/>
      <c r="N32" s="1"/>
      <c r="O32" s="1"/>
      <c r="P32" s="1"/>
    </row>
    <row r="33" spans="2:16" x14ac:dyDescent="0.3">
      <c r="B33" s="129" t="s">
        <v>111</v>
      </c>
      <c r="C33" s="130"/>
      <c r="D33" s="133">
        <v>0</v>
      </c>
      <c r="E33" s="143">
        <f>-E25</f>
        <v>-0.12371709677419356</v>
      </c>
      <c r="F33" s="143">
        <f>-F25</f>
        <v>-0.4511725806451613</v>
      </c>
      <c r="G33" s="130"/>
      <c r="H33" s="135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3">
      <c r="B34" s="129" t="s">
        <v>112</v>
      </c>
      <c r="C34" s="130"/>
      <c r="D34" s="133">
        <v>1422.72</v>
      </c>
      <c r="E34" s="143">
        <f>-E26</f>
        <v>-0.12371709677419356</v>
      </c>
      <c r="F34" s="143">
        <f>-F26</f>
        <v>-0.28525967741935482</v>
      </c>
      <c r="G34" s="130"/>
      <c r="H34" s="135">
        <f>ROUND(D34*(E34+F34),2)</f>
        <v>-581.86</v>
      </c>
      <c r="I34"/>
      <c r="K34" s="1"/>
      <c r="L34" s="1"/>
      <c r="M34" s="1"/>
      <c r="N34" s="1"/>
      <c r="O34" s="1"/>
      <c r="P34" s="1"/>
    </row>
    <row r="35" spans="2:16" x14ac:dyDescent="0.3">
      <c r="B35" s="129"/>
      <c r="C35" s="130"/>
      <c r="D35" s="139"/>
      <c r="E35" s="130"/>
      <c r="F35" s="130"/>
      <c r="G35" s="130"/>
      <c r="H35" s="132"/>
      <c r="I35"/>
      <c r="K35" s="1"/>
      <c r="L35" s="1"/>
      <c r="M35" s="1"/>
      <c r="N35" s="1"/>
      <c r="O35" s="1"/>
      <c r="P35" s="1"/>
    </row>
    <row r="36" spans="2:16" x14ac:dyDescent="0.3">
      <c r="B36" s="129" t="s">
        <v>109</v>
      </c>
      <c r="C36" s="130"/>
      <c r="D36" s="140">
        <f>IF($K$15=$M$4,((D33+D34)*(K17)/(K17+L17)),0)+IF($L$15=$M$4,((D33+D34)*(L17)/(K17+L17)),0)</f>
        <v>0</v>
      </c>
      <c r="E36" s="130"/>
      <c r="F36" s="141">
        <f>-F28</f>
        <v>-2.989E-2</v>
      </c>
      <c r="G36" s="130"/>
      <c r="H36" s="135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3">
      <c r="B37" s="129" t="s">
        <v>44</v>
      </c>
      <c r="C37" s="130"/>
      <c r="D37" s="140">
        <f>IF($K$15=$M$5,((D33+D34)*(K17)/(K17+L17)),0)+IF($L$15=$M$5,((D33+D34)*(L17)/(K17+L17)),0)</f>
        <v>0</v>
      </c>
      <c r="E37" s="130"/>
      <c r="F37" s="141">
        <f t="shared" ref="F37:F39" si="1">-F29</f>
        <v>-6.5000000000000002E-2</v>
      </c>
      <c r="G37" s="130"/>
      <c r="H37" s="135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3">
      <c r="B38" s="129" t="s">
        <v>45</v>
      </c>
      <c r="C38" s="130"/>
      <c r="D38" s="140">
        <f>IF($K$15=$M$6,((D33+D34)*(K17)/(K17+L17)),0)+IF($L$15=$M$6,((D33+D34)*(L17)/(K17+L17)),0)</f>
        <v>0</v>
      </c>
      <c r="E38" s="130"/>
      <c r="F38" s="141">
        <f t="shared" si="1"/>
        <v>-9.7949999999999995E-2</v>
      </c>
      <c r="G38" s="130"/>
      <c r="H38" s="135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3">
      <c r="B39" s="129" t="s">
        <v>110</v>
      </c>
      <c r="C39" s="130"/>
      <c r="D39" s="140">
        <f>IF($K$15=$M$7,((D33+D34)*(K17)/(K17+L17)),0)+IF($L$15=$M$7,((D33+D34)*(L17)/(K17+L17)),0)</f>
        <v>0</v>
      </c>
      <c r="E39" s="130"/>
      <c r="F39" s="141">
        <f t="shared" si="1"/>
        <v>-0.14199999999999999</v>
      </c>
      <c r="G39" s="130"/>
      <c r="H39" s="135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3">
      <c r="B40" s="129"/>
      <c r="C40" s="130"/>
      <c r="D40" s="139"/>
      <c r="E40" s="130"/>
      <c r="F40" s="130"/>
      <c r="G40" s="130"/>
      <c r="H40" s="132"/>
      <c r="I40"/>
      <c r="J40" s="26" t="s">
        <v>105</v>
      </c>
      <c r="K40" s="26" t="s">
        <v>106</v>
      </c>
      <c r="L40" s="26" t="s">
        <v>113</v>
      </c>
      <c r="M40" s="1"/>
      <c r="N40" s="1"/>
      <c r="O40" s="1"/>
      <c r="P40" s="1"/>
    </row>
    <row r="41" spans="2:16" x14ac:dyDescent="0.3">
      <c r="B41" s="129" t="s">
        <v>128</v>
      </c>
      <c r="C41" s="130"/>
      <c r="D41" s="133">
        <v>100.86</v>
      </c>
      <c r="E41" s="134">
        <f>IF(AND($B$17&lt;$F$2,$E$17&lt;$F$2),C6,IF($B$17&lt;$F$2,I6,F6))</f>
        <v>46.912580645161292</v>
      </c>
      <c r="F41" s="130"/>
      <c r="G41" s="130"/>
      <c r="H41" s="135">
        <f>ROUND(D41*(E41+F41),2)</f>
        <v>4731.6000000000004</v>
      </c>
      <c r="I41"/>
      <c r="J41" s="136">
        <f>IF(AND($B$17&lt;$F$2,$E$17&lt;$F$2),R6,IF($B$17&lt;$F$2,X6,U6))</f>
        <v>24.450322580645164</v>
      </c>
      <c r="K41" s="137">
        <f>D41*J41</f>
        <v>2466.0595354838711</v>
      </c>
      <c r="L41" s="144">
        <f>K41+K44+K47</f>
        <v>2567.2838709677421</v>
      </c>
      <c r="M41" s="1"/>
      <c r="N41" s="1"/>
      <c r="O41" s="1"/>
      <c r="P41" s="1"/>
    </row>
    <row r="42" spans="2:16" x14ac:dyDescent="0.3">
      <c r="B42" s="129" t="s">
        <v>129</v>
      </c>
      <c r="C42" s="130"/>
      <c r="D42" s="133">
        <v>100.86</v>
      </c>
      <c r="E42" s="134">
        <f>IF(AND($B$17&lt;$F$2,$E$17&lt;$F$2),C7,IF($B$17&lt;$F$2,I7,F7))</f>
        <v>31.319032258064517</v>
      </c>
      <c r="F42" s="130"/>
      <c r="G42" s="130"/>
      <c r="H42" s="135">
        <f>ROUND(D42*(E42+F42),2)</f>
        <v>3158.84</v>
      </c>
      <c r="I42"/>
      <c r="K42" s="1"/>
      <c r="L42" s="1"/>
      <c r="M42" s="1"/>
      <c r="N42" s="1"/>
      <c r="O42" s="1"/>
      <c r="P42" s="1"/>
    </row>
    <row r="43" spans="2:16" x14ac:dyDescent="0.3">
      <c r="B43" s="129"/>
      <c r="C43" s="130"/>
      <c r="D43" s="139"/>
      <c r="E43" s="130"/>
      <c r="F43" s="130"/>
      <c r="G43" s="130"/>
      <c r="H43" s="135"/>
      <c r="I43"/>
      <c r="K43" s="1"/>
      <c r="L43" s="1"/>
      <c r="M43" s="1"/>
      <c r="N43" s="1"/>
      <c r="O43" s="1"/>
      <c r="P43" s="1"/>
    </row>
    <row r="44" spans="2:16" x14ac:dyDescent="0.3">
      <c r="B44" s="129" t="s">
        <v>130</v>
      </c>
      <c r="C44" s="130"/>
      <c r="D44" s="133">
        <v>4.1399999999999997</v>
      </c>
      <c r="E44" s="134">
        <f>E41</f>
        <v>46.912580645161292</v>
      </c>
      <c r="F44" s="130"/>
      <c r="G44" s="130"/>
      <c r="H44" s="135">
        <f>ROUND(D44*(E44+F44),2)</f>
        <v>194.22</v>
      </c>
      <c r="I44"/>
      <c r="J44" s="145">
        <f>J41</f>
        <v>24.450322580645164</v>
      </c>
      <c r="K44" s="137">
        <f>D44*J44</f>
        <v>101.22433548387097</v>
      </c>
      <c r="L44" s="1"/>
      <c r="M44" s="1"/>
      <c r="N44" s="1"/>
      <c r="O44" s="1"/>
      <c r="P44" s="1"/>
    </row>
    <row r="45" spans="2:16" x14ac:dyDescent="0.3">
      <c r="B45" s="129" t="s">
        <v>131</v>
      </c>
      <c r="C45" s="130"/>
      <c r="D45" s="133">
        <v>4.1399999999999997</v>
      </c>
      <c r="E45" s="134">
        <f>E42</f>
        <v>31.319032258064517</v>
      </c>
      <c r="F45" s="130"/>
      <c r="G45" s="130"/>
      <c r="H45" s="135">
        <f>ROUND(D45*(E45+F45),2)</f>
        <v>129.66</v>
      </c>
      <c r="I45"/>
      <c r="K45" s="1"/>
      <c r="L45" s="1"/>
      <c r="M45" s="1"/>
      <c r="N45" s="1"/>
      <c r="O45" s="1"/>
      <c r="P45" s="1"/>
    </row>
    <row r="46" spans="2:16" x14ac:dyDescent="0.3">
      <c r="B46" s="129"/>
      <c r="C46" s="130"/>
      <c r="D46" s="139"/>
      <c r="E46" s="130"/>
      <c r="F46" s="130"/>
      <c r="G46" s="130"/>
      <c r="H46" s="135"/>
      <c r="I46"/>
      <c r="K46" s="1"/>
      <c r="L46" s="1"/>
      <c r="M46" s="1"/>
      <c r="N46" s="1"/>
      <c r="O46" s="1"/>
      <c r="P46" s="1"/>
    </row>
    <row r="47" spans="2:16" x14ac:dyDescent="0.3">
      <c r="B47" s="129" t="s">
        <v>132</v>
      </c>
      <c r="C47" s="130"/>
      <c r="D47" s="146">
        <v>0</v>
      </c>
      <c r="E47" s="147">
        <f>E41*2</f>
        <v>93.825161290322583</v>
      </c>
      <c r="F47" s="130"/>
      <c r="G47" s="130"/>
      <c r="H47" s="135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3">
      <c r="B48" s="129" t="s">
        <v>133</v>
      </c>
      <c r="C48" s="130"/>
      <c r="D48" s="146">
        <v>0</v>
      </c>
      <c r="E48" s="147">
        <f>E42*2</f>
        <v>62.638064516129035</v>
      </c>
      <c r="F48" s="130"/>
      <c r="G48" s="130"/>
      <c r="H48" s="135">
        <f>ROUND(D48*(E48+F48),2)</f>
        <v>0</v>
      </c>
      <c r="I48"/>
      <c r="K48" s="1"/>
      <c r="L48" s="1"/>
      <c r="M48" s="1"/>
      <c r="N48" s="1"/>
      <c r="O48" s="1"/>
      <c r="P48" s="1"/>
    </row>
    <row r="49" spans="2:16" x14ac:dyDescent="0.3">
      <c r="B49" s="129"/>
      <c r="C49" s="130"/>
      <c r="D49" s="146"/>
      <c r="E49" s="147"/>
      <c r="F49" s="130"/>
      <c r="G49" s="130"/>
      <c r="H49" s="135"/>
      <c r="K49" s="1"/>
      <c r="L49" s="1"/>
      <c r="M49" s="1"/>
      <c r="N49" s="1"/>
      <c r="O49" s="1"/>
      <c r="P49" s="1"/>
    </row>
    <row r="50" spans="2:16" x14ac:dyDescent="0.3">
      <c r="B50" s="119" t="s">
        <v>140</v>
      </c>
      <c r="C50" s="120"/>
      <c r="D50" s="121">
        <f>-D33</f>
        <v>0</v>
      </c>
      <c r="E50" s="122">
        <f>E25</f>
        <v>0.12371709677419356</v>
      </c>
      <c r="F50" s="122">
        <f>IF(AND($B$17&lt;$F$2,$E$17&lt;$F$2),D9,IF($B$17&lt;$F$2,K9,H9))</f>
        <v>5.5406854838709677E-2</v>
      </c>
      <c r="G50" s="122">
        <f>E50+F50</f>
        <v>0.17912395161290323</v>
      </c>
      <c r="H50" s="124">
        <f>ROUND(D50*(E50+F50),2)</f>
        <v>0</v>
      </c>
      <c r="K50" s="1"/>
      <c r="L50" s="1"/>
      <c r="M50" s="1"/>
      <c r="N50" s="1"/>
      <c r="O50" s="1"/>
      <c r="P50" s="1"/>
    </row>
    <row r="51" spans="2:16" x14ac:dyDescent="0.3">
      <c r="B51" s="119" t="s">
        <v>141</v>
      </c>
      <c r="C51" s="120"/>
      <c r="D51" s="121">
        <f>-D34</f>
        <v>-1422.72</v>
      </c>
      <c r="E51" s="122">
        <f>E26</f>
        <v>0.12371709677419356</v>
      </c>
      <c r="F51" s="122">
        <f>IF(AND($B$17&lt;$F$2,$E$17&lt;$F$2),D10,IF($B$17&lt;$F$2,K10,H10))</f>
        <v>3.513024193548387E-2</v>
      </c>
      <c r="G51" s="122">
        <f>E51+F51</f>
        <v>0.15884733870967743</v>
      </c>
      <c r="H51" s="124">
        <f>ROUND(D51*(E51+F51),2)</f>
        <v>-226</v>
      </c>
      <c r="K51" s="1"/>
      <c r="L51" s="1"/>
      <c r="M51" s="1"/>
      <c r="N51" s="1"/>
      <c r="O51" s="1"/>
      <c r="P51" s="1"/>
    </row>
    <row r="52" spans="2:16" x14ac:dyDescent="0.3">
      <c r="B52" s="119"/>
      <c r="C52" s="120"/>
      <c r="D52" s="125"/>
      <c r="E52" s="120"/>
      <c r="F52" s="126"/>
      <c r="G52" s="126"/>
      <c r="H52" s="124"/>
      <c r="K52" s="1"/>
      <c r="L52" s="1"/>
      <c r="M52" s="1"/>
      <c r="N52" s="1"/>
      <c r="O52" s="1"/>
      <c r="P52" s="1"/>
    </row>
    <row r="53" spans="2:16" x14ac:dyDescent="0.3">
      <c r="B53" s="119" t="s">
        <v>142</v>
      </c>
      <c r="C53" s="120"/>
      <c r="D53" s="121">
        <f>-D50</f>
        <v>0</v>
      </c>
      <c r="E53" s="122">
        <f>E50*F19</f>
        <v>0.12371709677419356</v>
      </c>
      <c r="F53" s="123">
        <f>F50*H19</f>
        <v>5.5406854838709677E-2</v>
      </c>
      <c r="G53" s="122">
        <f>E53+F53</f>
        <v>0.17912395161290323</v>
      </c>
      <c r="H53" s="124">
        <f>ROUND(D53*(E53+F53),2)</f>
        <v>0</v>
      </c>
      <c r="K53" s="1"/>
      <c r="L53" s="1"/>
      <c r="M53" s="1"/>
      <c r="N53" s="1"/>
      <c r="O53" s="1"/>
      <c r="P53" s="1"/>
    </row>
    <row r="54" spans="2:16" x14ac:dyDescent="0.3">
      <c r="B54" s="119" t="s">
        <v>143</v>
      </c>
      <c r="C54" s="120"/>
      <c r="D54" s="121">
        <f>-D51</f>
        <v>1422.72</v>
      </c>
      <c r="E54" s="122">
        <f>E51*F20</f>
        <v>0.12371709677419356</v>
      </c>
      <c r="F54" s="123">
        <f>F51*H20</f>
        <v>3.513024193548387E-2</v>
      </c>
      <c r="G54" s="122">
        <f>E54+F54</f>
        <v>0.15884733870967743</v>
      </c>
      <c r="H54" s="124">
        <f>ROUND(D54*(E54+F54),2)</f>
        <v>226</v>
      </c>
      <c r="K54" s="1"/>
      <c r="L54" s="1"/>
      <c r="M54" s="1"/>
      <c r="N54" s="1"/>
      <c r="O54" s="1"/>
      <c r="P54" s="1"/>
    </row>
    <row r="55" spans="2:16" x14ac:dyDescent="0.3">
      <c r="B55" s="129"/>
      <c r="C55" s="130"/>
      <c r="D55" s="146"/>
      <c r="E55" s="147"/>
      <c r="F55" s="130"/>
      <c r="G55" s="130"/>
      <c r="H55" s="135"/>
      <c r="K55" s="1"/>
      <c r="L55" s="1"/>
      <c r="M55" s="1"/>
      <c r="N55" s="1"/>
      <c r="O55" s="1"/>
      <c r="P55" s="1"/>
    </row>
    <row r="56" spans="2:16" x14ac:dyDescent="0.3">
      <c r="B56" s="129" t="s">
        <v>117</v>
      </c>
      <c r="C56" s="130"/>
      <c r="D56" s="133">
        <v>27.675000000000001</v>
      </c>
      <c r="E56" s="134"/>
      <c r="F56" s="134">
        <f>IF(AND($B$17&lt;$F$2,$E$17&lt;$F$2),E8,IF($B$17&lt;$F$2,K8,H8))</f>
        <v>0.30007032258064514</v>
      </c>
      <c r="G56" s="130"/>
      <c r="H56" s="135">
        <f>ROUND(D56*(E56+F56),2)</f>
        <v>8.3000000000000007</v>
      </c>
      <c r="J56" s="1"/>
      <c r="K56" s="1"/>
      <c r="L56" s="1"/>
      <c r="M56" s="1"/>
      <c r="N56" s="1"/>
      <c r="O56" s="1"/>
      <c r="P56" s="1"/>
    </row>
    <row r="57" spans="2:16" x14ac:dyDescent="0.3">
      <c r="B57" s="148" t="s">
        <v>118</v>
      </c>
      <c r="C57" s="149"/>
      <c r="D57" s="133">
        <v>0</v>
      </c>
      <c r="E57" s="150">
        <f>E42</f>
        <v>31.319032258064517</v>
      </c>
      <c r="F57" s="149"/>
      <c r="G57" s="149"/>
      <c r="H57" s="151">
        <f>ROUND(D57*(E57+F57),2)</f>
        <v>0</v>
      </c>
      <c r="K57" s="1"/>
      <c r="L57" s="97"/>
      <c r="M57" s="1"/>
      <c r="N57" s="1"/>
      <c r="O57" s="1"/>
      <c r="P57" s="1"/>
    </row>
    <row r="58" spans="2:16" x14ac:dyDescent="0.3">
      <c r="B58" s="152"/>
      <c r="C58" s="153"/>
      <c r="D58" s="153"/>
      <c r="E58" s="153"/>
      <c r="F58" s="153"/>
      <c r="G58" s="154"/>
      <c r="H58" s="155"/>
      <c r="K58" s="1"/>
      <c r="L58" s="1"/>
      <c r="M58" s="1"/>
      <c r="N58" s="1"/>
      <c r="O58" s="1"/>
      <c r="P58" s="1"/>
    </row>
    <row r="59" spans="2:16" x14ac:dyDescent="0.3">
      <c r="B59" s="129"/>
      <c r="C59" s="130"/>
      <c r="D59" s="156" t="s">
        <v>48</v>
      </c>
      <c r="E59" s="157"/>
      <c r="F59" s="157"/>
      <c r="G59" s="130"/>
      <c r="H59" s="158"/>
      <c r="J59" s="67"/>
      <c r="K59" s="1"/>
      <c r="L59" s="1"/>
      <c r="M59" s="1"/>
      <c r="N59" s="1"/>
      <c r="O59" s="1"/>
      <c r="P59" s="1"/>
    </row>
    <row r="60" spans="2:16" x14ac:dyDescent="0.3">
      <c r="B60" s="129" t="s">
        <v>49</v>
      </c>
      <c r="C60" s="130"/>
      <c r="D60" s="159">
        <f>(SUM(H25:H31)+H41+H42+H47+H48+H56+H57)/(1-E60-E63)</f>
        <v>14337.416247906198</v>
      </c>
      <c r="E60" s="160">
        <v>8.0000000000000002E-3</v>
      </c>
      <c r="F60" s="130"/>
      <c r="G60" s="130"/>
      <c r="H60" s="135">
        <f>D60*E60</f>
        <v>114.69932998324958</v>
      </c>
      <c r="K60" s="1"/>
      <c r="L60" s="1"/>
      <c r="M60" s="1"/>
      <c r="N60" s="1"/>
      <c r="O60" s="1"/>
      <c r="P60" s="1"/>
    </row>
    <row r="61" spans="2:16" x14ac:dyDescent="0.3">
      <c r="B61" s="129" t="s">
        <v>119</v>
      </c>
      <c r="C61" s="130"/>
      <c r="D61" s="159">
        <f>(SUM(H33:H39))/(1-E60-E63)</f>
        <v>-609.14991624790616</v>
      </c>
      <c r="E61" s="161">
        <f>E60</f>
        <v>8.0000000000000002E-3</v>
      </c>
      <c r="F61" s="130"/>
      <c r="G61" s="130"/>
      <c r="H61" s="135">
        <f t="shared" ref="H61:H65" si="2">D61*E61</f>
        <v>-4.8731993299832492</v>
      </c>
      <c r="K61" s="1"/>
      <c r="L61" s="1"/>
      <c r="M61" s="1"/>
      <c r="N61" s="1"/>
      <c r="O61" s="1"/>
      <c r="P61" s="1"/>
    </row>
    <row r="62" spans="2:16" x14ac:dyDescent="0.3">
      <c r="B62" s="129" t="s">
        <v>120</v>
      </c>
      <c r="C62" s="130"/>
      <c r="D62" s="159">
        <f>(H44+H45)/(1-E62-E65)</f>
        <v>339.07035175879395</v>
      </c>
      <c r="E62" s="161">
        <f>E60</f>
        <v>8.0000000000000002E-3</v>
      </c>
      <c r="F62" s="130"/>
      <c r="G62" s="130"/>
      <c r="H62" s="135">
        <f t="shared" si="2"/>
        <v>2.7125628140703517</v>
      </c>
      <c r="K62" s="1"/>
      <c r="L62" s="1"/>
      <c r="M62" s="1"/>
      <c r="N62" s="1"/>
      <c r="O62" s="1"/>
      <c r="P62" s="1"/>
    </row>
    <row r="63" spans="2:16" x14ac:dyDescent="0.3">
      <c r="B63" s="129" t="s">
        <v>51</v>
      </c>
      <c r="C63" s="130"/>
      <c r="D63" s="159">
        <f>D60</f>
        <v>14337.416247906198</v>
      </c>
      <c r="E63" s="160">
        <v>3.6799999999999999E-2</v>
      </c>
      <c r="F63" s="130"/>
      <c r="G63" s="130"/>
      <c r="H63" s="135">
        <f t="shared" si="2"/>
        <v>527.61691792294812</v>
      </c>
      <c r="K63" s="1"/>
      <c r="L63" s="1"/>
      <c r="M63" s="1"/>
      <c r="N63" s="1"/>
      <c r="O63" s="1"/>
      <c r="P63" s="1"/>
    </row>
    <row r="64" spans="2:16" x14ac:dyDescent="0.3">
      <c r="B64" s="129" t="s">
        <v>121</v>
      </c>
      <c r="C64" s="130"/>
      <c r="D64" s="159">
        <f>D61</f>
        <v>-609.14991624790616</v>
      </c>
      <c r="E64" s="161">
        <f>E63</f>
        <v>3.6799999999999999E-2</v>
      </c>
      <c r="F64" s="130"/>
      <c r="G64" s="130"/>
      <c r="H64" s="135">
        <f t="shared" si="2"/>
        <v>-22.416716917922948</v>
      </c>
      <c r="K64" s="1"/>
      <c r="L64" s="1"/>
      <c r="M64" s="1"/>
      <c r="N64" s="1"/>
      <c r="O64" s="1"/>
      <c r="P64" s="1"/>
    </row>
    <row r="65" spans="2:16" x14ac:dyDescent="0.3">
      <c r="B65" s="129" t="s">
        <v>122</v>
      </c>
      <c r="C65" s="130"/>
      <c r="D65" s="159">
        <f>D62</f>
        <v>339.07035175879395</v>
      </c>
      <c r="E65" s="161">
        <f>E63</f>
        <v>3.6799999999999999E-2</v>
      </c>
      <c r="F65" s="130"/>
      <c r="G65" s="130"/>
      <c r="H65" s="135">
        <f t="shared" si="2"/>
        <v>12.477788944723617</v>
      </c>
      <c r="K65" s="1"/>
      <c r="L65" s="1"/>
      <c r="M65" s="1"/>
      <c r="N65" s="1"/>
      <c r="O65" s="1"/>
      <c r="P65" s="1"/>
    </row>
    <row r="66" spans="2:16" x14ac:dyDescent="0.3">
      <c r="B66" s="148" t="s">
        <v>11</v>
      </c>
      <c r="C66" s="149"/>
      <c r="D66" s="162">
        <f>D60/(1-E66)</f>
        <v>17273.995479405057</v>
      </c>
      <c r="E66" s="163">
        <v>0.17</v>
      </c>
      <c r="F66" s="149"/>
      <c r="G66" s="149"/>
      <c r="H66" s="151">
        <f>D66*E66</f>
        <v>2936.5792314988598</v>
      </c>
      <c r="K66" s="1"/>
      <c r="L66" s="1"/>
      <c r="M66" s="1"/>
      <c r="N66" s="1"/>
      <c r="O66" s="1"/>
      <c r="P66" s="1"/>
    </row>
    <row r="67" spans="2:16" x14ac:dyDescent="0.3">
      <c r="B67" s="148" t="s">
        <v>123</v>
      </c>
      <c r="C67" s="149"/>
      <c r="D67" s="162">
        <f>((D33*F33)+(D34*F34)+SUM(H36:H39)+(D50*F50)+(D51*F51)+(D53*F53)+(D54*F54))/(1-E61-E64)/(1-E67)</f>
        <v>-511.90269653748726</v>
      </c>
      <c r="E67" s="163">
        <f>E66</f>
        <v>0.17</v>
      </c>
      <c r="F67" s="149"/>
      <c r="G67" s="149"/>
      <c r="H67" s="151">
        <f>D67*E67</f>
        <v>-87.023458411372843</v>
      </c>
      <c r="K67" s="1"/>
      <c r="L67" s="1"/>
      <c r="M67" s="1"/>
      <c r="N67" s="1"/>
      <c r="O67" s="1"/>
      <c r="P67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27" priority="1" operator="equal">
      <formula>"Escassez Hídrica"</formula>
    </cfRule>
    <cfRule type="cellIs" dxfId="26" priority="2" operator="equal">
      <formula>"VERDE"</formula>
    </cfRule>
    <cfRule type="cellIs" dxfId="25" priority="3" operator="equal">
      <formula>"BVM2"</formula>
    </cfRule>
    <cfRule type="cellIs" dxfId="24" priority="4" operator="equal">
      <formula>"BVM1"</formula>
    </cfRule>
    <cfRule type="cellIs" dxfId="23" priority="5" operator="equal">
      <formula>"BAM"</formula>
    </cfRule>
  </conditionalFormatting>
  <conditionalFormatting sqref="M3">
    <cfRule type="cellIs" dxfId="22" priority="16" operator="equal">
      <formula>"VERDE"</formula>
    </cfRule>
    <cfRule type="cellIs" dxfId="21" priority="17" operator="equal">
      <formula>"BVM2"</formula>
    </cfRule>
    <cfRule type="cellIs" dxfId="20" priority="18" operator="equal">
      <formula>"BVM1"</formula>
    </cfRule>
    <cfRule type="cellIs" dxfId="19" priority="19" operator="equal">
      <formula>"BAM"</formula>
    </cfRule>
  </conditionalFormatting>
  <conditionalFormatting sqref="M7">
    <cfRule type="containsText" dxfId="18" priority="11" operator="containsText" text="Escassez Hídrica">
      <formula>NOT(ISERROR(SEARCH("Escassez Hídrica",M7)))</formula>
    </cfRule>
    <cfRule type="cellIs" dxfId="17" priority="12" operator="equal">
      <formula>"VERDE"</formula>
    </cfRule>
    <cfRule type="cellIs" dxfId="16" priority="13" operator="equal">
      <formula>"BVM2"</formula>
    </cfRule>
    <cfRule type="cellIs" dxfId="15" priority="14" operator="equal">
      <formula>"BVM1"</formula>
    </cfRule>
    <cfRule type="cellIs" dxfId="14" priority="15" operator="equal">
      <formula>"BAM"</formula>
    </cfRule>
  </conditionalFormatting>
  <dataValidations count="1">
    <dataValidation type="list" allowBlank="1" showInputMessage="1" showErrorMessage="1" sqref="K15:L15" xr:uid="{FF407EE5-EF16-4449-9D83-8D0BEBAE8D7D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D76-9137-4B88-AAF6-BC1D4949A705}">
  <dimension ref="A1:AF227"/>
  <sheetViews>
    <sheetView showGridLines="0" topLeftCell="A13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2" width="19.33203125" style="19" customWidth="1"/>
    <col min="3" max="3" width="15.6640625" style="19" customWidth="1"/>
    <col min="4" max="10" width="12.6640625" style="19" customWidth="1"/>
    <col min="11" max="12" width="13.8867187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154</v>
      </c>
      <c r="E2" s="20" t="s">
        <v>28</v>
      </c>
      <c r="F2" s="21">
        <v>45145</v>
      </c>
      <c r="G2" s="1" t="s">
        <v>8</v>
      </c>
      <c r="I2" s="101" t="s">
        <v>65</v>
      </c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54" t="s">
        <v>152</v>
      </c>
      <c r="C4" s="418" t="s">
        <v>58</v>
      </c>
      <c r="D4" s="418"/>
      <c r="E4" s="418"/>
      <c r="F4" s="418" t="s">
        <v>59</v>
      </c>
      <c r="G4" s="418"/>
      <c r="H4" s="418"/>
      <c r="I4" s="419" t="s">
        <v>32</v>
      </c>
      <c r="J4" s="419"/>
      <c r="K4" s="419"/>
      <c r="M4" s="9" t="s">
        <v>14</v>
      </c>
      <c r="N4" s="10">
        <v>2.989E-2</v>
      </c>
      <c r="Q4" s="413" t="s">
        <v>31</v>
      </c>
      <c r="R4" s="405" t="str">
        <f>C4</f>
        <v>TARIFA ANTIGA - REH 3091/2022</v>
      </c>
      <c r="S4" s="406"/>
      <c r="T4" s="407"/>
      <c r="U4" s="405" t="str">
        <f>F4</f>
        <v>TARIFA NOVA - REH XXXX/2023</v>
      </c>
      <c r="V4" s="406"/>
      <c r="W4" s="407"/>
      <c r="X4" s="405" t="s">
        <v>32</v>
      </c>
      <c r="Y4" s="406"/>
      <c r="Z4" s="407"/>
    </row>
    <row r="5" spans="1:26" x14ac:dyDescent="0.3">
      <c r="B5" s="45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6.5000000000000002E-2</v>
      </c>
      <c r="Q5" s="414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3">
      <c r="B6" s="30" t="s">
        <v>153</v>
      </c>
      <c r="C6" s="31">
        <v>0.27266000000000001</v>
      </c>
      <c r="D6" s="31">
        <v>0.27703</v>
      </c>
      <c r="E6" s="31">
        <f t="shared" ref="E6" si="0">C6+D6</f>
        <v>0.54969000000000001</v>
      </c>
      <c r="F6" s="31">
        <v>0.27266000000000001</v>
      </c>
      <c r="G6" s="31">
        <v>0.27703</v>
      </c>
      <c r="H6" s="31">
        <f t="shared" ref="H6" si="1">F6+G6</f>
        <v>0.54969000000000001</v>
      </c>
      <c r="I6" s="31">
        <f>((C6*$C$13)+(F6*$D$13))/($D$13+$C$13)</f>
        <v>0.27266000000000001</v>
      </c>
      <c r="J6" s="31">
        <f>((D6*$C$13)+(G6*$D$13))/($D$13+$C$13)</f>
        <v>0.27703</v>
      </c>
      <c r="K6" s="32">
        <f t="shared" ref="K6" si="2">I6+J6</f>
        <v>0.54969000000000001</v>
      </c>
      <c r="M6" s="13" t="s">
        <v>16</v>
      </c>
      <c r="N6" s="14">
        <v>9.7949999999999995E-2</v>
      </c>
      <c r="P6" s="33"/>
      <c r="Q6" s="30" t="str">
        <f>B6</f>
        <v>Baixa renda</v>
      </c>
      <c r="R6" s="31">
        <f>'[2]FIO B'!H11/1000</f>
        <v>0.19205</v>
      </c>
      <c r="S6" s="1"/>
      <c r="T6" s="1"/>
      <c r="U6" s="31">
        <f>'[2]FIO B'!K11/1000</f>
        <v>0.17652000000000001</v>
      </c>
      <c r="V6" s="1"/>
      <c r="W6" s="1"/>
      <c r="X6" s="31">
        <f>((R6*$C$13)+(U6*$D$13))/($D$13+$C$13)</f>
        <v>0.18503645161290322</v>
      </c>
      <c r="Y6" s="1"/>
      <c r="Z6" s="1"/>
    </row>
    <row r="7" spans="1:26" x14ac:dyDescent="0.3">
      <c r="B7" s="94" t="s">
        <v>57</v>
      </c>
      <c r="C7" s="83"/>
      <c r="D7" s="83"/>
      <c r="E7" s="83"/>
      <c r="F7" s="83"/>
      <c r="G7" s="81">
        <f>G6*15%</f>
        <v>4.1554500000000001E-2</v>
      </c>
      <c r="H7" s="83"/>
      <c r="I7" s="83"/>
      <c r="J7" s="31">
        <f>((D7*$C$13)+(G7*$D$13))/($D$13+$C$13)</f>
        <v>1.8766548387096776E-2</v>
      </c>
      <c r="K7" s="84"/>
      <c r="M7" s="7" t="s">
        <v>17</v>
      </c>
      <c r="N7" s="15">
        <v>0.14199999999999999</v>
      </c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3">
      <c r="A8" s="19" t="s">
        <v>8</v>
      </c>
      <c r="G8" s="1"/>
      <c r="H8" s="1"/>
      <c r="I8" s="1"/>
      <c r="J8" s="1"/>
      <c r="K8" s="1"/>
      <c r="O8" s="20"/>
      <c r="P8" s="1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B9" s="34"/>
      <c r="C9" s="35"/>
      <c r="D9" s="36"/>
      <c r="E9" s="35"/>
      <c r="F9" s="35"/>
      <c r="G9" s="35"/>
      <c r="H9" s="37" t="s">
        <v>37</v>
      </c>
      <c r="I9" s="1"/>
      <c r="L9" s="20" t="s">
        <v>25</v>
      </c>
      <c r="M9" s="21">
        <f>EOMONTH(B13,0)+1</f>
        <v>45139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B10" s="38" t="s">
        <v>38</v>
      </c>
      <c r="C10" s="39">
        <v>1182321</v>
      </c>
      <c r="E10" s="1"/>
      <c r="F10" s="1"/>
      <c r="G10" s="1"/>
      <c r="H10" s="40">
        <f>E13</f>
        <v>45158</v>
      </c>
      <c r="K10" s="408" t="s">
        <v>26</v>
      </c>
      <c r="L10" s="40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9" t="s">
        <v>8</v>
      </c>
      <c r="B11" s="41"/>
      <c r="H11" s="43"/>
      <c r="K11" s="7" t="s">
        <v>13</v>
      </c>
      <c r="L11" s="7" t="s">
        <v>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 x14ac:dyDescent="0.3">
      <c r="B12" s="16" t="s">
        <v>21</v>
      </c>
      <c r="C12" s="16" t="s">
        <v>22</v>
      </c>
      <c r="D12" s="16" t="s">
        <v>23</v>
      </c>
      <c r="E12" s="16" t="s">
        <v>24</v>
      </c>
      <c r="F12" s="1"/>
      <c r="G12" s="1"/>
      <c r="H12" s="43"/>
      <c r="J12" s="16" t="s">
        <v>21</v>
      </c>
      <c r="K12" s="16" t="s">
        <v>22</v>
      </c>
      <c r="L12" s="16" t="s">
        <v>23</v>
      </c>
      <c r="M12" s="16" t="s">
        <v>24</v>
      </c>
    </row>
    <row r="13" spans="1:26" x14ac:dyDescent="0.3">
      <c r="B13" s="17">
        <v>45127</v>
      </c>
      <c r="C13" s="18">
        <f>IF((F2-B13-1)&lt;0,0,(F2-B13-1))</f>
        <v>17</v>
      </c>
      <c r="D13" s="18">
        <f>E13-F2+1</f>
        <v>14</v>
      </c>
      <c r="E13" s="17">
        <v>45158</v>
      </c>
      <c r="F13" s="44"/>
      <c r="G13" s="44"/>
      <c r="H13" s="45"/>
      <c r="J13" s="22">
        <f>B13</f>
        <v>45127</v>
      </c>
      <c r="K13" s="23">
        <f>IF((M9-J13-1)&lt;0,0,(M9-J13-1))</f>
        <v>11</v>
      </c>
      <c r="L13" s="23">
        <f>M13-M9+1</f>
        <v>20</v>
      </c>
      <c r="M13" s="22">
        <f>E13</f>
        <v>45158</v>
      </c>
    </row>
    <row r="15" spans="1:26" x14ac:dyDescent="0.3">
      <c r="B15" s="1" t="s">
        <v>0</v>
      </c>
      <c r="C15" s="1"/>
      <c r="D15" s="2"/>
    </row>
    <row r="16" spans="1:26" x14ac:dyDescent="0.3">
      <c r="A16" s="99" t="s">
        <v>60</v>
      </c>
      <c r="B16" s="1" t="s">
        <v>63</v>
      </c>
      <c r="D16" s="100" t="s">
        <v>62</v>
      </c>
      <c r="E16" s="1"/>
      <c r="G16" s="89">
        <f>IF(D16="monofásico",30,IF(D16="bifásico",50,100))</f>
        <v>100</v>
      </c>
      <c r="H16" s="3" t="s">
        <v>2</v>
      </c>
    </row>
    <row r="17" spans="1:32" x14ac:dyDescent="0.3">
      <c r="A17" s="99" t="s">
        <v>61</v>
      </c>
      <c r="B17" s="1" t="s">
        <v>4</v>
      </c>
      <c r="G17" s="79">
        <f>I6</f>
        <v>0.27266000000000001</v>
      </c>
      <c r="H17" s="3" t="s">
        <v>6</v>
      </c>
    </row>
    <row r="18" spans="1:32" x14ac:dyDescent="0.3">
      <c r="A18" s="99" t="s">
        <v>62</v>
      </c>
      <c r="B18" s="1" t="s">
        <v>5</v>
      </c>
      <c r="G18" s="79">
        <f>J6</f>
        <v>0.27703</v>
      </c>
      <c r="H18" s="3" t="s">
        <v>6</v>
      </c>
      <c r="J18" s="19" t="s">
        <v>56</v>
      </c>
    </row>
    <row r="19" spans="1:32" x14ac:dyDescent="0.3">
      <c r="B19" s="1" t="s">
        <v>18</v>
      </c>
      <c r="G19" s="80">
        <f>(IF($K$11=M4,(G16*(K13)/(K13+L13)),0)+IF($L$11=M4,(G16*(L13)/(K13+L13)),0))*N4</f>
        <v>0</v>
      </c>
      <c r="H19" s="3" t="s">
        <v>7</v>
      </c>
      <c r="I19" s="19">
        <f>IF(OR($K$11=M4,$L$11=M4),N4,0)</f>
        <v>0</v>
      </c>
      <c r="J19" s="19">
        <f>(IF($K$11=M4,(N4*(K13)/(K13+L13)),0)+IF($L$11=M4,(N4*(L13)/(K13+L13)),0))</f>
        <v>0</v>
      </c>
    </row>
    <row r="20" spans="1:32" x14ac:dyDescent="0.3">
      <c r="B20" s="1" t="s">
        <v>20</v>
      </c>
      <c r="G20" s="80">
        <f>(IF($K$11=M5,(G16*(K13)/(K13+L13)),0)+IF($L$11=M5,(G16*(L13)/(K13+L13)),0))*N5</f>
        <v>0</v>
      </c>
      <c r="H20" s="3" t="s">
        <v>7</v>
      </c>
      <c r="I20" s="19">
        <f t="shared" ref="I20:I21" si="3">IF(OR($K$11=M5,$L$11=M5),N5,0)</f>
        <v>0</v>
      </c>
      <c r="J20" s="19">
        <f>(IF($K$11=M5,(N5*(K13)/(K13+L13)),0)+IF($L$11=M5,(N5*(L13)/(K13+L13)),0))</f>
        <v>0</v>
      </c>
    </row>
    <row r="21" spans="1:32" x14ac:dyDescent="0.3">
      <c r="B21" s="1" t="s">
        <v>19</v>
      </c>
      <c r="G21" s="80">
        <f>(IF($K$11=M6,(G16*(K13)/(K13+L13)),0)+IF($L$11=M6,(G16*(L13)/(K13+L13)),0))*N6</f>
        <v>0</v>
      </c>
      <c r="H21" s="3" t="s">
        <v>7</v>
      </c>
      <c r="I21" s="19">
        <f t="shared" si="3"/>
        <v>0</v>
      </c>
      <c r="J21" s="19">
        <f>(IF($K$11=M6,(N6*(K13)/(K13+L13)),0)+IF($L$11=M6,(N6*(L13)/(K13+L13)),0))</f>
        <v>0</v>
      </c>
    </row>
    <row r="22" spans="1:32" x14ac:dyDescent="0.3">
      <c r="B22" s="1" t="s">
        <v>54</v>
      </c>
      <c r="G22" s="87">
        <f>G16*(G17+G18)+G19+G20+G21</f>
        <v>54.969000000000001</v>
      </c>
      <c r="H22" s="4" t="s">
        <v>7</v>
      </c>
    </row>
    <row r="24" spans="1:32" x14ac:dyDescent="0.3">
      <c r="B24" s="88" t="s">
        <v>1</v>
      </c>
      <c r="C24" s="88"/>
      <c r="D24" s="88"/>
      <c r="E24" s="88"/>
      <c r="F24" s="88"/>
      <c r="G24" s="89">
        <v>1000</v>
      </c>
      <c r="H24" s="3" t="s">
        <v>2</v>
      </c>
    </row>
    <row r="25" spans="1:32" x14ac:dyDescent="0.3">
      <c r="B25" s="88" t="s">
        <v>3</v>
      </c>
      <c r="C25" s="88"/>
      <c r="D25" s="88"/>
      <c r="E25" s="88"/>
      <c r="F25" s="88"/>
      <c r="G25" s="89">
        <v>600</v>
      </c>
      <c r="H25" s="3" t="s">
        <v>2</v>
      </c>
      <c r="I25" s="91">
        <f>G25+D53</f>
        <v>570</v>
      </c>
    </row>
    <row r="26" spans="1:32" x14ac:dyDescent="0.3">
      <c r="B26" s="1"/>
      <c r="G26" s="1">
        <f>-IF(G24&lt;G16,0,IF(G25&lt;(((G24*(E46+F46))+H48+H49+H50+H51)-((G16*(G17+G18)+G19+G20+G21)))/(E71+F56+J19+J20+J21),-G25,-(((G24*(E46+F46))+H48+H49+H50+H51)-((G16*(G17+G18)+G19+G20+G21)))/(E71+F56+J19+J20+J21)))</f>
        <v>600</v>
      </c>
      <c r="H26" s="188">
        <f>G24-G26</f>
        <v>400</v>
      </c>
    </row>
    <row r="27" spans="1:32" x14ac:dyDescent="0.3">
      <c r="B27" s="5" t="s">
        <v>55</v>
      </c>
      <c r="E27" s="26" t="s">
        <v>10</v>
      </c>
      <c r="F27" s="85">
        <v>1</v>
      </c>
      <c r="G27" s="86" t="s">
        <v>9</v>
      </c>
      <c r="H27" s="85">
        <v>1</v>
      </c>
      <c r="K27" s="67">
        <f>M101+M107</f>
        <v>72.880697633039645</v>
      </c>
    </row>
    <row r="28" spans="1:32" x14ac:dyDescent="0.3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32" x14ac:dyDescent="0.3">
      <c r="B29" s="415" t="s">
        <v>137</v>
      </c>
      <c r="C29" s="416"/>
      <c r="D29" s="416"/>
      <c r="E29" s="416"/>
      <c r="F29" s="416"/>
      <c r="G29" s="416"/>
      <c r="H29" s="417"/>
      <c r="I29" s="1"/>
      <c r="J29" s="1"/>
      <c r="K29" s="1"/>
      <c r="L29" s="1"/>
      <c r="M29" s="1"/>
      <c r="N29" s="1"/>
      <c r="O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2" x14ac:dyDescent="0.3">
      <c r="B30" s="41"/>
      <c r="D30" s="46" t="s">
        <v>40</v>
      </c>
      <c r="E30" s="46" t="s">
        <v>10</v>
      </c>
      <c r="F30" s="46" t="s">
        <v>9</v>
      </c>
      <c r="G30" s="46" t="s">
        <v>34</v>
      </c>
      <c r="H30" s="47" t="s">
        <v>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2" x14ac:dyDescent="0.3">
      <c r="A31" s="19" t="s">
        <v>8</v>
      </c>
      <c r="B31" s="48" t="s">
        <v>41</v>
      </c>
      <c r="C31" s="49"/>
      <c r="D31" s="50"/>
      <c r="E31" s="50"/>
      <c r="F31" s="50"/>
      <c r="G31" s="50"/>
      <c r="H31" s="51">
        <f>SUM(H33:H71)+SUM(H76:H81)</f>
        <v>25.154357655759867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9" t="s">
        <v>8</v>
      </c>
      <c r="B32" s="41"/>
      <c r="D32" s="46"/>
      <c r="E32" s="46"/>
      <c r="F32" s="46"/>
      <c r="G32" s="46"/>
      <c r="H32" s="5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65">
        <v>0.65</v>
      </c>
      <c r="B33" s="41" t="s">
        <v>184</v>
      </c>
      <c r="D33" s="93">
        <f>IF(H26&gt;0,30,0)</f>
        <v>30</v>
      </c>
      <c r="E33" s="53">
        <f>$E$46*(1-A33)</f>
        <v>9.5431000000000002E-2</v>
      </c>
      <c r="F33" s="53">
        <f>$F$46*(1-A33)</f>
        <v>9.6960499999999991E-2</v>
      </c>
      <c r="G33" s="53">
        <f>E33+F33</f>
        <v>0.19239149999999999</v>
      </c>
      <c r="H33" s="54">
        <f>ROUND((D33*E33),2)+ROUND((D33*F33),2)</f>
        <v>5.77</v>
      </c>
      <c r="I33" s="1"/>
      <c r="J33" s="1"/>
      <c r="K33" s="1"/>
      <c r="L33" s="1"/>
      <c r="M33" s="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65">
        <v>0.4</v>
      </c>
      <c r="B34" s="41" t="s">
        <v>185</v>
      </c>
      <c r="D34" s="93">
        <v>20</v>
      </c>
      <c r="E34" s="53">
        <f>$E$46*(1-A34)</f>
        <v>0.16359599999999999</v>
      </c>
      <c r="F34" s="53">
        <f t="shared" ref="F34:F36" si="4">$F$46*(1-A34)</f>
        <v>0.166218</v>
      </c>
      <c r="G34" s="53">
        <f t="shared" ref="G34:G36" si="5">E34+F34</f>
        <v>0.329814</v>
      </c>
      <c r="H34" s="54">
        <f t="shared" ref="H34:H36" si="6">ROUND((D34*E34),2)+ROUND((D34*F34),2)</f>
        <v>6.59</v>
      </c>
      <c r="I34" s="1"/>
      <c r="J34" s="1"/>
      <c r="K34" s="1"/>
      <c r="L34" s="1"/>
      <c r="M34" s="9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65">
        <v>0.1</v>
      </c>
      <c r="B35" s="41" t="s">
        <v>186</v>
      </c>
      <c r="D35" s="93"/>
      <c r="E35" s="53">
        <f>$E$46*(1-A35)</f>
        <v>0.24539400000000003</v>
      </c>
      <c r="F35" s="53">
        <f t="shared" si="4"/>
        <v>0.24932699999999999</v>
      </c>
      <c r="G35" s="53">
        <f t="shared" si="5"/>
        <v>0.49472100000000002</v>
      </c>
      <c r="H35" s="54">
        <f t="shared" si="6"/>
        <v>0</v>
      </c>
      <c r="I35" s="1"/>
      <c r="J35" s="1"/>
      <c r="K35" s="1"/>
      <c r="L35" s="1"/>
      <c r="M35" s="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65">
        <v>0</v>
      </c>
      <c r="B36" s="41" t="s">
        <v>187</v>
      </c>
      <c r="D36" s="93"/>
      <c r="E36" s="53">
        <f>$E$46*(1-A36)</f>
        <v>0.27266000000000001</v>
      </c>
      <c r="F36" s="53">
        <f t="shared" si="4"/>
        <v>0.27703</v>
      </c>
      <c r="G36" s="53">
        <f t="shared" si="5"/>
        <v>0.54969000000000001</v>
      </c>
      <c r="H36" s="54">
        <f t="shared" si="6"/>
        <v>0</v>
      </c>
      <c r="I36" s="1"/>
      <c r="J36" s="1"/>
      <c r="K36" s="1"/>
      <c r="L36" s="1"/>
      <c r="M36" s="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B37" s="41"/>
      <c r="D37" s="55"/>
      <c r="E37" s="56"/>
      <c r="F37" s="57"/>
      <c r="G37" s="57"/>
      <c r="H37" s="5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B38" s="41" t="s">
        <v>43</v>
      </c>
      <c r="D38" s="58"/>
      <c r="F38" s="59"/>
      <c r="G38" s="59"/>
      <c r="H38" s="54">
        <f>O124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B39" s="41" t="s">
        <v>44</v>
      </c>
      <c r="D39" s="58"/>
      <c r="F39" s="59"/>
      <c r="G39" s="59"/>
      <c r="H39" s="54">
        <f>O133</f>
        <v>0</v>
      </c>
      <c r="I39" s="1"/>
      <c r="J39" s="1"/>
      <c r="K39" s="1"/>
      <c r="L39" s="18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B40" s="41" t="s">
        <v>45</v>
      </c>
      <c r="D40" s="58"/>
      <c r="F40" s="59"/>
      <c r="G40" s="59"/>
      <c r="H40" s="54">
        <f>O142</f>
        <v>0</v>
      </c>
      <c r="I40" s="1"/>
      <c r="J40" s="1"/>
      <c r="K40" s="1"/>
      <c r="L40" s="1"/>
      <c r="M40" s="1"/>
      <c r="N40" s="1"/>
      <c r="O40" s="1"/>
      <c r="AF40" s="1"/>
    </row>
    <row r="41" spans="1:32" x14ac:dyDescent="0.3">
      <c r="B41" s="41" t="s">
        <v>46</v>
      </c>
      <c r="D41" s="58"/>
      <c r="F41" s="59"/>
      <c r="G41" s="59"/>
      <c r="H41" s="54">
        <f>O151</f>
        <v>0</v>
      </c>
      <c r="I41" s="1"/>
      <c r="J41" s="1"/>
      <c r="K41" s="1"/>
      <c r="L41" s="1"/>
      <c r="M41" s="1"/>
      <c r="N41" s="1"/>
      <c r="O41" s="1"/>
      <c r="AF41" s="1"/>
    </row>
    <row r="42" spans="1:32" ht="14.25" customHeight="1" x14ac:dyDescent="0.3">
      <c r="B42" s="41"/>
      <c r="D42" s="60"/>
      <c r="H42" s="54"/>
      <c r="I42" s="1"/>
      <c r="J42" s="1"/>
      <c r="K42" s="90"/>
      <c r="L42" s="1"/>
      <c r="M42" s="1"/>
      <c r="N42" s="1"/>
      <c r="O42" s="1"/>
      <c r="AF42" s="1"/>
    </row>
    <row r="43" spans="1:32" x14ac:dyDescent="0.3">
      <c r="A43" s="165">
        <v>0.65</v>
      </c>
      <c r="B43" s="41" t="s">
        <v>148</v>
      </c>
      <c r="D43" s="93">
        <v>30</v>
      </c>
      <c r="E43" s="53">
        <f>$E$46*(1-A43)</f>
        <v>9.5431000000000002E-2</v>
      </c>
      <c r="F43" s="53">
        <f>$F$46*(1-A43)</f>
        <v>9.6960499999999991E-2</v>
      </c>
      <c r="G43" s="53">
        <f>E43+F43</f>
        <v>0.19239149999999999</v>
      </c>
      <c r="H43" s="54">
        <f>ROUND((D43*E43),2)+ROUND((D43*F43),2)</f>
        <v>5.77</v>
      </c>
      <c r="I43" s="1"/>
      <c r="J43" s="1"/>
      <c r="K43" s="1"/>
      <c r="L43" s="1"/>
      <c r="M43" s="9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65">
        <v>0.4</v>
      </c>
      <c r="B44" s="41" t="s">
        <v>149</v>
      </c>
      <c r="D44" s="93">
        <v>70</v>
      </c>
      <c r="E44" s="53">
        <f t="shared" ref="E44:E45" si="7">$E$46*(1-A44)</f>
        <v>0.16359599999999999</v>
      </c>
      <c r="F44" s="53">
        <f t="shared" ref="F44:F45" si="8">$F$46*(1-A44)</f>
        <v>0.166218</v>
      </c>
      <c r="G44" s="53">
        <f t="shared" ref="G44:G46" si="9">E44+F44</f>
        <v>0.329814</v>
      </c>
      <c r="H44" s="54">
        <f t="shared" ref="H44:H46" si="10">ROUND((D44*E44),2)+ROUND((D44*F44),2)</f>
        <v>23.09</v>
      </c>
      <c r="I44" s="1"/>
      <c r="J44" s="1"/>
      <c r="K44" s="1"/>
      <c r="L44" s="1"/>
      <c r="M44" s="9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65">
        <v>0.1</v>
      </c>
      <c r="B45" s="41" t="s">
        <v>151</v>
      </c>
      <c r="D45" s="93">
        <v>120</v>
      </c>
      <c r="E45" s="53">
        <f t="shared" si="7"/>
        <v>0.24539400000000003</v>
      </c>
      <c r="F45" s="53">
        <f t="shared" si="8"/>
        <v>0.24932699999999999</v>
      </c>
      <c r="G45" s="53">
        <f t="shared" si="9"/>
        <v>0.49472100000000002</v>
      </c>
      <c r="H45" s="54">
        <f t="shared" si="10"/>
        <v>59.370000000000005</v>
      </c>
      <c r="I45" s="1"/>
      <c r="J45" s="1"/>
      <c r="K45" s="1"/>
      <c r="L45" s="1"/>
      <c r="M45" s="9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65">
        <v>0</v>
      </c>
      <c r="B46" s="41" t="s">
        <v>150</v>
      </c>
      <c r="D46" s="93">
        <v>9</v>
      </c>
      <c r="E46" s="53">
        <f>IF(AND($B$13&lt;$F$2,$E$13&lt;$F$2),C6,IF($B$13&lt;$F$2,I6,F6))</f>
        <v>0.27266000000000001</v>
      </c>
      <c r="F46" s="53">
        <f>IF(AND($B$13&lt;$F$2,$E$13&lt;$F$2),D6,IF($B$13&lt;$F$2,J6,G6))</f>
        <v>0.27703</v>
      </c>
      <c r="G46" s="53">
        <f t="shared" si="9"/>
        <v>0.54969000000000001</v>
      </c>
      <c r="H46" s="54">
        <f t="shared" si="10"/>
        <v>4.9400000000000004</v>
      </c>
      <c r="I46" s="1"/>
      <c r="J46" s="1"/>
      <c r="K46" s="1"/>
      <c r="L46" s="1"/>
      <c r="M46" s="9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B47" s="41"/>
      <c r="D47" s="55"/>
      <c r="E47" s="56"/>
      <c r="F47" s="57"/>
      <c r="G47" s="57"/>
      <c r="H47" s="5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B48" s="41" t="s">
        <v>43</v>
      </c>
      <c r="D48" s="58"/>
      <c r="F48" s="59"/>
      <c r="G48" s="59"/>
      <c r="H48" s="54">
        <f>O161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B49" s="41" t="s">
        <v>44</v>
      </c>
      <c r="D49" s="58"/>
      <c r="F49" s="59"/>
      <c r="G49" s="59"/>
      <c r="H49" s="54">
        <f>O170</f>
        <v>0</v>
      </c>
      <c r="I49" s="1"/>
      <c r="J49" s="1"/>
      <c r="K49" s="1"/>
      <c r="L49" s="18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B50" s="41" t="s">
        <v>45</v>
      </c>
      <c r="D50" s="58"/>
      <c r="F50" s="59"/>
      <c r="G50" s="59"/>
      <c r="H50" s="54">
        <f>O179</f>
        <v>0</v>
      </c>
      <c r="I50" s="1"/>
      <c r="J50" s="1"/>
      <c r="K50" s="1"/>
      <c r="L50" s="1"/>
      <c r="M50" s="1"/>
      <c r="N50" s="1"/>
      <c r="O50" s="1"/>
      <c r="AF50" s="1"/>
    </row>
    <row r="51" spans="1:32" x14ac:dyDescent="0.3">
      <c r="B51" s="41" t="s">
        <v>46</v>
      </c>
      <c r="D51" s="58"/>
      <c r="F51" s="59"/>
      <c r="G51" s="59"/>
      <c r="H51" s="54">
        <f>O188</f>
        <v>0</v>
      </c>
      <c r="I51" s="1"/>
      <c r="J51" s="1"/>
      <c r="K51" s="1"/>
      <c r="L51" s="1"/>
      <c r="M51" s="1"/>
      <c r="N51" s="1"/>
      <c r="O51" s="1"/>
      <c r="AF51" s="1"/>
    </row>
    <row r="52" spans="1:32" ht="14.25" customHeight="1" x14ac:dyDescent="0.3">
      <c r="B52" s="41"/>
      <c r="D52" s="60"/>
      <c r="H52" s="54"/>
      <c r="I52" s="1"/>
      <c r="J52" s="1"/>
      <c r="K52" s="90"/>
      <c r="L52" s="1"/>
      <c r="M52" s="1"/>
      <c r="N52" s="1"/>
      <c r="O52" s="1"/>
      <c r="AF52" s="1"/>
    </row>
    <row r="53" spans="1:32" x14ac:dyDescent="0.3">
      <c r="A53" s="165">
        <v>0.65</v>
      </c>
      <c r="B53" s="41" t="s">
        <v>163</v>
      </c>
      <c r="D53" s="92">
        <v>-30</v>
      </c>
      <c r="E53" s="53">
        <f>E43</f>
        <v>9.5431000000000002E-2</v>
      </c>
      <c r="F53" s="53">
        <f>F43</f>
        <v>9.6960499999999991E-2</v>
      </c>
      <c r="G53" s="53">
        <f>E53+F53</f>
        <v>0.19239149999999999</v>
      </c>
      <c r="H53" s="54">
        <f>ROUND((D53*E53),2)+ROUND((D53*F53),2)</f>
        <v>-5.77</v>
      </c>
      <c r="I53" s="1"/>
      <c r="J53" s="1"/>
      <c r="K53" s="90"/>
      <c r="L53" s="1"/>
      <c r="M53" s="90"/>
      <c r="N53" s="1"/>
      <c r="O53" s="1"/>
      <c r="AF53" s="1"/>
    </row>
    <row r="54" spans="1:32" x14ac:dyDescent="0.3">
      <c r="A54" s="165">
        <v>0.4</v>
      </c>
      <c r="B54" s="41" t="s">
        <v>164</v>
      </c>
      <c r="D54" s="92">
        <v>-70</v>
      </c>
      <c r="E54" s="53">
        <f t="shared" ref="E54:F56" si="11">E44</f>
        <v>0.16359599999999999</v>
      </c>
      <c r="F54" s="53">
        <f t="shared" si="11"/>
        <v>0.166218</v>
      </c>
      <c r="G54" s="53">
        <f t="shared" ref="G54:G56" si="12">E54+F54</f>
        <v>0.329814</v>
      </c>
      <c r="H54" s="54">
        <f t="shared" ref="H54:H56" si="13">ROUND((D54*E54),2)+ROUND((D54*F54),2)</f>
        <v>-23.09</v>
      </c>
      <c r="I54" s="1"/>
      <c r="J54" s="1"/>
      <c r="K54" s="90"/>
      <c r="L54" s="1"/>
      <c r="M54" s="1"/>
      <c r="N54" s="1"/>
      <c r="O54" s="1"/>
      <c r="AF54" s="1"/>
    </row>
    <row r="55" spans="1:32" x14ac:dyDescent="0.3">
      <c r="A55" s="165">
        <v>0.1</v>
      </c>
      <c r="B55" s="41" t="s">
        <v>165</v>
      </c>
      <c r="D55" s="92">
        <v>-120</v>
      </c>
      <c r="E55" s="53">
        <f t="shared" si="11"/>
        <v>0.24539400000000003</v>
      </c>
      <c r="F55" s="53">
        <f t="shared" si="11"/>
        <v>0.24932699999999999</v>
      </c>
      <c r="G55" s="53">
        <f t="shared" si="12"/>
        <v>0.49472100000000002</v>
      </c>
      <c r="H55" s="54">
        <f t="shared" si="13"/>
        <v>-59.370000000000005</v>
      </c>
      <c r="I55" s="1"/>
      <c r="J55" s="1"/>
      <c r="K55" s="1"/>
      <c r="L55" s="1"/>
      <c r="M55" s="1"/>
      <c r="N55" s="1"/>
      <c r="O55" s="1"/>
      <c r="AF55" s="1"/>
    </row>
    <row r="56" spans="1:32" x14ac:dyDescent="0.3">
      <c r="A56" s="165">
        <v>0</v>
      </c>
      <c r="B56" s="41" t="s">
        <v>166</v>
      </c>
      <c r="D56" s="92">
        <v>-9</v>
      </c>
      <c r="E56" s="53">
        <f t="shared" si="11"/>
        <v>0.27266000000000001</v>
      </c>
      <c r="F56" s="53">
        <f t="shared" si="11"/>
        <v>0.27703</v>
      </c>
      <c r="G56" s="53">
        <f t="shared" si="12"/>
        <v>0.54969000000000001</v>
      </c>
      <c r="H56" s="54">
        <f t="shared" si="13"/>
        <v>-4.9400000000000004</v>
      </c>
      <c r="I56" s="1"/>
      <c r="J56" s="1"/>
      <c r="K56" s="1"/>
      <c r="L56" s="1"/>
      <c r="M56" s="1"/>
      <c r="N56" s="1"/>
      <c r="O56" s="1"/>
      <c r="AF56" s="1"/>
    </row>
    <row r="57" spans="1:32" x14ac:dyDescent="0.3">
      <c r="B57" s="41"/>
      <c r="D57" s="55"/>
      <c r="E57" s="56"/>
      <c r="F57" s="57"/>
      <c r="G57" s="57"/>
      <c r="H57" s="54"/>
      <c r="J57" s="1"/>
      <c r="K57" s="1"/>
      <c r="L57" s="1"/>
      <c r="M57" s="1"/>
      <c r="N57" s="1"/>
      <c r="O57" s="1"/>
      <c r="AF57" s="1"/>
    </row>
    <row r="58" spans="1:32" x14ac:dyDescent="0.3">
      <c r="B58" s="41" t="s">
        <v>43</v>
      </c>
      <c r="D58" s="58"/>
      <c r="F58" s="59"/>
      <c r="G58" s="59"/>
      <c r="H58" s="54">
        <f>O200</f>
        <v>0</v>
      </c>
      <c r="J58" s="1"/>
      <c r="K58" s="1"/>
      <c r="L58" s="1"/>
      <c r="M58" s="1"/>
      <c r="N58" s="1"/>
      <c r="O58" s="1"/>
      <c r="AF58" s="1"/>
    </row>
    <row r="59" spans="1:32" x14ac:dyDescent="0.3">
      <c r="B59" s="41" t="s">
        <v>44</v>
      </c>
      <c r="D59" s="58"/>
      <c r="F59" s="59"/>
      <c r="G59" s="59"/>
      <c r="H59" s="54">
        <f>O209</f>
        <v>0</v>
      </c>
      <c r="I59" s="1"/>
      <c r="J59" s="1"/>
      <c r="K59" s="1"/>
      <c r="L59" s="1"/>
      <c r="M59" s="1"/>
      <c r="N59" s="1"/>
      <c r="O59" s="1"/>
      <c r="AF59" s="1"/>
    </row>
    <row r="60" spans="1:32" x14ac:dyDescent="0.3">
      <c r="B60" s="41" t="s">
        <v>45</v>
      </c>
      <c r="D60" s="58"/>
      <c r="F60" s="59"/>
      <c r="G60" s="59"/>
      <c r="H60" s="54">
        <f>O218</f>
        <v>0</v>
      </c>
      <c r="I60" s="1"/>
      <c r="J60" s="1"/>
      <c r="K60" s="1"/>
      <c r="L60" s="1"/>
      <c r="M60" s="1"/>
      <c r="N60" s="1"/>
      <c r="O60" s="1"/>
      <c r="AF60" s="1"/>
    </row>
    <row r="61" spans="1:32" x14ac:dyDescent="0.3">
      <c r="B61" s="41" t="s">
        <v>46</v>
      </c>
      <c r="D61" s="58"/>
      <c r="F61" s="59"/>
      <c r="G61" s="59"/>
      <c r="H61" s="54">
        <f>O227</f>
        <v>0</v>
      </c>
      <c r="I61" s="97"/>
      <c r="J61" s="1"/>
      <c r="K61" s="1"/>
      <c r="L61" s="1"/>
      <c r="M61" s="1"/>
      <c r="N61" s="1"/>
      <c r="O61" s="1"/>
      <c r="AF61" s="1"/>
    </row>
    <row r="62" spans="1:32" x14ac:dyDescent="0.3">
      <c r="B62" s="41"/>
      <c r="D62" s="58"/>
      <c r="F62" s="59"/>
      <c r="G62" s="59"/>
      <c r="H62" s="54"/>
      <c r="I62" s="1"/>
      <c r="J62" s="1"/>
      <c r="K62" s="1"/>
      <c r="L62" s="1"/>
      <c r="M62" s="1"/>
      <c r="N62" s="1"/>
      <c r="O62" s="1"/>
      <c r="AF62" s="1"/>
    </row>
    <row r="63" spans="1:32" x14ac:dyDescent="0.3">
      <c r="A63" s="165">
        <v>0.65</v>
      </c>
      <c r="B63" s="181" t="s">
        <v>175</v>
      </c>
      <c r="C63" s="182"/>
      <c r="D63" s="183">
        <f>-D53</f>
        <v>30</v>
      </c>
      <c r="E63" s="184">
        <f>$E$66*(1-A63)</f>
        <v>9.5431000000000002E-2</v>
      </c>
      <c r="F63" s="184">
        <f>$F$66*(1-A63)</f>
        <v>6.5682919354838713E-3</v>
      </c>
      <c r="G63" s="184">
        <f>E63+F63</f>
        <v>0.10199929193548388</v>
      </c>
      <c r="H63" s="185">
        <f>ROUND(D63*(E63+F63),2)</f>
        <v>3.06</v>
      </c>
      <c r="I63" s="1"/>
      <c r="L63" s="1"/>
      <c r="M63" s="1"/>
      <c r="N63" s="1"/>
      <c r="O63" s="1"/>
      <c r="AF63" s="1"/>
    </row>
    <row r="64" spans="1:32" x14ac:dyDescent="0.3">
      <c r="A64" s="165">
        <v>0.4</v>
      </c>
      <c r="B64" s="181" t="s">
        <v>176</v>
      </c>
      <c r="C64" s="182"/>
      <c r="D64" s="183">
        <f t="shared" ref="D64:D66" si="14">-D54</f>
        <v>70</v>
      </c>
      <c r="E64" s="184">
        <f t="shared" ref="E64:E65" si="15">$E$66*(1-A64)</f>
        <v>0.16359599999999999</v>
      </c>
      <c r="F64" s="184">
        <f t="shared" ref="F64:F65" si="16">$F$66*(1-A64)</f>
        <v>1.1259929032258064E-2</v>
      </c>
      <c r="G64" s="184">
        <f t="shared" ref="G64:G66" si="17">E64+F64</f>
        <v>0.17485592903225805</v>
      </c>
      <c r="H64" s="185">
        <f t="shared" ref="H64:H66" si="18">ROUND(D64*(E64+F64),2)</f>
        <v>12.24</v>
      </c>
      <c r="I64" s="1"/>
      <c r="L64" s="1"/>
      <c r="M64" s="1"/>
      <c r="N64" s="1"/>
      <c r="O64" s="1"/>
      <c r="AF64" s="1"/>
    </row>
    <row r="65" spans="1:32" x14ac:dyDescent="0.3">
      <c r="A65" s="165">
        <v>0.1</v>
      </c>
      <c r="B65" s="181" t="s">
        <v>177</v>
      </c>
      <c r="C65" s="182"/>
      <c r="D65" s="183">
        <f t="shared" si="14"/>
        <v>120</v>
      </c>
      <c r="E65" s="184">
        <f t="shared" si="15"/>
        <v>0.24539400000000003</v>
      </c>
      <c r="F65" s="184">
        <f t="shared" si="16"/>
        <v>1.6889893548387099E-2</v>
      </c>
      <c r="G65" s="184">
        <f t="shared" si="17"/>
        <v>0.2622838935483871</v>
      </c>
      <c r="H65" s="185">
        <f t="shared" si="18"/>
        <v>31.47</v>
      </c>
      <c r="I65" s="1"/>
      <c r="L65" s="1"/>
      <c r="M65" s="1"/>
      <c r="N65" s="1"/>
      <c r="O65" s="1"/>
      <c r="AF65" s="1"/>
    </row>
    <row r="66" spans="1:32" x14ac:dyDescent="0.3">
      <c r="A66" s="165">
        <v>0</v>
      </c>
      <c r="B66" s="181" t="s">
        <v>178</v>
      </c>
      <c r="C66" s="182"/>
      <c r="D66" s="183">
        <f t="shared" si="14"/>
        <v>9</v>
      </c>
      <c r="E66" s="184">
        <f>E46</f>
        <v>0.27266000000000001</v>
      </c>
      <c r="F66" s="184">
        <f>IF(AND($B$13&lt;$F$2,$E$13&lt;$F$2),D7,IF($B$13&lt;$F$2,J7,G7))</f>
        <v>1.8766548387096776E-2</v>
      </c>
      <c r="G66" s="184">
        <f t="shared" si="17"/>
        <v>0.29142654838709681</v>
      </c>
      <c r="H66" s="185">
        <f t="shared" si="18"/>
        <v>2.62</v>
      </c>
      <c r="I66" s="1"/>
      <c r="L66" s="1"/>
      <c r="M66" s="1"/>
      <c r="N66" s="1"/>
      <c r="O66" s="1"/>
      <c r="AF66" s="1"/>
    </row>
    <row r="67" spans="1:32" x14ac:dyDescent="0.3">
      <c r="B67" s="181"/>
      <c r="C67" s="182"/>
      <c r="D67" s="186"/>
      <c r="E67" s="182"/>
      <c r="F67" s="187"/>
      <c r="G67" s="187"/>
      <c r="H67" s="185"/>
      <c r="I67" s="1"/>
      <c r="L67" s="1"/>
      <c r="M67" s="1"/>
      <c r="N67" s="1"/>
      <c r="O67" s="1"/>
      <c r="AF67" s="1"/>
    </row>
    <row r="68" spans="1:32" x14ac:dyDescent="0.3">
      <c r="B68" s="181" t="s">
        <v>179</v>
      </c>
      <c r="C68" s="182"/>
      <c r="D68" s="183">
        <f>-D63</f>
        <v>-30</v>
      </c>
      <c r="E68" s="184">
        <f>E63*$F$27</f>
        <v>9.5431000000000002E-2</v>
      </c>
      <c r="F68" s="184">
        <f>F63*$H$27</f>
        <v>6.5682919354838713E-3</v>
      </c>
      <c r="G68" s="184">
        <f>E68+F68</f>
        <v>0.10199929193548388</v>
      </c>
      <c r="H68" s="185">
        <f>ROUND(D68*(E68+F68),2)</f>
        <v>-3.06</v>
      </c>
      <c r="I68" s="66"/>
      <c r="K68" s="67"/>
      <c r="L68" s="1"/>
      <c r="M68" s="1"/>
      <c r="N68" s="1"/>
      <c r="O68" s="1"/>
      <c r="AF68" s="1"/>
    </row>
    <row r="69" spans="1:32" x14ac:dyDescent="0.3">
      <c r="B69" s="181" t="s">
        <v>180</v>
      </c>
      <c r="C69" s="182"/>
      <c r="D69" s="183">
        <f t="shared" ref="D69:D71" si="19">-D64</f>
        <v>-70</v>
      </c>
      <c r="E69" s="184">
        <f>E64*$F$27</f>
        <v>0.16359599999999999</v>
      </c>
      <c r="F69" s="184">
        <f t="shared" ref="F69:F71" si="20">F64*$H$27</f>
        <v>1.1259929032258064E-2</v>
      </c>
      <c r="G69" s="184">
        <f t="shared" ref="G69:G71" si="21">E69+F69</f>
        <v>0.17485592903225805</v>
      </c>
      <c r="H69" s="185">
        <f t="shared" ref="H69:H71" si="22">ROUND(D69*(E69+F69),2)</f>
        <v>-12.24</v>
      </c>
      <c r="I69" s="66"/>
      <c r="K69" s="67"/>
      <c r="L69" s="1"/>
      <c r="M69" s="1"/>
      <c r="N69" s="1"/>
      <c r="O69" s="1"/>
      <c r="AF69" s="1"/>
    </row>
    <row r="70" spans="1:32" x14ac:dyDescent="0.3">
      <c r="B70" s="181" t="s">
        <v>181</v>
      </c>
      <c r="C70" s="182"/>
      <c r="D70" s="183">
        <f t="shared" si="19"/>
        <v>-120</v>
      </c>
      <c r="E70" s="184">
        <f>E65*$F$27</f>
        <v>0.24539400000000003</v>
      </c>
      <c r="F70" s="184">
        <f t="shared" si="20"/>
        <v>1.6889893548387099E-2</v>
      </c>
      <c r="G70" s="184">
        <f t="shared" si="21"/>
        <v>0.2622838935483871</v>
      </c>
      <c r="H70" s="185">
        <f t="shared" si="22"/>
        <v>-31.47</v>
      </c>
      <c r="I70" s="66"/>
      <c r="K70" s="67"/>
      <c r="L70" s="1"/>
      <c r="M70" s="1"/>
      <c r="N70" s="1"/>
      <c r="O70" s="1"/>
      <c r="AF70" s="1"/>
    </row>
    <row r="71" spans="1:32" x14ac:dyDescent="0.3">
      <c r="B71" s="181" t="s">
        <v>182</v>
      </c>
      <c r="C71" s="182"/>
      <c r="D71" s="183">
        <f t="shared" si="19"/>
        <v>-9</v>
      </c>
      <c r="E71" s="184">
        <f>E66*$F$27</f>
        <v>0.27266000000000001</v>
      </c>
      <c r="F71" s="184">
        <f t="shared" si="20"/>
        <v>1.8766548387096776E-2</v>
      </c>
      <c r="G71" s="184">
        <f t="shared" si="21"/>
        <v>0.29142654838709681</v>
      </c>
      <c r="H71" s="185">
        <f t="shared" si="22"/>
        <v>-2.62</v>
      </c>
      <c r="I71" s="66">
        <f>SUM(H63:H71)</f>
        <v>-9.7699626167013776E-15</v>
      </c>
      <c r="K71" s="67"/>
      <c r="L71" s="1"/>
      <c r="M71" s="1"/>
      <c r="N71" s="1"/>
      <c r="O71" s="1"/>
      <c r="AF71" s="1"/>
    </row>
    <row r="72" spans="1:32" x14ac:dyDescent="0.3">
      <c r="B72" s="61"/>
      <c r="C72" s="24"/>
      <c r="D72" s="24"/>
      <c r="E72" s="24"/>
      <c r="F72" s="24"/>
      <c r="G72" s="24"/>
      <c r="H72" s="62"/>
      <c r="I72" s="67"/>
      <c r="L72" s="1"/>
      <c r="M72" s="1"/>
      <c r="N72" s="1"/>
      <c r="O72" s="1"/>
      <c r="AF72" s="1"/>
    </row>
    <row r="73" spans="1:32" x14ac:dyDescent="0.3">
      <c r="B73" s="34"/>
      <c r="C73" s="35"/>
      <c r="D73" s="35"/>
      <c r="E73" s="35"/>
      <c r="F73" s="35"/>
      <c r="G73" s="35"/>
      <c r="H73" s="96">
        <f>SUM(H33:H72)</f>
        <v>12.359999999999989</v>
      </c>
      <c r="I73" s="67"/>
      <c r="J73" s="67">
        <f>231.75-'Fatura B1 (GD II) (Baixa Re (2)'!H73</f>
        <v>219.39000000000001</v>
      </c>
      <c r="L73" s="1"/>
      <c r="M73" s="1"/>
      <c r="N73" s="1"/>
      <c r="O73" s="1"/>
      <c r="AF73" s="1"/>
    </row>
    <row r="74" spans="1:32" ht="25.5" customHeight="1" x14ac:dyDescent="0.3">
      <c r="B74" s="95"/>
      <c r="C74" s="1"/>
      <c r="D74" s="1"/>
      <c r="E74" s="1"/>
      <c r="F74" s="1"/>
      <c r="G74" s="1"/>
      <c r="H74" s="43"/>
      <c r="I74" s="67"/>
      <c r="L74" s="1"/>
      <c r="M74" s="1"/>
      <c r="N74" s="1"/>
      <c r="O74" s="1"/>
      <c r="AF74" s="1"/>
    </row>
    <row r="75" spans="1:32" x14ac:dyDescent="0.3">
      <c r="B75" s="41"/>
      <c r="D75" s="63" t="s">
        <v>48</v>
      </c>
      <c r="E75" s="64"/>
      <c r="F75" s="64"/>
      <c r="G75" s="64"/>
      <c r="H75" s="65"/>
      <c r="I75" s="67"/>
      <c r="L75" s="1"/>
      <c r="M75" s="1"/>
      <c r="N75" s="1"/>
      <c r="O75" s="1"/>
      <c r="AF75" s="1"/>
    </row>
    <row r="76" spans="1:32" x14ac:dyDescent="0.3">
      <c r="B76" s="41" t="s">
        <v>49</v>
      </c>
      <c r="D76" s="68">
        <f>SUM(H33:H51)/(1-E76-E78)</f>
        <v>108.98481875451823</v>
      </c>
      <c r="E76" s="69">
        <v>5.5999999999999999E-3</v>
      </c>
      <c r="H76" s="70">
        <f>D76*E76</f>
        <v>0.61031498502530213</v>
      </c>
      <c r="I76" s="67"/>
      <c r="L76" s="1"/>
      <c r="M76" s="1"/>
      <c r="N76" s="1"/>
      <c r="O76" s="1"/>
      <c r="AF76" s="1"/>
    </row>
    <row r="77" spans="1:32" x14ac:dyDescent="0.3">
      <c r="B77" s="41" t="s">
        <v>50</v>
      </c>
      <c r="D77" s="68">
        <f>SUM(H53:H71)/(1-E76-E78)</f>
        <v>-96.220179696375112</v>
      </c>
      <c r="E77" s="71">
        <f>E76</f>
        <v>5.5999999999999999E-3</v>
      </c>
      <c r="H77" s="70">
        <f t="shared" ref="H77:H79" si="23">D77*E77</f>
        <v>-0.53883300629970066</v>
      </c>
      <c r="L77" s="1"/>
      <c r="M77" s="1"/>
      <c r="N77" s="1"/>
      <c r="O77" s="1"/>
      <c r="AF77" s="1"/>
    </row>
    <row r="78" spans="1:32" x14ac:dyDescent="0.3">
      <c r="B78" s="41" t="s">
        <v>51</v>
      </c>
      <c r="D78" s="68">
        <f>D76</f>
        <v>108.98481875451823</v>
      </c>
      <c r="E78" s="69">
        <v>2.6100000000000002E-2</v>
      </c>
      <c r="H78" s="70">
        <f t="shared" si="23"/>
        <v>2.8445037694929258</v>
      </c>
      <c r="L78" s="1"/>
      <c r="M78" s="1"/>
      <c r="N78" s="1"/>
      <c r="O78" s="1"/>
      <c r="AF78" s="1"/>
    </row>
    <row r="79" spans="1:32" x14ac:dyDescent="0.3">
      <c r="B79" s="41" t="s">
        <v>52</v>
      </c>
      <c r="D79" s="68">
        <f>D77</f>
        <v>-96.220179696375112</v>
      </c>
      <c r="E79" s="71">
        <f>E78</f>
        <v>2.6100000000000002E-2</v>
      </c>
      <c r="H79" s="70">
        <f t="shared" si="23"/>
        <v>-2.5113466900753907</v>
      </c>
      <c r="L79" s="1"/>
      <c r="M79" s="1"/>
      <c r="N79" s="1"/>
      <c r="O79" s="1"/>
      <c r="AF79" s="1"/>
    </row>
    <row r="80" spans="1:32" x14ac:dyDescent="0.3">
      <c r="B80" s="41" t="s">
        <v>11</v>
      </c>
      <c r="D80" s="72">
        <f>D76/(1-E80)</f>
        <v>131.30701054761232</v>
      </c>
      <c r="E80" s="73">
        <v>0.17</v>
      </c>
      <c r="H80" s="70">
        <f>D80*E80</f>
        <v>22.322191793094095</v>
      </c>
      <c r="AF80" s="1"/>
    </row>
    <row r="81" spans="2:32" x14ac:dyDescent="0.3">
      <c r="B81" s="74" t="s">
        <v>53</v>
      </c>
      <c r="C81" s="75"/>
      <c r="D81" s="76">
        <f>((D53*F53)+(D54*F54)+(D55*F55)+(D56*F56)+(D64*F64)+(D65*F65)+(D66*F66)+(D69*F69)+(D70*F70)+(D71*F71)+(H58+H59+H60+H61)+(D63*F63)+(D68*F68))/(1-E77-E79)/(1-E81)</f>
        <v>-58.426312914572677</v>
      </c>
      <c r="E81" s="77">
        <f>E80</f>
        <v>0.17</v>
      </c>
      <c r="F81" s="75"/>
      <c r="G81" s="75"/>
      <c r="H81" s="78">
        <f>D81*E81</f>
        <v>-9.9324731954773551</v>
      </c>
      <c r="AF81" s="1"/>
    </row>
    <row r="82" spans="2:32" x14ac:dyDescent="0.3">
      <c r="B82" s="217" t="s">
        <v>183</v>
      </c>
      <c r="C82" s="218"/>
      <c r="D82" s="219">
        <f>K114</f>
        <v>39.007906043258032</v>
      </c>
      <c r="E82" s="220">
        <f>E81</f>
        <v>0.17</v>
      </c>
      <c r="F82" s="218"/>
      <c r="G82" s="218"/>
      <c r="H82" s="221">
        <f>D82*E82</f>
        <v>6.6313440273538662</v>
      </c>
      <c r="AF82" s="1"/>
    </row>
    <row r="83" spans="2:32" x14ac:dyDescent="0.3">
      <c r="AF83" s="1"/>
    </row>
    <row r="84" spans="2:32" x14ac:dyDescent="0.3">
      <c r="AF84" s="1"/>
    </row>
    <row r="85" spans="2:32" x14ac:dyDescent="0.3">
      <c r="B85" s="170" t="s">
        <v>167</v>
      </c>
      <c r="C85" s="171"/>
      <c r="D85" s="171"/>
      <c r="E85" s="171"/>
      <c r="F85" s="171"/>
      <c r="G85" s="171"/>
      <c r="H85" s="172">
        <f>K113</f>
        <v>15.124499999999998</v>
      </c>
      <c r="I85" s="173" t="s">
        <v>168</v>
      </c>
      <c r="J85" s="174"/>
      <c r="K85" s="175"/>
      <c r="L85" s="176"/>
      <c r="M85" s="176"/>
      <c r="N85" s="176"/>
      <c r="O85" s="176"/>
      <c r="AF85" s="1"/>
    </row>
    <row r="86" spans="2:32" x14ac:dyDescent="0.3">
      <c r="L86" s="1"/>
      <c r="M86" s="1"/>
      <c r="N86" s="177"/>
      <c r="O86" s="1"/>
      <c r="AF86" s="1"/>
    </row>
    <row r="87" spans="2:32" x14ac:dyDescent="0.3">
      <c r="F87" s="130" t="s">
        <v>191</v>
      </c>
      <c r="G87" s="1"/>
      <c r="H87" s="1"/>
      <c r="L87" s="1"/>
      <c r="M87" s="1"/>
      <c r="N87" s="177"/>
      <c r="O87" s="1"/>
      <c r="AF87" s="1"/>
    </row>
    <row r="88" spans="2:32" x14ac:dyDescent="0.3">
      <c r="G88" s="1"/>
      <c r="H88" s="1"/>
      <c r="I88" s="178" t="s">
        <v>169</v>
      </c>
      <c r="J88" s="178" t="s">
        <v>170</v>
      </c>
      <c r="K88" s="118"/>
      <c r="L88" s="1"/>
      <c r="M88" s="1" t="s">
        <v>192</v>
      </c>
      <c r="N88" s="177"/>
      <c r="O88" s="1"/>
      <c r="AF88" s="1"/>
    </row>
    <row r="89" spans="2:32" x14ac:dyDescent="0.3">
      <c r="F89" s="19" t="s">
        <v>156</v>
      </c>
      <c r="G89" s="190" t="s">
        <v>171</v>
      </c>
      <c r="H89" s="191">
        <f>SUM(D33:D36,D43:D46)</f>
        <v>279</v>
      </c>
      <c r="I89" s="192">
        <f>E36</f>
        <v>0.27266000000000001</v>
      </c>
      <c r="J89" s="192">
        <f>F36</f>
        <v>0.27703</v>
      </c>
      <c r="K89" s="193">
        <f>H89*(I89+J89)</f>
        <v>153.36350999999999</v>
      </c>
      <c r="L89" s="179"/>
      <c r="M89" s="215">
        <f>SUM(K89:K93)/(1-E76-E78)/(1-E80)</f>
        <v>190.8244482629475</v>
      </c>
      <c r="N89" s="177"/>
      <c r="O89" s="1"/>
      <c r="AF89" s="1"/>
    </row>
    <row r="90" spans="2:32" x14ac:dyDescent="0.3">
      <c r="G90" s="194" t="s">
        <v>14</v>
      </c>
      <c r="H90" s="191">
        <f>IF($K$11=$B$154,(H89*($K$13)/($K$13+$L$13)),0)+IF($L$11=$B$154,(H89*($L$13)/($K$13+$L$13)),0)</f>
        <v>0</v>
      </c>
      <c r="I90" s="1"/>
      <c r="J90" s="192">
        <f>N4</f>
        <v>2.989E-2</v>
      </c>
      <c r="K90" s="195">
        <f>H90*(I90+J90)</f>
        <v>0</v>
      </c>
      <c r="L90" s="1"/>
      <c r="M90" s="1"/>
      <c r="N90" s="1"/>
      <c r="O90" s="1"/>
    </row>
    <row r="91" spans="2:32" x14ac:dyDescent="0.3">
      <c r="G91" s="194" t="s">
        <v>15</v>
      </c>
      <c r="H91" s="191">
        <f>IF($K$11=$B$163,(H90*($K$13)/($K$13+$L$13)),0)+IF($L$11=$B$163,(H90*($L$13)/($K$13+$L$13)),0)</f>
        <v>0</v>
      </c>
      <c r="I91" s="1"/>
      <c r="J91" s="192">
        <f>N5</f>
        <v>6.5000000000000002E-2</v>
      </c>
      <c r="K91" s="195">
        <f t="shared" ref="K91:K93" si="24">H91*(I91+J91)</f>
        <v>0</v>
      </c>
      <c r="L91" s="1"/>
      <c r="M91" s="1"/>
      <c r="N91" s="1"/>
      <c r="O91" s="1"/>
    </row>
    <row r="92" spans="2:32" x14ac:dyDescent="0.3">
      <c r="G92" s="194" t="s">
        <v>16</v>
      </c>
      <c r="H92" s="191">
        <f>IF($K$11=$B$172,(H91*($K$13)/($K$13+$L$13)),0)+IF($L$11=$B$172,(H91*($L$13)/($K$13+$L$13)),0)</f>
        <v>0</v>
      </c>
      <c r="J92" s="192">
        <f>N6</f>
        <v>9.7949999999999995E-2</v>
      </c>
      <c r="K92" s="195">
        <f t="shared" si="24"/>
        <v>0</v>
      </c>
      <c r="L92" s="1"/>
      <c r="M92" s="1"/>
      <c r="N92" s="1"/>
      <c r="O92" s="1"/>
    </row>
    <row r="93" spans="2:32" x14ac:dyDescent="0.3">
      <c r="G93" s="194" t="s">
        <v>17</v>
      </c>
      <c r="H93" s="191">
        <f>IF($K$11=$B$181,(H92*($K$13)/($K$13+$L$13)),0)+IF($L$11=$B$181,(H92*($L$13)/($K$13+$L$13)),0)</f>
        <v>0</v>
      </c>
      <c r="J93" s="192">
        <f>N7</f>
        <v>0.14199999999999999</v>
      </c>
      <c r="K93" s="195">
        <f t="shared" si="24"/>
        <v>0</v>
      </c>
      <c r="L93" s="1"/>
      <c r="M93" s="1"/>
      <c r="N93" s="1"/>
      <c r="O93" s="1"/>
    </row>
    <row r="94" spans="2:32" s="1" customFormat="1" x14ac:dyDescent="0.3"/>
    <row r="95" spans="2:32" x14ac:dyDescent="0.3">
      <c r="F95" s="19" t="s">
        <v>95</v>
      </c>
      <c r="G95" s="190" t="s">
        <v>171</v>
      </c>
      <c r="H95" s="191">
        <f>SUM(D53:D56)</f>
        <v>-229</v>
      </c>
      <c r="I95" s="196">
        <f>E71</f>
        <v>0.27266000000000001</v>
      </c>
      <c r="J95" s="192">
        <f>J89</f>
        <v>0.27703</v>
      </c>
      <c r="K95" s="193">
        <f>H95*(I95+J95)</f>
        <v>-125.87901000000001</v>
      </c>
      <c r="L95" s="179"/>
      <c r="M95" s="215">
        <f>((H95*J95)+(K96+K97+K98+K99))/(1-E77-E79)/(1-E81)</f>
        <v>-78.935844586649822</v>
      </c>
      <c r="N95" s="177"/>
      <c r="O95" s="1"/>
      <c r="AF95" s="1"/>
    </row>
    <row r="96" spans="2:32" x14ac:dyDescent="0.3">
      <c r="G96" s="194" t="s">
        <v>14</v>
      </c>
      <c r="H96" s="191">
        <f>IF($K$11=$B$154,(H95*($K$13)/($K$13+$L$13)),0)+IF($L$11=$B$154,(H95*($L$13)/($K$13+$L$13)),0)</f>
        <v>0</v>
      </c>
      <c r="I96" s="1"/>
      <c r="J96" s="192">
        <f>J90</f>
        <v>2.989E-2</v>
      </c>
      <c r="K96" s="195">
        <f t="shared" ref="K96:K99" si="25">H96*(I96+J96)</f>
        <v>0</v>
      </c>
      <c r="L96" s="1"/>
      <c r="M96" s="1"/>
      <c r="N96" s="1"/>
      <c r="O96" s="1"/>
    </row>
    <row r="97" spans="6:15" x14ac:dyDescent="0.3">
      <c r="G97" s="194" t="s">
        <v>15</v>
      </c>
      <c r="H97" s="191">
        <f>IF($K$11=$B$163,(H96*($K$13)/($K$13+$L$13)),0)+IF($L$11=$B$163,(H96*($L$13)/($K$13+$L$13)),0)</f>
        <v>0</v>
      </c>
      <c r="I97" s="1"/>
      <c r="J97" s="192">
        <f t="shared" ref="J97:J99" si="26">J91</f>
        <v>6.5000000000000002E-2</v>
      </c>
      <c r="K97" s="195">
        <f t="shared" si="25"/>
        <v>0</v>
      </c>
      <c r="L97" s="1"/>
      <c r="M97" s="1"/>
      <c r="N97" s="1"/>
      <c r="O97" s="1"/>
    </row>
    <row r="98" spans="6:15" x14ac:dyDescent="0.3">
      <c r="G98" s="194" t="s">
        <v>16</v>
      </c>
      <c r="H98" s="191">
        <f>IF($K$11=$B$172,(H97*($K$13)/($K$13+$L$13)),0)+IF($L$11=$B$172,(H97*($L$13)/($K$13+$L$13)),0)</f>
        <v>0</v>
      </c>
      <c r="J98" s="192">
        <f t="shared" si="26"/>
        <v>9.7949999999999995E-2</v>
      </c>
      <c r="K98" s="195">
        <f t="shared" si="25"/>
        <v>0</v>
      </c>
      <c r="L98" s="1"/>
      <c r="M98" s="1"/>
      <c r="N98" s="1"/>
      <c r="O98" s="1"/>
    </row>
    <row r="99" spans="6:15" x14ac:dyDescent="0.3">
      <c r="G99" s="194" t="s">
        <v>17</v>
      </c>
      <c r="H99" s="191">
        <f>IF($K$11=$B$181,(H98*($K$13)/($K$13+$L$13)),0)+IF($L$11=$B$181,(H98*($L$13)/($K$13+$L$13)),0)</f>
        <v>0</v>
      </c>
      <c r="J99" s="192">
        <f t="shared" si="26"/>
        <v>0.14199999999999999</v>
      </c>
      <c r="K99" s="195">
        <f t="shared" si="25"/>
        <v>0</v>
      </c>
      <c r="L99" s="1"/>
      <c r="M99" s="1"/>
      <c r="N99" s="1"/>
      <c r="O99" s="1"/>
    </row>
    <row r="100" spans="6:15" x14ac:dyDescent="0.3">
      <c r="G100" s="194"/>
      <c r="H100" s="197"/>
      <c r="J100" s="198"/>
      <c r="K100" s="1"/>
      <c r="L100" s="1"/>
      <c r="M100" s="1"/>
      <c r="N100" s="1"/>
      <c r="O100" s="1"/>
    </row>
    <row r="101" spans="6:15" x14ac:dyDescent="0.3">
      <c r="F101" s="130" t="s">
        <v>189</v>
      </c>
      <c r="G101" s="199" t="s">
        <v>188</v>
      </c>
      <c r="H101" s="88"/>
      <c r="I101" s="88"/>
      <c r="J101" s="88"/>
      <c r="K101" s="200">
        <f>SUM(H33:H36,H43:H46)</f>
        <v>105.53</v>
      </c>
      <c r="L101" s="1"/>
      <c r="M101" s="215">
        <f>SUM(K101:K105)/(1-E76-E78)/(1-E80)</f>
        <v>131.30701054761232</v>
      </c>
      <c r="N101" s="1"/>
      <c r="O101" s="1"/>
    </row>
    <row r="102" spans="6:15" x14ac:dyDescent="0.3">
      <c r="G102" s="194" t="s">
        <v>14</v>
      </c>
      <c r="H102" s="88"/>
      <c r="I102" s="88"/>
      <c r="J102" s="88"/>
      <c r="K102" s="200">
        <f>H38+H48</f>
        <v>0</v>
      </c>
      <c r="L102" s="1"/>
      <c r="M102" s="1"/>
      <c r="N102" s="1"/>
      <c r="O102" s="1"/>
    </row>
    <row r="103" spans="6:15" x14ac:dyDescent="0.3">
      <c r="G103" s="194" t="s">
        <v>15</v>
      </c>
      <c r="H103" s="88"/>
      <c r="I103" s="88"/>
      <c r="J103" s="88"/>
      <c r="K103" s="200">
        <f>H39+H49</f>
        <v>0</v>
      </c>
      <c r="L103" s="1"/>
      <c r="M103" s="1"/>
      <c r="N103" s="1"/>
      <c r="O103" s="1"/>
    </row>
    <row r="104" spans="6:15" x14ac:dyDescent="0.3">
      <c r="G104" s="194" t="s">
        <v>16</v>
      </c>
      <c r="H104" s="88"/>
      <c r="I104" s="88"/>
      <c r="J104" s="88"/>
      <c r="K104" s="200">
        <f>H40+H50</f>
        <v>0</v>
      </c>
      <c r="L104" s="1"/>
      <c r="M104" s="1"/>
      <c r="N104" s="1"/>
      <c r="O104" s="1"/>
    </row>
    <row r="105" spans="6:15" x14ac:dyDescent="0.3">
      <c r="G105" s="194" t="s">
        <v>17</v>
      </c>
      <c r="H105" s="88"/>
      <c r="I105" s="88"/>
      <c r="J105" s="88"/>
      <c r="K105" s="200">
        <f>H41+H51</f>
        <v>0</v>
      </c>
      <c r="L105" s="1"/>
      <c r="M105" s="1"/>
      <c r="N105" s="1"/>
      <c r="O105" s="1"/>
    </row>
    <row r="106" spans="6:15" x14ac:dyDescent="0.3">
      <c r="G106" s="194"/>
      <c r="L106" s="1"/>
      <c r="M106" s="1"/>
      <c r="N106" s="1"/>
      <c r="O106" s="1"/>
    </row>
    <row r="107" spans="6:15" x14ac:dyDescent="0.3">
      <c r="F107" s="130" t="s">
        <v>190</v>
      </c>
      <c r="G107" s="199" t="s">
        <v>188</v>
      </c>
      <c r="H107" s="88"/>
      <c r="I107" s="88"/>
      <c r="J107" s="88"/>
      <c r="K107" s="200">
        <f>SUM(H53:H56,H63:H66,H68:H71)</f>
        <v>-93.170000000000016</v>
      </c>
      <c r="L107" s="97"/>
      <c r="M107" s="215">
        <f>D81</f>
        <v>-58.426312914572677</v>
      </c>
      <c r="N107" s="1"/>
      <c r="O107" s="1"/>
    </row>
    <row r="108" spans="6:15" x14ac:dyDescent="0.3">
      <c r="G108" s="194" t="s">
        <v>14</v>
      </c>
      <c r="H108" s="88"/>
      <c r="I108" s="88"/>
      <c r="J108" s="88"/>
      <c r="K108" s="200">
        <f>H58</f>
        <v>0</v>
      </c>
      <c r="L108" s="1"/>
      <c r="M108" s="1"/>
      <c r="N108" s="1"/>
      <c r="O108" s="1"/>
    </row>
    <row r="109" spans="6:15" x14ac:dyDescent="0.3">
      <c r="G109" s="194" t="s">
        <v>15</v>
      </c>
      <c r="H109" s="88"/>
      <c r="I109" s="88"/>
      <c r="J109" s="88"/>
      <c r="K109" s="200">
        <f t="shared" ref="K109:K111" si="27">H59</f>
        <v>0</v>
      </c>
      <c r="L109" s="1"/>
      <c r="M109" s="1"/>
      <c r="N109" s="1"/>
      <c r="O109" s="1"/>
    </row>
    <row r="110" spans="6:15" x14ac:dyDescent="0.3">
      <c r="G110" s="194" t="s">
        <v>16</v>
      </c>
      <c r="H110" s="88"/>
      <c r="I110" s="88"/>
      <c r="J110" s="88"/>
      <c r="K110" s="200">
        <f t="shared" si="27"/>
        <v>0</v>
      </c>
      <c r="L110" s="1"/>
      <c r="M110" s="1"/>
      <c r="N110" s="1"/>
      <c r="O110" s="1"/>
    </row>
    <row r="111" spans="6:15" x14ac:dyDescent="0.3">
      <c r="G111" s="194" t="s">
        <v>17</v>
      </c>
      <c r="H111" s="88"/>
      <c r="I111" s="88"/>
      <c r="J111" s="88"/>
      <c r="K111" s="200">
        <f t="shared" si="27"/>
        <v>0</v>
      </c>
      <c r="L111" s="1"/>
      <c r="M111" s="1"/>
      <c r="N111" s="1"/>
      <c r="O111" s="1"/>
    </row>
    <row r="112" spans="6:15" x14ac:dyDescent="0.3">
      <c r="G112" s="194"/>
      <c r="L112" s="1"/>
      <c r="M112" s="1"/>
      <c r="N112" s="1"/>
      <c r="O112" s="1"/>
    </row>
    <row r="113" spans="2:17" x14ac:dyDescent="0.3">
      <c r="J113" s="201" t="s">
        <v>167</v>
      </c>
      <c r="K113" s="193">
        <f>(K89+K95)-(K101+K107)</f>
        <v>15.124499999999998</v>
      </c>
      <c r="L113" s="180" t="s">
        <v>172</v>
      </c>
      <c r="M113" s="1"/>
      <c r="N113" s="1"/>
      <c r="O113" s="1"/>
    </row>
    <row r="114" spans="2:17" x14ac:dyDescent="0.3">
      <c r="J114" s="202" t="s">
        <v>91</v>
      </c>
      <c r="K114" s="216">
        <f>(M89+M95)-(M101+M107)</f>
        <v>39.007906043258032</v>
      </c>
      <c r="L114" s="180" t="s">
        <v>173</v>
      </c>
      <c r="M114" s="1"/>
      <c r="N114" s="1"/>
      <c r="O114" s="1"/>
    </row>
    <row r="116" spans="2:17" x14ac:dyDescent="0.3">
      <c r="B116" s="1" t="s">
        <v>155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2:17" x14ac:dyDescent="0.3">
      <c r="B117" s="105" t="s">
        <v>14</v>
      </c>
      <c r="C117" s="105"/>
      <c r="D117" s="105"/>
      <c r="E117" s="105"/>
      <c r="F117" s="105"/>
      <c r="G117" s="105"/>
      <c r="H117" s="116"/>
      <c r="I117" s="116"/>
      <c r="J117" s="117"/>
      <c r="K117" s="203">
        <f>N4</f>
        <v>2.989E-2</v>
      </c>
      <c r="L117" s="204"/>
      <c r="M117" s="106"/>
      <c r="N117" s="106"/>
      <c r="O117" s="118"/>
      <c r="P117" s="1"/>
      <c r="Q117" s="1"/>
    </row>
    <row r="118" spans="2:17" x14ac:dyDescent="0.3">
      <c r="B118" s="1"/>
      <c r="C118" s="166" t="s">
        <v>156</v>
      </c>
      <c r="D118" s="456"/>
      <c r="E118" s="457"/>
      <c r="F118" s="167"/>
      <c r="G118" s="456"/>
      <c r="H118" s="457"/>
      <c r="I118" s="167"/>
      <c r="J118" s="456" t="s">
        <v>157</v>
      </c>
      <c r="K118" s="457"/>
      <c r="L118" s="167"/>
      <c r="M118" s="456" t="s">
        <v>158</v>
      </c>
      <c r="N118" s="457"/>
      <c r="O118" s="168" t="s">
        <v>159</v>
      </c>
      <c r="P118" s="1"/>
      <c r="Q118" s="46"/>
    </row>
    <row r="119" spans="2:17" x14ac:dyDescent="0.3">
      <c r="B119" s="1"/>
      <c r="C119" s="205" t="s">
        <v>160</v>
      </c>
      <c r="D119" s="205"/>
      <c r="E119" s="205"/>
      <c r="F119" s="205"/>
      <c r="G119" s="205"/>
      <c r="H119" s="205"/>
      <c r="I119" s="205"/>
      <c r="J119" s="205"/>
      <c r="K119" s="205" t="s">
        <v>9</v>
      </c>
      <c r="L119" s="205"/>
      <c r="M119" s="205" t="s">
        <v>33</v>
      </c>
      <c r="N119" s="205" t="s">
        <v>9</v>
      </c>
      <c r="O119" s="205" t="s">
        <v>161</v>
      </c>
      <c r="P119" s="1"/>
    </row>
    <row r="120" spans="2:17" x14ac:dyDescent="0.3">
      <c r="B120" s="1"/>
      <c r="C120" s="206">
        <f>IF($K$11=$B$117,(D33*($K$13)/($K$13+$L$13)),0)+IF($L$11=$B$117,(D33*($L$13)/($K$13+$L$13)),0)</f>
        <v>0</v>
      </c>
      <c r="D120" s="207"/>
      <c r="E120" s="207"/>
      <c r="F120" s="207"/>
      <c r="G120" s="192"/>
      <c r="H120" s="192"/>
      <c r="I120" s="192"/>
      <c r="J120" s="192"/>
      <c r="K120" s="192">
        <f>$K$154*(1-Q120)</f>
        <v>1.0461499999999999E-2</v>
      </c>
      <c r="L120" s="192"/>
      <c r="M120" s="208"/>
      <c r="N120" s="208">
        <f>ROUND((C120*K120),2)</f>
        <v>0</v>
      </c>
      <c r="O120" s="193">
        <f>M120+N120</f>
        <v>0</v>
      </c>
      <c r="P120" s="209"/>
      <c r="Q120" s="169">
        <v>0.65</v>
      </c>
    </row>
    <row r="121" spans="2:17" x14ac:dyDescent="0.3">
      <c r="B121" s="1"/>
      <c r="C121" s="206">
        <f t="shared" ref="C121:C123" si="28">IF($K$11=$B$117,(D34*($K$13)/($K$13+$L$13)),0)+IF($L$11=$B$117,(D34*($L$13)/($K$13+$L$13)),0)</f>
        <v>0</v>
      </c>
      <c r="D121" s="207"/>
      <c r="E121" s="207"/>
      <c r="F121" s="207"/>
      <c r="G121" s="192"/>
      <c r="H121" s="192"/>
      <c r="I121" s="192"/>
      <c r="J121" s="192"/>
      <c r="K121" s="192">
        <f>$K$154*(1-Q121)</f>
        <v>1.7933999999999999E-2</v>
      </c>
      <c r="L121" s="192"/>
      <c r="M121" s="208"/>
      <c r="N121" s="208">
        <f t="shared" ref="N121:N123" si="29">ROUND((C121*K121),2)</f>
        <v>0</v>
      </c>
      <c r="O121" s="193">
        <f>M121+N121</f>
        <v>0</v>
      </c>
      <c r="P121" s="209"/>
      <c r="Q121" s="169">
        <v>0.4</v>
      </c>
    </row>
    <row r="122" spans="2:17" x14ac:dyDescent="0.3">
      <c r="B122" s="1"/>
      <c r="C122" s="206">
        <f t="shared" si="28"/>
        <v>0</v>
      </c>
      <c r="D122" s="207"/>
      <c r="E122" s="207"/>
      <c r="F122" s="207"/>
      <c r="G122" s="192"/>
      <c r="H122" s="192"/>
      <c r="I122" s="192"/>
      <c r="J122" s="192"/>
      <c r="K122" s="192">
        <f>$K$154*(1-Q122)</f>
        <v>2.6901000000000001E-2</v>
      </c>
      <c r="L122" s="192"/>
      <c r="M122" s="208"/>
      <c r="N122" s="208">
        <f t="shared" si="29"/>
        <v>0</v>
      </c>
      <c r="O122" s="193">
        <f>M122+N122</f>
        <v>0</v>
      </c>
      <c r="P122" s="209"/>
      <c r="Q122" s="169">
        <v>0.1</v>
      </c>
    </row>
    <row r="123" spans="2:17" x14ac:dyDescent="0.3">
      <c r="B123" s="1"/>
      <c r="C123" s="206">
        <f t="shared" si="28"/>
        <v>0</v>
      </c>
      <c r="D123" s="207"/>
      <c r="E123" s="207"/>
      <c r="F123" s="207"/>
      <c r="G123" s="192"/>
      <c r="H123" s="192"/>
      <c r="I123" s="192"/>
      <c r="J123" s="192"/>
      <c r="K123" s="192">
        <f>$K$154*(1-Q123)</f>
        <v>2.989E-2</v>
      </c>
      <c r="L123" s="192"/>
      <c r="M123" s="208"/>
      <c r="N123" s="208">
        <f t="shared" si="29"/>
        <v>0</v>
      </c>
      <c r="O123" s="193">
        <f>M123+N123</f>
        <v>0</v>
      </c>
      <c r="P123" s="209"/>
      <c r="Q123" s="169">
        <v>0</v>
      </c>
    </row>
    <row r="124" spans="2:17" x14ac:dyDescent="0.3">
      <c r="B124" s="1"/>
      <c r="C124" s="210" t="s">
        <v>162</v>
      </c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2"/>
      <c r="O124" s="213">
        <f>SUM(O120:O123)</f>
        <v>0</v>
      </c>
      <c r="P124" s="1"/>
      <c r="Q124" s="1"/>
    </row>
    <row r="125" spans="2:17" x14ac:dyDescent="0.3">
      <c r="B125" s="105"/>
      <c r="C125" s="105"/>
      <c r="D125" s="105"/>
      <c r="E125" s="105"/>
      <c r="F125" s="105"/>
      <c r="G125" s="105"/>
      <c r="H125" s="116"/>
      <c r="I125" s="116"/>
      <c r="J125" s="117"/>
      <c r="K125" s="117"/>
      <c r="L125" s="117"/>
      <c r="M125" s="106"/>
      <c r="N125" s="106"/>
      <c r="O125" s="214"/>
      <c r="P125" s="1"/>
      <c r="Q125" s="1"/>
    </row>
    <row r="126" spans="2:17" x14ac:dyDescent="0.3">
      <c r="B126" s="105" t="s">
        <v>15</v>
      </c>
      <c r="C126" s="105"/>
      <c r="D126" s="105"/>
      <c r="E126" s="105"/>
      <c r="F126" s="105"/>
      <c r="G126" s="105"/>
      <c r="H126" s="116"/>
      <c r="I126" s="116"/>
      <c r="J126" s="117"/>
      <c r="K126" s="203">
        <f>N5</f>
        <v>6.5000000000000002E-2</v>
      </c>
      <c r="L126" s="204"/>
      <c r="M126" s="106"/>
      <c r="N126" s="106"/>
      <c r="O126" s="118"/>
      <c r="P126" s="1"/>
      <c r="Q126" s="1"/>
    </row>
    <row r="127" spans="2:17" x14ac:dyDescent="0.3">
      <c r="B127" s="1"/>
      <c r="C127" s="166" t="s">
        <v>156</v>
      </c>
      <c r="D127" s="456"/>
      <c r="E127" s="457"/>
      <c r="F127" s="167"/>
      <c r="G127" s="456"/>
      <c r="H127" s="457"/>
      <c r="I127" s="167"/>
      <c r="J127" s="456" t="s">
        <v>32</v>
      </c>
      <c r="K127" s="457"/>
      <c r="L127" s="167"/>
      <c r="M127" s="456" t="s">
        <v>158</v>
      </c>
      <c r="N127" s="457"/>
      <c r="O127" s="168" t="s">
        <v>159</v>
      </c>
      <c r="P127" s="1"/>
      <c r="Q127" s="46"/>
    </row>
    <row r="128" spans="2:17" x14ac:dyDescent="0.3">
      <c r="B128" s="1"/>
      <c r="C128" s="205" t="s">
        <v>160</v>
      </c>
      <c r="D128" s="205"/>
      <c r="E128" s="205"/>
      <c r="F128" s="205"/>
      <c r="G128" s="205" t="s">
        <v>33</v>
      </c>
      <c r="H128" s="205" t="s">
        <v>9</v>
      </c>
      <c r="I128" s="205"/>
      <c r="J128" s="205" t="s">
        <v>33</v>
      </c>
      <c r="K128" s="205" t="s">
        <v>9</v>
      </c>
      <c r="L128" s="205"/>
      <c r="M128" s="205" t="s">
        <v>33</v>
      </c>
      <c r="N128" s="205" t="s">
        <v>9</v>
      </c>
      <c r="O128" s="205" t="s">
        <v>161</v>
      </c>
      <c r="P128" s="1"/>
    </row>
    <row r="129" spans="2:17" x14ac:dyDescent="0.3">
      <c r="B129" s="1"/>
      <c r="C129" s="206">
        <f>IF($K$11=$B$126,(D33*($K$13)/($K$13+$L$13)),0)+IF($L$11=$B$126,(D33*($L$13)/($K$13+$L$13)),0)</f>
        <v>0</v>
      </c>
      <c r="D129" s="207"/>
      <c r="E129" s="207"/>
      <c r="F129" s="207"/>
      <c r="G129" s="192"/>
      <c r="H129" s="192"/>
      <c r="I129" s="192"/>
      <c r="J129" s="192"/>
      <c r="K129" s="192">
        <f>$K$163*(1-Q129)</f>
        <v>2.2749999999999999E-2</v>
      </c>
      <c r="L129" s="192"/>
      <c r="M129" s="208"/>
      <c r="N129" s="208">
        <f>ROUND((C129*K129),2)</f>
        <v>0</v>
      </c>
      <c r="O129" s="193">
        <f>M129+N129</f>
        <v>0</v>
      </c>
      <c r="P129" s="209"/>
      <c r="Q129" s="169">
        <v>0.65</v>
      </c>
    </row>
    <row r="130" spans="2:17" x14ac:dyDescent="0.3">
      <c r="B130" s="1"/>
      <c r="C130" s="206">
        <f t="shared" ref="C130:C132" si="30">IF($K$11=$B$126,(D34*($K$13)/($K$13+$L$13)),0)+IF($L$11=$B$126,(D34*($L$13)/($K$13+$L$13)),0)</f>
        <v>0</v>
      </c>
      <c r="D130" s="207"/>
      <c r="E130" s="207"/>
      <c r="F130" s="207"/>
      <c r="G130" s="192"/>
      <c r="H130" s="192"/>
      <c r="I130" s="192"/>
      <c r="J130" s="192"/>
      <c r="K130" s="192">
        <f>$K$163*(1-Q130)</f>
        <v>3.9E-2</v>
      </c>
      <c r="L130" s="192"/>
      <c r="M130" s="208"/>
      <c r="N130" s="208">
        <f t="shared" ref="N130:N132" si="31">ROUND((C130*K130),2)</f>
        <v>0</v>
      </c>
      <c r="O130" s="193">
        <f>M130+N130</f>
        <v>0</v>
      </c>
      <c r="P130" s="209"/>
      <c r="Q130" s="169">
        <v>0.4</v>
      </c>
    </row>
    <row r="131" spans="2:17" x14ac:dyDescent="0.3">
      <c r="B131" s="1"/>
      <c r="C131" s="206">
        <f t="shared" si="30"/>
        <v>0</v>
      </c>
      <c r="D131" s="207"/>
      <c r="E131" s="207"/>
      <c r="F131" s="207"/>
      <c r="G131" s="192"/>
      <c r="H131" s="192"/>
      <c r="I131" s="192"/>
      <c r="J131" s="192"/>
      <c r="K131" s="192">
        <f>$K$163*(1-Q131)</f>
        <v>5.8500000000000003E-2</v>
      </c>
      <c r="L131" s="192"/>
      <c r="M131" s="208"/>
      <c r="N131" s="208">
        <f t="shared" si="31"/>
        <v>0</v>
      </c>
      <c r="O131" s="193">
        <f>M131+N131</f>
        <v>0</v>
      </c>
      <c r="P131" s="209"/>
      <c r="Q131" s="169">
        <v>0.1</v>
      </c>
    </row>
    <row r="132" spans="2:17" x14ac:dyDescent="0.3">
      <c r="B132" s="1"/>
      <c r="C132" s="206">
        <f t="shared" si="30"/>
        <v>0</v>
      </c>
      <c r="D132" s="207"/>
      <c r="E132" s="207"/>
      <c r="F132" s="207"/>
      <c r="G132" s="192"/>
      <c r="H132" s="192"/>
      <c r="I132" s="192"/>
      <c r="J132" s="192"/>
      <c r="K132" s="192">
        <f>$K$163*(1-Q132)</f>
        <v>6.5000000000000002E-2</v>
      </c>
      <c r="L132" s="192"/>
      <c r="M132" s="208"/>
      <c r="N132" s="208">
        <f t="shared" si="31"/>
        <v>0</v>
      </c>
      <c r="O132" s="193">
        <f>M132+N132</f>
        <v>0</v>
      </c>
      <c r="P132" s="209"/>
      <c r="Q132" s="169">
        <v>0</v>
      </c>
    </row>
    <row r="133" spans="2:17" x14ac:dyDescent="0.3">
      <c r="B133" s="1"/>
      <c r="C133" s="210" t="s">
        <v>162</v>
      </c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2"/>
      <c r="O133" s="213">
        <f>SUM(O129:O132)</f>
        <v>0</v>
      </c>
      <c r="P133" s="1"/>
      <c r="Q133" s="1"/>
    </row>
    <row r="134" spans="2:17" x14ac:dyDescent="0.3">
      <c r="B134" s="105"/>
      <c r="C134" s="105"/>
      <c r="D134" s="105"/>
      <c r="E134" s="105"/>
      <c r="F134" s="105"/>
      <c r="G134" s="105"/>
      <c r="H134" s="116"/>
      <c r="I134" s="116"/>
      <c r="J134" s="117"/>
      <c r="K134" s="117"/>
      <c r="L134" s="117"/>
      <c r="M134" s="106"/>
      <c r="N134" s="106"/>
      <c r="O134" s="118"/>
      <c r="P134" s="1"/>
      <c r="Q134" s="1"/>
    </row>
    <row r="135" spans="2:17" x14ac:dyDescent="0.3">
      <c r="B135" s="105" t="s">
        <v>16</v>
      </c>
      <c r="C135" s="105"/>
      <c r="D135" s="105"/>
      <c r="E135" s="105"/>
      <c r="F135" s="105"/>
      <c r="G135" s="105"/>
      <c r="H135" s="116"/>
      <c r="I135" s="116"/>
      <c r="J135" s="117"/>
      <c r="K135" s="203">
        <f>N6</f>
        <v>9.7949999999999995E-2</v>
      </c>
      <c r="L135" s="204"/>
      <c r="M135" s="106"/>
      <c r="N135" s="106"/>
      <c r="O135" s="118"/>
      <c r="P135" s="1"/>
      <c r="Q135" s="1"/>
    </row>
    <row r="136" spans="2:17" x14ac:dyDescent="0.3">
      <c r="B136" s="1"/>
      <c r="C136" s="166" t="s">
        <v>156</v>
      </c>
      <c r="D136" s="456"/>
      <c r="E136" s="457"/>
      <c r="F136" s="167"/>
      <c r="G136" s="456"/>
      <c r="H136" s="457"/>
      <c r="I136" s="167"/>
      <c r="J136" s="456" t="s">
        <v>32</v>
      </c>
      <c r="K136" s="457"/>
      <c r="L136" s="167"/>
      <c r="M136" s="456" t="s">
        <v>158</v>
      </c>
      <c r="N136" s="457"/>
      <c r="O136" s="168" t="s">
        <v>159</v>
      </c>
      <c r="P136" s="1"/>
      <c r="Q136" s="46"/>
    </row>
    <row r="137" spans="2:17" x14ac:dyDescent="0.3">
      <c r="B137" s="1"/>
      <c r="C137" s="205" t="s">
        <v>160</v>
      </c>
      <c r="D137" s="205"/>
      <c r="E137" s="205"/>
      <c r="F137" s="205"/>
      <c r="G137" s="205" t="s">
        <v>33</v>
      </c>
      <c r="H137" s="205" t="s">
        <v>9</v>
      </c>
      <c r="I137" s="205"/>
      <c r="J137" s="205" t="s">
        <v>33</v>
      </c>
      <c r="K137" s="205" t="s">
        <v>9</v>
      </c>
      <c r="L137" s="205"/>
      <c r="M137" s="205" t="s">
        <v>33</v>
      </c>
      <c r="N137" s="205" t="s">
        <v>9</v>
      </c>
      <c r="O137" s="205" t="s">
        <v>161</v>
      </c>
      <c r="P137" s="1"/>
    </row>
    <row r="138" spans="2:17" x14ac:dyDescent="0.3">
      <c r="B138" s="1"/>
      <c r="C138" s="206">
        <f>IF($K$11=$B$135,(D33*($K$13)/($K$13+$L$13)),0)+IF($L$11=$B$135,(D33*($L$13)/($K$13+$L$13)),0)</f>
        <v>0</v>
      </c>
      <c r="D138" s="207"/>
      <c r="E138" s="207"/>
      <c r="F138" s="207"/>
      <c r="G138" s="192"/>
      <c r="H138" s="192"/>
      <c r="I138" s="192"/>
      <c r="J138" s="192"/>
      <c r="K138" s="192">
        <f>$K$172*(1-Q138)</f>
        <v>3.4282499999999994E-2</v>
      </c>
      <c r="L138" s="192"/>
      <c r="M138" s="208"/>
      <c r="N138" s="208">
        <f>ROUND((C138*K138),2)</f>
        <v>0</v>
      </c>
      <c r="O138" s="193">
        <f>M138+N138</f>
        <v>0</v>
      </c>
      <c r="P138" s="209"/>
      <c r="Q138" s="169">
        <v>0.65</v>
      </c>
    </row>
    <row r="139" spans="2:17" x14ac:dyDescent="0.3">
      <c r="B139" s="1"/>
      <c r="C139" s="206">
        <f t="shared" ref="C139:C141" si="32">IF($K$11=$B$135,(D34*($K$13)/($K$13+$L$13)),0)+IF($L$11=$B$135,(D34*($L$13)/($K$13+$L$13)),0)</f>
        <v>0</v>
      </c>
      <c r="D139" s="207"/>
      <c r="E139" s="207"/>
      <c r="F139" s="207"/>
      <c r="G139" s="192"/>
      <c r="H139" s="192"/>
      <c r="I139" s="192"/>
      <c r="J139" s="192"/>
      <c r="K139" s="192">
        <f>$K$172*(1-Q139)</f>
        <v>5.8769999999999996E-2</v>
      </c>
      <c r="L139" s="192"/>
      <c r="M139" s="208"/>
      <c r="N139" s="208">
        <f t="shared" ref="N139:N141" si="33">ROUND((C139*K139),2)</f>
        <v>0</v>
      </c>
      <c r="O139" s="193">
        <f>M139+N139</f>
        <v>0</v>
      </c>
      <c r="P139" s="209"/>
      <c r="Q139" s="169">
        <v>0.4</v>
      </c>
    </row>
    <row r="140" spans="2:17" x14ac:dyDescent="0.3">
      <c r="B140" s="1"/>
      <c r="C140" s="206">
        <f t="shared" si="32"/>
        <v>0</v>
      </c>
      <c r="D140" s="207"/>
      <c r="E140" s="207"/>
      <c r="F140" s="207"/>
      <c r="G140" s="192"/>
      <c r="H140" s="192"/>
      <c r="I140" s="192"/>
      <c r="J140" s="192"/>
      <c r="K140" s="192">
        <f>$K$172*(1-Q140)</f>
        <v>8.8154999999999997E-2</v>
      </c>
      <c r="L140" s="192"/>
      <c r="M140" s="208"/>
      <c r="N140" s="208">
        <f t="shared" si="33"/>
        <v>0</v>
      </c>
      <c r="O140" s="193">
        <f>M140+N140</f>
        <v>0</v>
      </c>
      <c r="P140" s="209"/>
      <c r="Q140" s="169">
        <v>0.1</v>
      </c>
    </row>
    <row r="141" spans="2:17" x14ac:dyDescent="0.3">
      <c r="B141" s="1"/>
      <c r="C141" s="206">
        <f t="shared" si="32"/>
        <v>0</v>
      </c>
      <c r="D141" s="207"/>
      <c r="E141" s="207"/>
      <c r="F141" s="207"/>
      <c r="G141" s="192"/>
      <c r="H141" s="192"/>
      <c r="I141" s="192"/>
      <c r="J141" s="192"/>
      <c r="K141" s="192">
        <f>$K$172*(1-Q141)</f>
        <v>9.7949999999999995E-2</v>
      </c>
      <c r="L141" s="192"/>
      <c r="M141" s="208"/>
      <c r="N141" s="208">
        <f t="shared" si="33"/>
        <v>0</v>
      </c>
      <c r="O141" s="193">
        <f>M141+N141</f>
        <v>0</v>
      </c>
      <c r="P141" s="209"/>
      <c r="Q141" s="169">
        <v>0</v>
      </c>
    </row>
    <row r="142" spans="2:17" x14ac:dyDescent="0.3">
      <c r="B142" s="1"/>
      <c r="C142" s="210" t="s">
        <v>162</v>
      </c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2"/>
      <c r="O142" s="213">
        <f>SUM(O138:O141)</f>
        <v>0</v>
      </c>
      <c r="P142" s="1"/>
      <c r="Q142" s="1"/>
    </row>
    <row r="143" spans="2:1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2:17" x14ac:dyDescent="0.3">
      <c r="B144" s="1" t="s">
        <v>17</v>
      </c>
      <c r="C144" s="105"/>
      <c r="D144" s="105"/>
      <c r="E144" s="105"/>
      <c r="F144" s="105"/>
      <c r="G144" s="105"/>
      <c r="H144" s="116"/>
      <c r="I144" s="116"/>
      <c r="J144" s="117"/>
      <c r="K144" s="203">
        <f>N7</f>
        <v>0.14199999999999999</v>
      </c>
      <c r="L144" s="204"/>
      <c r="M144" s="106"/>
      <c r="N144" s="106"/>
      <c r="O144" s="118"/>
      <c r="P144" s="1"/>
      <c r="Q144" s="1"/>
    </row>
    <row r="145" spans="2:17" x14ac:dyDescent="0.3">
      <c r="B145" s="1"/>
      <c r="C145" s="166" t="s">
        <v>156</v>
      </c>
      <c r="D145" s="456"/>
      <c r="E145" s="457"/>
      <c r="F145" s="167"/>
      <c r="G145" s="456"/>
      <c r="H145" s="457"/>
      <c r="I145" s="167"/>
      <c r="J145" s="456" t="s">
        <v>32</v>
      </c>
      <c r="K145" s="457"/>
      <c r="L145" s="167"/>
      <c r="M145" s="456" t="s">
        <v>158</v>
      </c>
      <c r="N145" s="457"/>
      <c r="O145" s="168" t="s">
        <v>159</v>
      </c>
      <c r="P145" s="1"/>
      <c r="Q145" s="46"/>
    </row>
    <row r="146" spans="2:17" x14ac:dyDescent="0.3">
      <c r="B146" s="1"/>
      <c r="C146" s="205" t="s">
        <v>160</v>
      </c>
      <c r="D146" s="205"/>
      <c r="E146" s="205"/>
      <c r="F146" s="205"/>
      <c r="G146" s="205" t="s">
        <v>33</v>
      </c>
      <c r="H146" s="205" t="s">
        <v>9</v>
      </c>
      <c r="I146" s="205"/>
      <c r="J146" s="205" t="s">
        <v>33</v>
      </c>
      <c r="K146" s="205" t="s">
        <v>9</v>
      </c>
      <c r="L146" s="205"/>
      <c r="M146" s="205" t="s">
        <v>33</v>
      </c>
      <c r="N146" s="205" t="s">
        <v>9</v>
      </c>
      <c r="O146" s="205" t="s">
        <v>161</v>
      </c>
      <c r="P146" s="1"/>
    </row>
    <row r="147" spans="2:17" x14ac:dyDescent="0.3">
      <c r="B147" s="1"/>
      <c r="C147" s="206">
        <f>IF($K$11=$B$144,(D33*($K$13)/($K$13+$L$13)),0)+IF($L$11=$B$144,(D33*($L$13)/($K$13+$L$13)),0)</f>
        <v>0</v>
      </c>
      <c r="D147" s="207"/>
      <c r="E147" s="207"/>
      <c r="F147" s="207"/>
      <c r="G147" s="192"/>
      <c r="H147" s="192"/>
      <c r="I147" s="192"/>
      <c r="J147" s="192"/>
      <c r="K147" s="192">
        <f>$K$181*(1-Q147)</f>
        <v>4.9699999999999994E-2</v>
      </c>
      <c r="L147" s="192"/>
      <c r="M147" s="208"/>
      <c r="N147" s="208">
        <f>ROUND((C147*K147),2)</f>
        <v>0</v>
      </c>
      <c r="O147" s="193">
        <f>M147+N147</f>
        <v>0</v>
      </c>
      <c r="P147" s="209"/>
      <c r="Q147" s="169">
        <v>0.65</v>
      </c>
    </row>
    <row r="148" spans="2:17" x14ac:dyDescent="0.3">
      <c r="B148" s="1"/>
      <c r="C148" s="206">
        <f t="shared" ref="C148:C150" si="34">IF($K$11=$B$144,(D34*($K$13)/($K$13+$L$13)),0)+IF($L$11=$B$144,(D34*($L$13)/($K$13+$L$13)),0)</f>
        <v>0</v>
      </c>
      <c r="D148" s="207"/>
      <c r="E148" s="207"/>
      <c r="F148" s="207"/>
      <c r="G148" s="192"/>
      <c r="H148" s="192"/>
      <c r="I148" s="192"/>
      <c r="J148" s="192"/>
      <c r="K148" s="192">
        <f>$K$181*(1-Q148)</f>
        <v>8.5199999999999984E-2</v>
      </c>
      <c r="L148" s="192"/>
      <c r="M148" s="208"/>
      <c r="N148" s="208">
        <f t="shared" ref="N148:N150" si="35">ROUND((C148*K148),2)</f>
        <v>0</v>
      </c>
      <c r="O148" s="193">
        <f>M148+N148</f>
        <v>0</v>
      </c>
      <c r="P148" s="209"/>
      <c r="Q148" s="169">
        <v>0.4</v>
      </c>
    </row>
    <row r="149" spans="2:17" x14ac:dyDescent="0.3">
      <c r="B149" s="1"/>
      <c r="C149" s="206">
        <f t="shared" si="34"/>
        <v>0</v>
      </c>
      <c r="D149" s="207"/>
      <c r="E149" s="207"/>
      <c r="F149" s="207"/>
      <c r="G149" s="192"/>
      <c r="H149" s="192"/>
      <c r="I149" s="192"/>
      <c r="J149" s="192"/>
      <c r="K149" s="192">
        <f>$K$181*(1-Q149)</f>
        <v>0.1278</v>
      </c>
      <c r="L149" s="192"/>
      <c r="M149" s="208"/>
      <c r="N149" s="208">
        <f t="shared" si="35"/>
        <v>0</v>
      </c>
      <c r="O149" s="193">
        <f>M149+N149</f>
        <v>0</v>
      </c>
      <c r="P149" s="209"/>
      <c r="Q149" s="169">
        <v>0.1</v>
      </c>
    </row>
    <row r="150" spans="2:17" x14ac:dyDescent="0.3">
      <c r="B150" s="1"/>
      <c r="C150" s="206">
        <f t="shared" si="34"/>
        <v>0</v>
      </c>
      <c r="D150" s="207"/>
      <c r="E150" s="207"/>
      <c r="F150" s="207"/>
      <c r="G150" s="192"/>
      <c r="H150" s="192"/>
      <c r="I150" s="192"/>
      <c r="J150" s="192"/>
      <c r="K150" s="192">
        <f>$K$181*(1-Q150)</f>
        <v>0.14199999999999999</v>
      </c>
      <c r="L150" s="192"/>
      <c r="M150" s="208"/>
      <c r="N150" s="208">
        <f t="shared" si="35"/>
        <v>0</v>
      </c>
      <c r="O150" s="193">
        <f>M150+N150</f>
        <v>0</v>
      </c>
      <c r="P150" s="209"/>
      <c r="Q150" s="169">
        <v>0</v>
      </c>
    </row>
    <row r="151" spans="2:17" x14ac:dyDescent="0.3">
      <c r="B151" s="1"/>
      <c r="C151" s="210" t="s">
        <v>162</v>
      </c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2"/>
      <c r="O151" s="213">
        <f>SUM(O147:O150)</f>
        <v>0</v>
      </c>
      <c r="P151" s="1"/>
      <c r="Q151" s="1"/>
    </row>
    <row r="153" spans="2:17" x14ac:dyDescent="0.3">
      <c r="B153" s="1" t="s">
        <v>155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2:17" x14ac:dyDescent="0.3">
      <c r="B154" s="105" t="s">
        <v>14</v>
      </c>
      <c r="C154" s="105"/>
      <c r="D154" s="105"/>
      <c r="E154" s="105"/>
      <c r="F154" s="105"/>
      <c r="G154" s="105"/>
      <c r="H154" s="116"/>
      <c r="I154" s="116"/>
      <c r="J154" s="117"/>
      <c r="K154" s="203">
        <f>N4</f>
        <v>2.989E-2</v>
      </c>
      <c r="L154" s="204"/>
      <c r="M154" s="106"/>
      <c r="N154" s="106"/>
      <c r="O154" s="118"/>
      <c r="P154" s="1"/>
      <c r="Q154" s="1"/>
    </row>
    <row r="155" spans="2:17" x14ac:dyDescent="0.3">
      <c r="B155" s="1"/>
      <c r="C155" s="166" t="s">
        <v>156</v>
      </c>
      <c r="D155" s="456"/>
      <c r="E155" s="457"/>
      <c r="F155" s="167"/>
      <c r="G155" s="456"/>
      <c r="H155" s="457"/>
      <c r="I155" s="167"/>
      <c r="J155" s="456" t="s">
        <v>157</v>
      </c>
      <c r="K155" s="457"/>
      <c r="L155" s="167"/>
      <c r="M155" s="456" t="s">
        <v>158</v>
      </c>
      <c r="N155" s="457"/>
      <c r="O155" s="168" t="s">
        <v>159</v>
      </c>
      <c r="P155" s="1"/>
      <c r="Q155" s="46"/>
    </row>
    <row r="156" spans="2:17" x14ac:dyDescent="0.3">
      <c r="B156" s="1"/>
      <c r="C156" s="205" t="s">
        <v>160</v>
      </c>
      <c r="D156" s="205"/>
      <c r="E156" s="205"/>
      <c r="F156" s="205"/>
      <c r="G156" s="205"/>
      <c r="H156" s="205"/>
      <c r="I156" s="205"/>
      <c r="J156" s="205"/>
      <c r="K156" s="205" t="s">
        <v>9</v>
      </c>
      <c r="L156" s="205"/>
      <c r="M156" s="205" t="s">
        <v>33</v>
      </c>
      <c r="N156" s="205" t="s">
        <v>9</v>
      </c>
      <c r="O156" s="205" t="s">
        <v>161</v>
      </c>
      <c r="P156" s="1"/>
    </row>
    <row r="157" spans="2:17" x14ac:dyDescent="0.3">
      <c r="B157" s="1"/>
      <c r="C157" s="206">
        <f>IF($K$11=$B$154,(D43*($K$13)/($K$13+$L$13)),0)+IF($L$11=$B$154,(D43*($L$13)/($K$13+$L$13)),0)</f>
        <v>0</v>
      </c>
      <c r="D157" s="207"/>
      <c r="E157" s="207"/>
      <c r="F157" s="207"/>
      <c r="G157" s="192"/>
      <c r="H157" s="192"/>
      <c r="I157" s="192"/>
      <c r="J157" s="192"/>
      <c r="K157" s="192">
        <f>$K$154*(1-Q157)</f>
        <v>1.0461499999999999E-2</v>
      </c>
      <c r="L157" s="192"/>
      <c r="M157" s="208"/>
      <c r="N157" s="208">
        <f>ROUND((C157*K157),2)</f>
        <v>0</v>
      </c>
      <c r="O157" s="193">
        <f>M157+N157</f>
        <v>0</v>
      </c>
      <c r="P157" s="209"/>
      <c r="Q157" s="169">
        <v>0.65</v>
      </c>
    </row>
    <row r="158" spans="2:17" x14ac:dyDescent="0.3">
      <c r="B158" s="1"/>
      <c r="C158" s="206">
        <f>IF($K$11=$B$154,(D44*($K$13)/($K$13+$L$13)),0)+IF($L$11=$B$154,(D44*($L$13)/($K$13+$L$13)),0)</f>
        <v>0</v>
      </c>
      <c r="D158" s="207"/>
      <c r="E158" s="207"/>
      <c r="F158" s="207"/>
      <c r="G158" s="192"/>
      <c r="H158" s="192"/>
      <c r="I158" s="192"/>
      <c r="J158" s="192"/>
      <c r="K158" s="192">
        <f>$K$154*(1-Q158)</f>
        <v>1.7933999999999999E-2</v>
      </c>
      <c r="L158" s="192"/>
      <c r="M158" s="208"/>
      <c r="N158" s="208">
        <f t="shared" ref="N158:N160" si="36">ROUND((C158*K158),2)</f>
        <v>0</v>
      </c>
      <c r="O158" s="193">
        <f>M158+N158</f>
        <v>0</v>
      </c>
      <c r="P158" s="209"/>
      <c r="Q158" s="169">
        <v>0.4</v>
      </c>
    </row>
    <row r="159" spans="2:17" x14ac:dyDescent="0.3">
      <c r="B159" s="1"/>
      <c r="C159" s="206">
        <f>IF($K$11=$B$154,(D45*($K$13)/($K$13+$L$13)),0)+IF($L$11=$B$154,(D45*($L$13)/($K$13+$L$13)),0)</f>
        <v>0</v>
      </c>
      <c r="D159" s="207"/>
      <c r="E159" s="207"/>
      <c r="F159" s="207"/>
      <c r="G159" s="192"/>
      <c r="H159" s="192"/>
      <c r="I159" s="192"/>
      <c r="J159" s="192"/>
      <c r="K159" s="192">
        <f>$K$154*(1-Q159)</f>
        <v>2.6901000000000001E-2</v>
      </c>
      <c r="L159" s="192"/>
      <c r="M159" s="208"/>
      <c r="N159" s="208">
        <f t="shared" si="36"/>
        <v>0</v>
      </c>
      <c r="O159" s="193">
        <f>M159+N159</f>
        <v>0</v>
      </c>
      <c r="P159" s="209"/>
      <c r="Q159" s="169">
        <v>0.1</v>
      </c>
    </row>
    <row r="160" spans="2:17" x14ac:dyDescent="0.3">
      <c r="B160" s="1"/>
      <c r="C160" s="206">
        <f>IF($K$11=$B$154,(D46*($K$13)/($K$13+$L$13)),0)+IF($L$11=$B$154,(D46*($L$13)/($K$13+$L$13)),0)</f>
        <v>0</v>
      </c>
      <c r="D160" s="207"/>
      <c r="E160" s="207"/>
      <c r="F160" s="207"/>
      <c r="G160" s="192"/>
      <c r="H160" s="192"/>
      <c r="I160" s="192"/>
      <c r="J160" s="192"/>
      <c r="K160" s="192">
        <f>$K$154*(1-Q160)</f>
        <v>2.989E-2</v>
      </c>
      <c r="L160" s="192"/>
      <c r="M160" s="208"/>
      <c r="N160" s="208">
        <f t="shared" si="36"/>
        <v>0</v>
      </c>
      <c r="O160" s="193">
        <f>M160+N160</f>
        <v>0</v>
      </c>
      <c r="P160" s="209"/>
      <c r="Q160" s="169">
        <v>0</v>
      </c>
    </row>
    <row r="161" spans="2:17" x14ac:dyDescent="0.3">
      <c r="B161" s="1"/>
      <c r="C161" s="210" t="s">
        <v>162</v>
      </c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2"/>
      <c r="O161" s="213">
        <f>SUM(O157:O160)</f>
        <v>0</v>
      </c>
      <c r="P161" s="1"/>
      <c r="Q161" s="1"/>
    </row>
    <row r="162" spans="2:17" x14ac:dyDescent="0.3">
      <c r="B162" s="105"/>
      <c r="C162" s="105"/>
      <c r="D162" s="105"/>
      <c r="E162" s="105"/>
      <c r="F162" s="105"/>
      <c r="G162" s="105"/>
      <c r="H162" s="116"/>
      <c r="I162" s="116"/>
      <c r="J162" s="117"/>
      <c r="K162" s="117"/>
      <c r="L162" s="117"/>
      <c r="M162" s="106"/>
      <c r="N162" s="106"/>
      <c r="O162" s="214"/>
      <c r="P162" s="1"/>
      <c r="Q162" s="1"/>
    </row>
    <row r="163" spans="2:17" x14ac:dyDescent="0.3">
      <c r="B163" s="105" t="s">
        <v>15</v>
      </c>
      <c r="C163" s="105"/>
      <c r="D163" s="105"/>
      <c r="E163" s="105"/>
      <c r="F163" s="105"/>
      <c r="G163" s="105"/>
      <c r="H163" s="116"/>
      <c r="I163" s="116"/>
      <c r="J163" s="117"/>
      <c r="K163" s="203">
        <f>N5</f>
        <v>6.5000000000000002E-2</v>
      </c>
      <c r="L163" s="204"/>
      <c r="M163" s="106"/>
      <c r="N163" s="106"/>
      <c r="O163" s="118"/>
      <c r="P163" s="1"/>
      <c r="Q163" s="1"/>
    </row>
    <row r="164" spans="2:17" x14ac:dyDescent="0.3">
      <c r="B164" s="1"/>
      <c r="C164" s="166" t="s">
        <v>156</v>
      </c>
      <c r="D164" s="456"/>
      <c r="E164" s="457"/>
      <c r="F164" s="167"/>
      <c r="G164" s="456"/>
      <c r="H164" s="457"/>
      <c r="I164" s="167"/>
      <c r="J164" s="456" t="s">
        <v>32</v>
      </c>
      <c r="K164" s="457"/>
      <c r="L164" s="167"/>
      <c r="M164" s="456" t="s">
        <v>158</v>
      </c>
      <c r="N164" s="457"/>
      <c r="O164" s="168" t="s">
        <v>159</v>
      </c>
      <c r="P164" s="1"/>
      <c r="Q164" s="46"/>
    </row>
    <row r="165" spans="2:17" x14ac:dyDescent="0.3">
      <c r="B165" s="1"/>
      <c r="C165" s="205" t="s">
        <v>160</v>
      </c>
      <c r="D165" s="205"/>
      <c r="E165" s="205"/>
      <c r="F165" s="205"/>
      <c r="G165" s="205" t="s">
        <v>33</v>
      </c>
      <c r="H165" s="205" t="s">
        <v>9</v>
      </c>
      <c r="I165" s="205"/>
      <c r="J165" s="205" t="s">
        <v>33</v>
      </c>
      <c r="K165" s="205" t="s">
        <v>9</v>
      </c>
      <c r="L165" s="205"/>
      <c r="M165" s="205" t="s">
        <v>33</v>
      </c>
      <c r="N165" s="205" t="s">
        <v>9</v>
      </c>
      <c r="O165" s="205" t="s">
        <v>161</v>
      </c>
      <c r="P165" s="1"/>
    </row>
    <row r="166" spans="2:17" x14ac:dyDescent="0.3">
      <c r="B166" s="1"/>
      <c r="C166" s="206">
        <f>IF($K$11=$B$163,(D43*($K$13)/($K$13+$L$13)),0)+IF($L$11=$B$163,(D43*($L$13)/($K$13+$L$13)),0)</f>
        <v>0</v>
      </c>
      <c r="D166" s="207"/>
      <c r="E166" s="207"/>
      <c r="F166" s="207"/>
      <c r="G166" s="192"/>
      <c r="H166" s="192"/>
      <c r="I166" s="192"/>
      <c r="J166" s="192"/>
      <c r="K166" s="192">
        <f>$K$163*(1-Q166)</f>
        <v>2.2749999999999999E-2</v>
      </c>
      <c r="L166" s="192"/>
      <c r="M166" s="208"/>
      <c r="N166" s="208">
        <f>ROUND((C166*K166),2)</f>
        <v>0</v>
      </c>
      <c r="O166" s="193">
        <f>M166+N166</f>
        <v>0</v>
      </c>
      <c r="P166" s="209"/>
      <c r="Q166" s="169">
        <v>0.65</v>
      </c>
    </row>
    <row r="167" spans="2:17" x14ac:dyDescent="0.3">
      <c r="B167" s="1"/>
      <c r="C167" s="206">
        <f>IF($K$11=$B$163,(D44*($K$13)/($K$13+$L$13)),0)+IF($L$11=$B$163,(D44*($L$13)/($K$13+$L$13)),0)</f>
        <v>0</v>
      </c>
      <c r="D167" s="207"/>
      <c r="E167" s="207"/>
      <c r="F167" s="207"/>
      <c r="G167" s="192"/>
      <c r="H167" s="192"/>
      <c r="I167" s="192"/>
      <c r="J167" s="192"/>
      <c r="K167" s="192">
        <f>$K$163*(1-Q167)</f>
        <v>3.9E-2</v>
      </c>
      <c r="L167" s="192"/>
      <c r="M167" s="208"/>
      <c r="N167" s="208">
        <f t="shared" ref="N167:N169" si="37">ROUND((C167*K167),2)</f>
        <v>0</v>
      </c>
      <c r="O167" s="193">
        <f>M167+N167</f>
        <v>0</v>
      </c>
      <c r="P167" s="209"/>
      <c r="Q167" s="169">
        <v>0.4</v>
      </c>
    </row>
    <row r="168" spans="2:17" x14ac:dyDescent="0.3">
      <c r="B168" s="1"/>
      <c r="C168" s="206">
        <f>IF($K$11=$B$163,(D45*($K$13)/($K$13+$L$13)),0)+IF($L$11=$B$163,(D45*($L$13)/($K$13+$L$13)),0)</f>
        <v>0</v>
      </c>
      <c r="D168" s="207"/>
      <c r="E168" s="207"/>
      <c r="F168" s="207"/>
      <c r="G168" s="192"/>
      <c r="H168" s="192"/>
      <c r="I168" s="192"/>
      <c r="J168" s="192"/>
      <c r="K168" s="192">
        <f>$K$163*(1-Q168)</f>
        <v>5.8500000000000003E-2</v>
      </c>
      <c r="L168" s="192"/>
      <c r="M168" s="208"/>
      <c r="N168" s="208">
        <f t="shared" si="37"/>
        <v>0</v>
      </c>
      <c r="O168" s="193">
        <f>M168+N168</f>
        <v>0</v>
      </c>
      <c r="P168" s="209"/>
      <c r="Q168" s="169">
        <v>0.1</v>
      </c>
    </row>
    <row r="169" spans="2:17" x14ac:dyDescent="0.3">
      <c r="B169" s="1"/>
      <c r="C169" s="206">
        <f>IF($K$11=$B$163,(D46*($K$13)/($K$13+$L$13)),0)+IF($L$11=$B$163,(D46*($L$13)/($K$13+$L$13)),0)</f>
        <v>0</v>
      </c>
      <c r="D169" s="207"/>
      <c r="E169" s="207"/>
      <c r="F169" s="207"/>
      <c r="G169" s="192"/>
      <c r="H169" s="192"/>
      <c r="I169" s="192"/>
      <c r="J169" s="192"/>
      <c r="K169" s="192">
        <f>$K$163*(1-Q169)</f>
        <v>6.5000000000000002E-2</v>
      </c>
      <c r="L169" s="192"/>
      <c r="M169" s="208"/>
      <c r="N169" s="208">
        <f t="shared" si="37"/>
        <v>0</v>
      </c>
      <c r="O169" s="193">
        <f>M169+N169</f>
        <v>0</v>
      </c>
      <c r="P169" s="209"/>
      <c r="Q169" s="169">
        <v>0</v>
      </c>
    </row>
    <row r="170" spans="2:17" x14ac:dyDescent="0.3">
      <c r="B170" s="1"/>
      <c r="C170" s="210" t="s">
        <v>162</v>
      </c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2"/>
      <c r="O170" s="213">
        <f>SUM(O166:O169)</f>
        <v>0</v>
      </c>
      <c r="P170" s="1"/>
      <c r="Q170" s="1"/>
    </row>
    <row r="171" spans="2:17" x14ac:dyDescent="0.3">
      <c r="B171" s="105"/>
      <c r="C171" s="105"/>
      <c r="D171" s="105"/>
      <c r="E171" s="105"/>
      <c r="F171" s="105"/>
      <c r="G171" s="105"/>
      <c r="H171" s="116"/>
      <c r="I171" s="116"/>
      <c r="J171" s="117"/>
      <c r="K171" s="117"/>
      <c r="L171" s="117"/>
      <c r="M171" s="106"/>
      <c r="N171" s="106"/>
      <c r="O171" s="118"/>
      <c r="P171" s="1"/>
      <c r="Q171" s="1"/>
    </row>
    <row r="172" spans="2:17" x14ac:dyDescent="0.3">
      <c r="B172" s="105" t="s">
        <v>16</v>
      </c>
      <c r="C172" s="105"/>
      <c r="D172" s="105"/>
      <c r="E172" s="105"/>
      <c r="F172" s="105"/>
      <c r="G172" s="105"/>
      <c r="H172" s="116"/>
      <c r="I172" s="116"/>
      <c r="J172" s="117"/>
      <c r="K172" s="203">
        <f>N6</f>
        <v>9.7949999999999995E-2</v>
      </c>
      <c r="L172" s="204"/>
      <c r="M172" s="106"/>
      <c r="N172" s="106"/>
      <c r="O172" s="118"/>
      <c r="P172" s="1"/>
      <c r="Q172" s="1"/>
    </row>
    <row r="173" spans="2:17" x14ac:dyDescent="0.3">
      <c r="B173" s="1"/>
      <c r="C173" s="166" t="s">
        <v>156</v>
      </c>
      <c r="D173" s="456"/>
      <c r="E173" s="457"/>
      <c r="F173" s="167"/>
      <c r="G173" s="456"/>
      <c r="H173" s="457"/>
      <c r="I173" s="167"/>
      <c r="J173" s="456" t="s">
        <v>32</v>
      </c>
      <c r="K173" s="457"/>
      <c r="L173" s="167"/>
      <c r="M173" s="456" t="s">
        <v>158</v>
      </c>
      <c r="N173" s="457"/>
      <c r="O173" s="168" t="s">
        <v>159</v>
      </c>
      <c r="P173" s="1"/>
      <c r="Q173" s="46"/>
    </row>
    <row r="174" spans="2:17" x14ac:dyDescent="0.3">
      <c r="B174" s="1"/>
      <c r="C174" s="205" t="s">
        <v>160</v>
      </c>
      <c r="D174" s="205"/>
      <c r="E174" s="205"/>
      <c r="F174" s="205"/>
      <c r="G174" s="205" t="s">
        <v>33</v>
      </c>
      <c r="H174" s="205" t="s">
        <v>9</v>
      </c>
      <c r="I174" s="205"/>
      <c r="J174" s="205" t="s">
        <v>33</v>
      </c>
      <c r="K174" s="205" t="s">
        <v>9</v>
      </c>
      <c r="L174" s="205"/>
      <c r="M174" s="205" t="s">
        <v>33</v>
      </c>
      <c r="N174" s="205" t="s">
        <v>9</v>
      </c>
      <c r="O174" s="205" t="s">
        <v>161</v>
      </c>
      <c r="P174" s="1"/>
    </row>
    <row r="175" spans="2:17" x14ac:dyDescent="0.3">
      <c r="B175" s="1"/>
      <c r="C175" s="206">
        <f>IF($K$11=$B$172,(D43*($K$13)/($K$13+$L$13)),0)+IF($L$11=$B$172,(D43*($L$13)/($K$13+$L$13)),0)</f>
        <v>0</v>
      </c>
      <c r="D175" s="207"/>
      <c r="E175" s="207"/>
      <c r="F175" s="207"/>
      <c r="G175" s="192"/>
      <c r="H175" s="192"/>
      <c r="I175" s="192"/>
      <c r="J175" s="192"/>
      <c r="K175" s="192">
        <f>$K$172*(1-Q175)</f>
        <v>3.4282499999999994E-2</v>
      </c>
      <c r="L175" s="192"/>
      <c r="M175" s="208"/>
      <c r="N175" s="208">
        <f>ROUND((C175*K175),2)</f>
        <v>0</v>
      </c>
      <c r="O175" s="193">
        <f>M175+N175</f>
        <v>0</v>
      </c>
      <c r="P175" s="209"/>
      <c r="Q175" s="169">
        <v>0.65</v>
      </c>
    </row>
    <row r="176" spans="2:17" x14ac:dyDescent="0.3">
      <c r="B176" s="1"/>
      <c r="C176" s="206">
        <f>IF($K$11=$B$172,(D44*($K$13)/($K$13+$L$13)),0)+IF($L$11=$B$172,(D44*($L$13)/($K$13+$L$13)),0)</f>
        <v>0</v>
      </c>
      <c r="D176" s="207"/>
      <c r="E176" s="207"/>
      <c r="F176" s="207"/>
      <c r="G176" s="192"/>
      <c r="H176" s="192"/>
      <c r="I176" s="192"/>
      <c r="J176" s="192"/>
      <c r="K176" s="192">
        <f>$K$172*(1-Q176)</f>
        <v>5.8769999999999996E-2</v>
      </c>
      <c r="L176" s="192"/>
      <c r="M176" s="208"/>
      <c r="N176" s="208">
        <f t="shared" ref="N176:N178" si="38">ROUND((C176*K176),2)</f>
        <v>0</v>
      </c>
      <c r="O176" s="193">
        <f>M176+N176</f>
        <v>0</v>
      </c>
      <c r="P176" s="209"/>
      <c r="Q176" s="169">
        <v>0.4</v>
      </c>
    </row>
    <row r="177" spans="2:17" x14ac:dyDescent="0.3">
      <c r="B177" s="1"/>
      <c r="C177" s="206">
        <f>IF($K$11=$B$172,(D45*($K$13)/($K$13+$L$13)),0)+IF($L$11=$B$172,(D45*($L$13)/($K$13+$L$13)),0)</f>
        <v>0</v>
      </c>
      <c r="D177" s="207"/>
      <c r="E177" s="207"/>
      <c r="F177" s="207"/>
      <c r="G177" s="192"/>
      <c r="H177" s="192"/>
      <c r="I177" s="192"/>
      <c r="J177" s="192"/>
      <c r="K177" s="192">
        <f>$K$172*(1-Q177)</f>
        <v>8.8154999999999997E-2</v>
      </c>
      <c r="L177" s="192"/>
      <c r="M177" s="208"/>
      <c r="N177" s="208">
        <f t="shared" si="38"/>
        <v>0</v>
      </c>
      <c r="O177" s="193">
        <f>M177+N177</f>
        <v>0</v>
      </c>
      <c r="P177" s="209"/>
      <c r="Q177" s="169">
        <v>0.1</v>
      </c>
    </row>
    <row r="178" spans="2:17" x14ac:dyDescent="0.3">
      <c r="B178" s="1"/>
      <c r="C178" s="206">
        <f>IF($K$11=$B$172,(D46*($K$13)/($K$13+$L$13)),0)+IF($L$11=$B$172,(D46*($L$13)/($K$13+$L$13)),0)</f>
        <v>0</v>
      </c>
      <c r="D178" s="207"/>
      <c r="E178" s="207"/>
      <c r="F178" s="207"/>
      <c r="G178" s="192"/>
      <c r="H178" s="192"/>
      <c r="I178" s="192"/>
      <c r="J178" s="192"/>
      <c r="K178" s="192">
        <f>$K$172*(1-Q178)</f>
        <v>9.7949999999999995E-2</v>
      </c>
      <c r="L178" s="192"/>
      <c r="M178" s="208"/>
      <c r="N178" s="208">
        <f t="shared" si="38"/>
        <v>0</v>
      </c>
      <c r="O178" s="193">
        <f>M178+N178</f>
        <v>0</v>
      </c>
      <c r="P178" s="209"/>
      <c r="Q178" s="169">
        <v>0</v>
      </c>
    </row>
    <row r="179" spans="2:17" x14ac:dyDescent="0.3">
      <c r="B179" s="1"/>
      <c r="C179" s="210" t="s">
        <v>162</v>
      </c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2"/>
      <c r="O179" s="213">
        <f>SUM(O175:O178)</f>
        <v>0</v>
      </c>
      <c r="P179" s="1"/>
      <c r="Q179" s="1"/>
    </row>
    <row r="180" spans="2:1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2:17" x14ac:dyDescent="0.3">
      <c r="B181" s="1" t="s">
        <v>17</v>
      </c>
      <c r="C181" s="105"/>
      <c r="D181" s="105"/>
      <c r="E181" s="105"/>
      <c r="F181" s="105"/>
      <c r="G181" s="105"/>
      <c r="H181" s="116"/>
      <c r="I181" s="116"/>
      <c r="J181" s="117"/>
      <c r="K181" s="203">
        <f>N7</f>
        <v>0.14199999999999999</v>
      </c>
      <c r="L181" s="204"/>
      <c r="M181" s="106"/>
      <c r="N181" s="106"/>
      <c r="O181" s="118"/>
      <c r="P181" s="1"/>
      <c r="Q181" s="1"/>
    </row>
    <row r="182" spans="2:17" x14ac:dyDescent="0.3">
      <c r="B182" s="1"/>
      <c r="C182" s="166" t="s">
        <v>156</v>
      </c>
      <c r="D182" s="456"/>
      <c r="E182" s="457"/>
      <c r="F182" s="167"/>
      <c r="G182" s="456"/>
      <c r="H182" s="457"/>
      <c r="I182" s="167"/>
      <c r="J182" s="456" t="s">
        <v>32</v>
      </c>
      <c r="K182" s="457"/>
      <c r="L182" s="167"/>
      <c r="M182" s="456" t="s">
        <v>158</v>
      </c>
      <c r="N182" s="457"/>
      <c r="O182" s="168" t="s">
        <v>159</v>
      </c>
      <c r="P182" s="1"/>
      <c r="Q182" s="46"/>
    </row>
    <row r="183" spans="2:17" x14ac:dyDescent="0.3">
      <c r="B183" s="1"/>
      <c r="C183" s="205" t="s">
        <v>160</v>
      </c>
      <c r="D183" s="205"/>
      <c r="E183" s="205"/>
      <c r="F183" s="205"/>
      <c r="G183" s="205" t="s">
        <v>33</v>
      </c>
      <c r="H183" s="205" t="s">
        <v>9</v>
      </c>
      <c r="I183" s="205"/>
      <c r="J183" s="205" t="s">
        <v>33</v>
      </c>
      <c r="K183" s="205" t="s">
        <v>9</v>
      </c>
      <c r="L183" s="205"/>
      <c r="M183" s="205" t="s">
        <v>33</v>
      </c>
      <c r="N183" s="205" t="s">
        <v>9</v>
      </c>
      <c r="O183" s="205" t="s">
        <v>161</v>
      </c>
      <c r="P183" s="1"/>
    </row>
    <row r="184" spans="2:17" x14ac:dyDescent="0.3">
      <c r="B184" s="1"/>
      <c r="C184" s="206">
        <f>IF($K$11=$B$181,(D43*($K$13)/($K$13+$L$13)),0)+IF($L$11=$B$181,(D43*($L$13)/($K$13+$L$13)),0)</f>
        <v>0</v>
      </c>
      <c r="D184" s="207"/>
      <c r="E184" s="207"/>
      <c r="F184" s="207"/>
      <c r="G184" s="192"/>
      <c r="H184" s="192"/>
      <c r="I184" s="192"/>
      <c r="J184" s="192"/>
      <c r="K184" s="192">
        <f>$K$181*(1-Q184)</f>
        <v>4.9699999999999994E-2</v>
      </c>
      <c r="L184" s="192"/>
      <c r="M184" s="208"/>
      <c r="N184" s="208">
        <f>ROUND((C184*K184),2)</f>
        <v>0</v>
      </c>
      <c r="O184" s="193">
        <f>M184+N184</f>
        <v>0</v>
      </c>
      <c r="P184" s="209"/>
      <c r="Q184" s="169">
        <v>0.65</v>
      </c>
    </row>
    <row r="185" spans="2:17" x14ac:dyDescent="0.3">
      <c r="B185" s="1"/>
      <c r="C185" s="206">
        <f>IF($K$11=$B$181,(D44*($K$13)/($K$13+$L$13)),0)+IF($L$11=$B$181,(D44*($L$13)/($K$13+$L$13)),0)</f>
        <v>0</v>
      </c>
      <c r="D185" s="207"/>
      <c r="E185" s="207"/>
      <c r="F185" s="207"/>
      <c r="G185" s="192"/>
      <c r="H185" s="192"/>
      <c r="I185" s="192"/>
      <c r="J185" s="192"/>
      <c r="K185" s="192">
        <f>$K$181*(1-Q185)</f>
        <v>8.5199999999999984E-2</v>
      </c>
      <c r="L185" s="192"/>
      <c r="M185" s="208"/>
      <c r="N185" s="208">
        <f t="shared" ref="N185:N187" si="39">ROUND((C185*K185),2)</f>
        <v>0</v>
      </c>
      <c r="O185" s="193">
        <f>M185+N185</f>
        <v>0</v>
      </c>
      <c r="P185" s="209"/>
      <c r="Q185" s="169">
        <v>0.4</v>
      </c>
    </row>
    <row r="186" spans="2:17" x14ac:dyDescent="0.3">
      <c r="B186" s="1"/>
      <c r="C186" s="206">
        <f>IF($K$11=$B$181,(D45*($K$13)/($K$13+$L$13)),0)+IF($L$11=$B$181,(D45*($L$13)/($K$13+$L$13)),0)</f>
        <v>0</v>
      </c>
      <c r="D186" s="207"/>
      <c r="E186" s="207"/>
      <c r="F186" s="207"/>
      <c r="G186" s="192"/>
      <c r="H186" s="192"/>
      <c r="I186" s="192"/>
      <c r="J186" s="192"/>
      <c r="K186" s="192">
        <f>$K$181*(1-Q186)</f>
        <v>0.1278</v>
      </c>
      <c r="L186" s="192"/>
      <c r="M186" s="208"/>
      <c r="N186" s="208">
        <f t="shared" si="39"/>
        <v>0</v>
      </c>
      <c r="O186" s="193">
        <f>M186+N186</f>
        <v>0</v>
      </c>
      <c r="P186" s="209"/>
      <c r="Q186" s="169">
        <v>0.1</v>
      </c>
    </row>
    <row r="187" spans="2:17" x14ac:dyDescent="0.3">
      <c r="B187" s="1"/>
      <c r="C187" s="206">
        <f>IF($K$11=$B$181,(D46*($K$13)/($K$13+$L$13)),0)+IF($L$11=$B$181,(D46*($L$13)/($K$13+$L$13)),0)</f>
        <v>0</v>
      </c>
      <c r="D187" s="207"/>
      <c r="E187" s="207"/>
      <c r="F187" s="207"/>
      <c r="G187" s="192"/>
      <c r="H187" s="192"/>
      <c r="I187" s="192"/>
      <c r="J187" s="192"/>
      <c r="K187" s="192">
        <f>$K$181*(1-Q187)</f>
        <v>0.14199999999999999</v>
      </c>
      <c r="L187" s="192"/>
      <c r="M187" s="208"/>
      <c r="N187" s="208">
        <f t="shared" si="39"/>
        <v>0</v>
      </c>
      <c r="O187" s="193">
        <f>M187+N187</f>
        <v>0</v>
      </c>
      <c r="P187" s="209"/>
      <c r="Q187" s="169">
        <v>0</v>
      </c>
    </row>
    <row r="188" spans="2:17" x14ac:dyDescent="0.3">
      <c r="B188" s="1"/>
      <c r="C188" s="210" t="s">
        <v>162</v>
      </c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2"/>
      <c r="O188" s="213">
        <f>SUM(O184:O187)</f>
        <v>0</v>
      </c>
      <c r="P188" s="1"/>
      <c r="Q188" s="1"/>
    </row>
    <row r="192" spans="2:17" x14ac:dyDescent="0.3">
      <c r="B192" s="1" t="s">
        <v>174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2:17" x14ac:dyDescent="0.3">
      <c r="B193" s="105" t="s">
        <v>14</v>
      </c>
      <c r="C193" s="105"/>
      <c r="D193" s="105"/>
      <c r="E193" s="105"/>
      <c r="F193" s="105"/>
      <c r="G193" s="105"/>
      <c r="H193" s="116"/>
      <c r="I193" s="116"/>
      <c r="J193" s="117"/>
      <c r="K193" s="203">
        <f>K154</f>
        <v>2.989E-2</v>
      </c>
      <c r="L193" s="204"/>
      <c r="M193" s="106"/>
      <c r="N193" s="106"/>
      <c r="O193" s="118"/>
      <c r="P193" s="1"/>
      <c r="Q193" s="1"/>
    </row>
    <row r="194" spans="2:17" x14ac:dyDescent="0.3">
      <c r="B194" s="1"/>
      <c r="C194" s="166" t="s">
        <v>156</v>
      </c>
      <c r="D194" s="456"/>
      <c r="E194" s="457"/>
      <c r="F194" s="167"/>
      <c r="G194" s="456"/>
      <c r="H194" s="457"/>
      <c r="I194" s="167"/>
      <c r="J194" s="456" t="s">
        <v>157</v>
      </c>
      <c r="K194" s="457"/>
      <c r="L194" s="167"/>
      <c r="M194" s="456" t="s">
        <v>158</v>
      </c>
      <c r="N194" s="457"/>
      <c r="O194" s="168" t="s">
        <v>159</v>
      </c>
      <c r="P194" s="1"/>
      <c r="Q194" s="46"/>
    </row>
    <row r="195" spans="2:17" x14ac:dyDescent="0.3">
      <c r="B195" s="1"/>
      <c r="C195" s="205" t="s">
        <v>160</v>
      </c>
      <c r="D195" s="205"/>
      <c r="E195" s="205"/>
      <c r="F195" s="205"/>
      <c r="G195" s="205"/>
      <c r="H195" s="205"/>
      <c r="I195" s="205"/>
      <c r="J195" s="205"/>
      <c r="K195" s="205" t="s">
        <v>9</v>
      </c>
      <c r="L195" s="205"/>
      <c r="M195" s="205" t="s">
        <v>33</v>
      </c>
      <c r="N195" s="205" t="s">
        <v>9</v>
      </c>
      <c r="O195" s="205" t="s">
        <v>161</v>
      </c>
      <c r="P195" s="1"/>
    </row>
    <row r="196" spans="2:17" x14ac:dyDescent="0.3">
      <c r="B196" s="1"/>
      <c r="C196" s="206">
        <f>IF($K$11=$B$193,(D53*($K$13)/($K$13+$L$13)),0)+IF($L$11=$B$193,(D53*($L$13)/($K$13+$L$13)),0)</f>
        <v>0</v>
      </c>
      <c r="D196" s="207"/>
      <c r="E196" s="207"/>
      <c r="F196" s="207"/>
      <c r="G196" s="192"/>
      <c r="H196" s="192"/>
      <c r="I196" s="192"/>
      <c r="J196" s="192"/>
      <c r="K196" s="192">
        <f>$K$193*(1-Q196)</f>
        <v>1.0461499999999999E-2</v>
      </c>
      <c r="L196" s="192"/>
      <c r="M196" s="208"/>
      <c r="N196" s="208">
        <f>ROUND((C196*K196),2)</f>
        <v>0</v>
      </c>
      <c r="O196" s="193">
        <f>M196+N196</f>
        <v>0</v>
      </c>
      <c r="P196" s="209"/>
      <c r="Q196" s="169">
        <v>0.65</v>
      </c>
    </row>
    <row r="197" spans="2:17" x14ac:dyDescent="0.3">
      <c r="B197" s="1"/>
      <c r="C197" s="206">
        <f>IF($K$11=$B$193,(D54*($K$13)/($K$13+$L$13)),0)+IF($L$11=$B$193,(D54*($L$13)/($K$13+$L$13)),0)</f>
        <v>0</v>
      </c>
      <c r="D197" s="207"/>
      <c r="E197" s="207"/>
      <c r="F197" s="207"/>
      <c r="G197" s="192"/>
      <c r="H197" s="192"/>
      <c r="I197" s="192"/>
      <c r="J197" s="192"/>
      <c r="K197" s="192">
        <f t="shared" ref="K197:K199" si="40">$K$193*(1-Q197)</f>
        <v>1.7933999999999999E-2</v>
      </c>
      <c r="L197" s="192"/>
      <c r="M197" s="208"/>
      <c r="N197" s="208">
        <f t="shared" ref="N197:N199" si="41">ROUND((C197*K197),2)</f>
        <v>0</v>
      </c>
      <c r="O197" s="193">
        <f>M197+N197</f>
        <v>0</v>
      </c>
      <c r="P197" s="209"/>
      <c r="Q197" s="169">
        <v>0.4</v>
      </c>
    </row>
    <row r="198" spans="2:17" x14ac:dyDescent="0.3">
      <c r="B198" s="1"/>
      <c r="C198" s="206">
        <f>IF($K$11=$B$193,(D55*($K$13)/($K$13+$L$13)),0)+IF($L$11=$B$193,(D55*($L$13)/($K$13+$L$13)),0)</f>
        <v>0</v>
      </c>
      <c r="D198" s="207"/>
      <c r="E198" s="207"/>
      <c r="F198" s="207"/>
      <c r="G198" s="192"/>
      <c r="H198" s="192"/>
      <c r="I198" s="192"/>
      <c r="J198" s="192"/>
      <c r="K198" s="192">
        <f t="shared" si="40"/>
        <v>2.6901000000000001E-2</v>
      </c>
      <c r="L198" s="192"/>
      <c r="M198" s="208"/>
      <c r="N198" s="208">
        <f t="shared" si="41"/>
        <v>0</v>
      </c>
      <c r="O198" s="193">
        <f>M198+N198</f>
        <v>0</v>
      </c>
      <c r="P198" s="209"/>
      <c r="Q198" s="169">
        <v>0.1</v>
      </c>
    </row>
    <row r="199" spans="2:17" x14ac:dyDescent="0.3">
      <c r="B199" s="1"/>
      <c r="C199" s="206">
        <f>IF($K$11=$B$193,(D56*($K$13)/($K$13+$L$13)),0)+IF($L$11=$B$193,(D56*($L$13)/($K$13+$L$13)),0)</f>
        <v>0</v>
      </c>
      <c r="D199" s="207"/>
      <c r="E199" s="207"/>
      <c r="F199" s="207"/>
      <c r="G199" s="192"/>
      <c r="H199" s="192"/>
      <c r="I199" s="192"/>
      <c r="J199" s="192"/>
      <c r="K199" s="192">
        <f t="shared" si="40"/>
        <v>2.989E-2</v>
      </c>
      <c r="L199" s="192"/>
      <c r="M199" s="208"/>
      <c r="N199" s="208">
        <f t="shared" si="41"/>
        <v>0</v>
      </c>
      <c r="O199" s="193">
        <f>M199+N199</f>
        <v>0</v>
      </c>
      <c r="P199" s="209"/>
      <c r="Q199" s="169">
        <v>0</v>
      </c>
    </row>
    <row r="200" spans="2:17" x14ac:dyDescent="0.3">
      <c r="B200" s="1"/>
      <c r="C200" s="210" t="s">
        <v>162</v>
      </c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2"/>
      <c r="O200" s="213">
        <f>SUM(O196:O199)</f>
        <v>0</v>
      </c>
      <c r="P200" s="1"/>
      <c r="Q200" s="1"/>
    </row>
    <row r="201" spans="2:17" x14ac:dyDescent="0.3">
      <c r="B201" s="105"/>
      <c r="C201" s="105"/>
      <c r="D201" s="105"/>
      <c r="E201" s="105"/>
      <c r="F201" s="105"/>
      <c r="G201" s="105"/>
      <c r="H201" s="116"/>
      <c r="I201" s="116"/>
      <c r="J201" s="117"/>
      <c r="K201" s="117"/>
      <c r="L201" s="117"/>
      <c r="M201" s="106"/>
      <c r="N201" s="106"/>
      <c r="O201" s="214"/>
      <c r="P201" s="1"/>
      <c r="Q201" s="1"/>
    </row>
    <row r="202" spans="2:17" x14ac:dyDescent="0.3">
      <c r="B202" s="105" t="s">
        <v>15</v>
      </c>
      <c r="C202" s="105"/>
      <c r="D202" s="105"/>
      <c r="E202" s="105"/>
      <c r="F202" s="105"/>
      <c r="G202" s="105"/>
      <c r="H202" s="116"/>
      <c r="I202" s="116"/>
      <c r="J202" s="117"/>
      <c r="K202" s="203">
        <f>K163</f>
        <v>6.5000000000000002E-2</v>
      </c>
      <c r="L202" s="204"/>
      <c r="M202" s="106"/>
      <c r="N202" s="106"/>
      <c r="O202" s="118"/>
      <c r="P202" s="1"/>
      <c r="Q202" s="1"/>
    </row>
    <row r="203" spans="2:17" x14ac:dyDescent="0.3">
      <c r="B203" s="1"/>
      <c r="C203" s="166" t="s">
        <v>156</v>
      </c>
      <c r="D203" s="456"/>
      <c r="E203" s="457"/>
      <c r="F203" s="167"/>
      <c r="G203" s="456"/>
      <c r="H203" s="457"/>
      <c r="I203" s="167"/>
      <c r="J203" s="456" t="s">
        <v>32</v>
      </c>
      <c r="K203" s="457"/>
      <c r="L203" s="167"/>
      <c r="M203" s="456" t="s">
        <v>158</v>
      </c>
      <c r="N203" s="457"/>
      <c r="O203" s="168" t="s">
        <v>159</v>
      </c>
      <c r="P203" s="1"/>
      <c r="Q203" s="46"/>
    </row>
    <row r="204" spans="2:17" x14ac:dyDescent="0.3">
      <c r="B204" s="1"/>
      <c r="C204" s="205" t="s">
        <v>160</v>
      </c>
      <c r="D204" s="205"/>
      <c r="E204" s="205"/>
      <c r="F204" s="205"/>
      <c r="G204" s="205" t="s">
        <v>33</v>
      </c>
      <c r="H204" s="205" t="s">
        <v>9</v>
      </c>
      <c r="I204" s="205"/>
      <c r="J204" s="205" t="s">
        <v>33</v>
      </c>
      <c r="K204" s="205" t="s">
        <v>9</v>
      </c>
      <c r="L204" s="205"/>
      <c r="M204" s="205" t="s">
        <v>33</v>
      </c>
      <c r="N204" s="205" t="s">
        <v>9</v>
      </c>
      <c r="O204" s="205" t="s">
        <v>161</v>
      </c>
      <c r="P204" s="1"/>
    </row>
    <row r="205" spans="2:17" x14ac:dyDescent="0.3">
      <c r="B205" s="1"/>
      <c r="C205" s="206">
        <f>IF($K$11=$B$202,(D53*($K$13)/($K$13+$L$13)),0)+IF($L$11=$B$202,(D53*($L$13)/($K$13+$L$13)),0)</f>
        <v>0</v>
      </c>
      <c r="D205" s="207"/>
      <c r="E205" s="207"/>
      <c r="F205" s="207"/>
      <c r="G205" s="192"/>
      <c r="H205" s="192"/>
      <c r="I205" s="192"/>
      <c r="J205" s="192"/>
      <c r="K205" s="192">
        <f>$K$202*(1-Q205)</f>
        <v>2.2749999999999999E-2</v>
      </c>
      <c r="L205" s="192"/>
      <c r="M205" s="208"/>
      <c r="N205" s="208">
        <f>ROUND((C205*K205),2)</f>
        <v>0</v>
      </c>
      <c r="O205" s="193">
        <f>M205+N205</f>
        <v>0</v>
      </c>
      <c r="P205" s="209"/>
      <c r="Q205" s="169">
        <v>0.65</v>
      </c>
    </row>
    <row r="206" spans="2:17" x14ac:dyDescent="0.3">
      <c r="B206" s="1"/>
      <c r="C206" s="206">
        <f>IF($K$11=$B$202,(D54*($K$13)/($K$13+$L$13)),0)+IF($L$11=$B$202,(D54*($L$13)/($K$13+$L$13)),0)</f>
        <v>0</v>
      </c>
      <c r="D206" s="207"/>
      <c r="E206" s="207"/>
      <c r="F206" s="207"/>
      <c r="G206" s="192"/>
      <c r="H206" s="192"/>
      <c r="I206" s="192"/>
      <c r="J206" s="192"/>
      <c r="K206" s="192">
        <f t="shared" ref="K206:K208" si="42">$K$202*(1-Q206)</f>
        <v>3.9E-2</v>
      </c>
      <c r="L206" s="192"/>
      <c r="M206" s="208"/>
      <c r="N206" s="208">
        <f t="shared" ref="N206:N208" si="43">ROUND((C206*K206),2)</f>
        <v>0</v>
      </c>
      <c r="O206" s="193">
        <f>M206+N206</f>
        <v>0</v>
      </c>
      <c r="P206" s="209"/>
      <c r="Q206" s="169">
        <v>0.4</v>
      </c>
    </row>
    <row r="207" spans="2:17" x14ac:dyDescent="0.3">
      <c r="B207" s="1"/>
      <c r="C207" s="206">
        <f>IF($K$11=$B$202,(D55*($K$13)/($K$13+$L$13)),0)+IF($L$11=$B$202,(D55*($L$13)/($K$13+$L$13)),0)</f>
        <v>0</v>
      </c>
      <c r="D207" s="207"/>
      <c r="E207" s="207"/>
      <c r="F207" s="207"/>
      <c r="G207" s="192"/>
      <c r="H207" s="192"/>
      <c r="I207" s="192"/>
      <c r="J207" s="192"/>
      <c r="K207" s="192">
        <f t="shared" si="42"/>
        <v>5.8500000000000003E-2</v>
      </c>
      <c r="L207" s="192"/>
      <c r="M207" s="208"/>
      <c r="N207" s="208">
        <f t="shared" si="43"/>
        <v>0</v>
      </c>
      <c r="O207" s="193">
        <f>M207+N207</f>
        <v>0</v>
      </c>
      <c r="P207" s="209"/>
      <c r="Q207" s="169">
        <v>0.1</v>
      </c>
    </row>
    <row r="208" spans="2:17" x14ac:dyDescent="0.3">
      <c r="B208" s="1"/>
      <c r="C208" s="206">
        <f>IF($K$11=$B$202,(D56*($K$13)/($K$13+$L$13)),0)+IF($L$11=$B$202,(D56*($L$13)/($K$13+$L$13)),0)</f>
        <v>0</v>
      </c>
      <c r="D208" s="207"/>
      <c r="E208" s="207"/>
      <c r="F208" s="207"/>
      <c r="G208" s="192"/>
      <c r="H208" s="192"/>
      <c r="I208" s="192"/>
      <c r="J208" s="192"/>
      <c r="K208" s="192">
        <f t="shared" si="42"/>
        <v>6.5000000000000002E-2</v>
      </c>
      <c r="L208" s="192"/>
      <c r="M208" s="208"/>
      <c r="N208" s="208">
        <f t="shared" si="43"/>
        <v>0</v>
      </c>
      <c r="O208" s="193">
        <f>M208+N208</f>
        <v>0</v>
      </c>
      <c r="P208" s="209"/>
      <c r="Q208" s="169">
        <v>0</v>
      </c>
    </row>
    <row r="209" spans="2:17" x14ac:dyDescent="0.3">
      <c r="B209" s="1"/>
      <c r="C209" s="210" t="s">
        <v>162</v>
      </c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2"/>
      <c r="O209" s="213">
        <f>SUM(O205:O208)</f>
        <v>0</v>
      </c>
      <c r="P209" s="1"/>
      <c r="Q209" s="1"/>
    </row>
    <row r="210" spans="2:17" x14ac:dyDescent="0.3">
      <c r="B210" s="105"/>
      <c r="C210" s="105"/>
      <c r="D210" s="105"/>
      <c r="E210" s="105"/>
      <c r="F210" s="105"/>
      <c r="G210" s="105"/>
      <c r="H210" s="116"/>
      <c r="I210" s="116"/>
      <c r="J210" s="117"/>
      <c r="K210" s="117"/>
      <c r="L210" s="117"/>
      <c r="M210" s="106"/>
      <c r="N210" s="106"/>
      <c r="O210" s="118"/>
      <c r="P210" s="1"/>
      <c r="Q210" s="1"/>
    </row>
    <row r="211" spans="2:17" x14ac:dyDescent="0.3">
      <c r="B211" s="105" t="s">
        <v>16</v>
      </c>
      <c r="C211" s="105"/>
      <c r="D211" s="105"/>
      <c r="E211" s="105"/>
      <c r="F211" s="105"/>
      <c r="G211" s="105"/>
      <c r="H211" s="116"/>
      <c r="I211" s="116"/>
      <c r="J211" s="117"/>
      <c r="K211" s="203">
        <f>K172</f>
        <v>9.7949999999999995E-2</v>
      </c>
      <c r="L211" s="204"/>
      <c r="M211" s="106"/>
      <c r="N211" s="106"/>
      <c r="O211" s="118"/>
      <c r="P211" s="1"/>
      <c r="Q211" s="1"/>
    </row>
    <row r="212" spans="2:17" x14ac:dyDescent="0.3">
      <c r="B212" s="1"/>
      <c r="C212" s="166" t="s">
        <v>156</v>
      </c>
      <c r="D212" s="456"/>
      <c r="E212" s="457"/>
      <c r="F212" s="167"/>
      <c r="G212" s="456"/>
      <c r="H212" s="457"/>
      <c r="I212" s="167"/>
      <c r="J212" s="456" t="s">
        <v>32</v>
      </c>
      <c r="K212" s="457"/>
      <c r="L212" s="167"/>
      <c r="M212" s="456" t="s">
        <v>158</v>
      </c>
      <c r="N212" s="457"/>
      <c r="O212" s="168" t="s">
        <v>159</v>
      </c>
      <c r="P212" s="1"/>
      <c r="Q212" s="46"/>
    </row>
    <row r="213" spans="2:17" x14ac:dyDescent="0.3">
      <c r="B213" s="1"/>
      <c r="C213" s="205" t="s">
        <v>160</v>
      </c>
      <c r="D213" s="205"/>
      <c r="E213" s="205"/>
      <c r="F213" s="205"/>
      <c r="G213" s="205" t="s">
        <v>33</v>
      </c>
      <c r="H213" s="205" t="s">
        <v>9</v>
      </c>
      <c r="I213" s="205"/>
      <c r="J213" s="205" t="s">
        <v>33</v>
      </c>
      <c r="K213" s="205" t="s">
        <v>9</v>
      </c>
      <c r="L213" s="205"/>
      <c r="M213" s="205" t="s">
        <v>33</v>
      </c>
      <c r="N213" s="205" t="s">
        <v>9</v>
      </c>
      <c r="O213" s="205" t="s">
        <v>161</v>
      </c>
      <c r="P213" s="1"/>
    </row>
    <row r="214" spans="2:17" x14ac:dyDescent="0.3">
      <c r="B214" s="1"/>
      <c r="C214" s="206">
        <f>IF($K$11=$B$211,(D53*($K$13)/($K$13+$L$13)),0)+IF($L$11=$B$211,(D53*($L$13)/($K$13+$L$13)),0)</f>
        <v>0</v>
      </c>
      <c r="D214" s="207"/>
      <c r="E214" s="207"/>
      <c r="F214" s="207"/>
      <c r="G214" s="192"/>
      <c r="H214" s="192"/>
      <c r="I214" s="192"/>
      <c r="J214" s="192"/>
      <c r="K214" s="192">
        <f>$K$211*(1-Q214)</f>
        <v>3.4282499999999994E-2</v>
      </c>
      <c r="L214" s="192"/>
      <c r="M214" s="208"/>
      <c r="N214" s="208">
        <f>ROUND((C214*K214),2)</f>
        <v>0</v>
      </c>
      <c r="O214" s="193">
        <f>M214+N214</f>
        <v>0</v>
      </c>
      <c r="P214" s="209"/>
      <c r="Q214" s="169">
        <v>0.65</v>
      </c>
    </row>
    <row r="215" spans="2:17" x14ac:dyDescent="0.3">
      <c r="B215" s="1"/>
      <c r="C215" s="206">
        <f>IF($K$11=$B$211,(D54*($K$13)/($K$13+$L$13)),0)+IF($L$11=$B$211,(D54*($L$13)/($K$13+$L$13)),0)</f>
        <v>0</v>
      </c>
      <c r="D215" s="207"/>
      <c r="E215" s="207"/>
      <c r="F215" s="207"/>
      <c r="G215" s="192"/>
      <c r="H215" s="192"/>
      <c r="I215" s="192"/>
      <c r="J215" s="192"/>
      <c r="K215" s="192">
        <f t="shared" ref="K215:K217" si="44">$K$211*(1-Q215)</f>
        <v>5.8769999999999996E-2</v>
      </c>
      <c r="L215" s="192"/>
      <c r="M215" s="208"/>
      <c r="N215" s="208">
        <f t="shared" ref="N215:N217" si="45">ROUND((C215*K215),2)</f>
        <v>0</v>
      </c>
      <c r="O215" s="193">
        <f>M215+N215</f>
        <v>0</v>
      </c>
      <c r="P215" s="209"/>
      <c r="Q215" s="169">
        <v>0.4</v>
      </c>
    </row>
    <row r="216" spans="2:17" x14ac:dyDescent="0.3">
      <c r="B216" s="1"/>
      <c r="C216" s="206">
        <f>IF($K$11=$B$211,(D55*($K$13)/($K$13+$L$13)),0)+IF($L$11=$B$211,(D55*($L$13)/($K$13+$L$13)),0)</f>
        <v>0</v>
      </c>
      <c r="D216" s="207"/>
      <c r="E216" s="207"/>
      <c r="F216" s="207"/>
      <c r="G216" s="192"/>
      <c r="H216" s="192"/>
      <c r="I216" s="192"/>
      <c r="J216" s="192"/>
      <c r="K216" s="192">
        <f t="shared" si="44"/>
        <v>8.8154999999999997E-2</v>
      </c>
      <c r="L216" s="192"/>
      <c r="M216" s="208"/>
      <c r="N216" s="208">
        <f t="shared" si="45"/>
        <v>0</v>
      </c>
      <c r="O216" s="193">
        <f>M216+N216</f>
        <v>0</v>
      </c>
      <c r="P216" s="209"/>
      <c r="Q216" s="169">
        <v>0.1</v>
      </c>
    </row>
    <row r="217" spans="2:17" x14ac:dyDescent="0.3">
      <c r="B217" s="1"/>
      <c r="C217" s="206">
        <f>IF($K$11=$B$211,(D56*($K$13)/($K$13+$L$13)),0)+IF($L$11=$B$211,(D56*($L$13)/($K$13+$L$13)),0)</f>
        <v>0</v>
      </c>
      <c r="D217" s="207"/>
      <c r="E217" s="207"/>
      <c r="F217" s="207"/>
      <c r="G217" s="192"/>
      <c r="H217" s="192"/>
      <c r="I217" s="192"/>
      <c r="J217" s="192"/>
      <c r="K217" s="192">
        <f t="shared" si="44"/>
        <v>9.7949999999999995E-2</v>
      </c>
      <c r="L217" s="192"/>
      <c r="M217" s="208"/>
      <c r="N217" s="208">
        <f t="shared" si="45"/>
        <v>0</v>
      </c>
      <c r="O217" s="193">
        <f>M217+N217</f>
        <v>0</v>
      </c>
      <c r="P217" s="209"/>
      <c r="Q217" s="169">
        <v>0</v>
      </c>
    </row>
    <row r="218" spans="2:17" x14ac:dyDescent="0.3">
      <c r="B218" s="1"/>
      <c r="C218" s="210" t="s">
        <v>162</v>
      </c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2"/>
      <c r="O218" s="213">
        <f>SUM(O214:O217)</f>
        <v>0</v>
      </c>
      <c r="P218" s="1"/>
      <c r="Q218" s="1"/>
    </row>
    <row r="219" spans="2:1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2:17" x14ac:dyDescent="0.3">
      <c r="B220" s="1" t="s">
        <v>17</v>
      </c>
      <c r="C220" s="105"/>
      <c r="D220" s="105"/>
      <c r="E220" s="105"/>
      <c r="F220" s="105"/>
      <c r="G220" s="105"/>
      <c r="H220" s="116"/>
      <c r="I220" s="116"/>
      <c r="J220" s="117"/>
      <c r="K220" s="203">
        <f>K181</f>
        <v>0.14199999999999999</v>
      </c>
      <c r="L220" s="204"/>
      <c r="M220" s="106"/>
      <c r="N220" s="106"/>
      <c r="O220" s="118"/>
      <c r="P220" s="1"/>
      <c r="Q220" s="1"/>
    </row>
    <row r="221" spans="2:17" x14ac:dyDescent="0.3">
      <c r="B221" s="1"/>
      <c r="C221" s="166" t="s">
        <v>156</v>
      </c>
      <c r="D221" s="456"/>
      <c r="E221" s="457"/>
      <c r="F221" s="167"/>
      <c r="G221" s="456"/>
      <c r="H221" s="457"/>
      <c r="I221" s="167"/>
      <c r="J221" s="456" t="s">
        <v>32</v>
      </c>
      <c r="K221" s="457"/>
      <c r="L221" s="167"/>
      <c r="M221" s="456" t="s">
        <v>158</v>
      </c>
      <c r="N221" s="457"/>
      <c r="O221" s="168" t="s">
        <v>159</v>
      </c>
      <c r="P221" s="1"/>
      <c r="Q221" s="46"/>
    </row>
    <row r="222" spans="2:17" x14ac:dyDescent="0.3">
      <c r="B222" s="1"/>
      <c r="C222" s="205" t="s">
        <v>160</v>
      </c>
      <c r="D222" s="205"/>
      <c r="E222" s="205"/>
      <c r="F222" s="205"/>
      <c r="G222" s="205" t="s">
        <v>33</v>
      </c>
      <c r="H222" s="205" t="s">
        <v>9</v>
      </c>
      <c r="I222" s="205"/>
      <c r="J222" s="205" t="s">
        <v>33</v>
      </c>
      <c r="K222" s="205" t="s">
        <v>9</v>
      </c>
      <c r="L222" s="205"/>
      <c r="M222" s="205" t="s">
        <v>33</v>
      </c>
      <c r="N222" s="205" t="s">
        <v>9</v>
      </c>
      <c r="O222" s="205" t="s">
        <v>161</v>
      </c>
      <c r="P222" s="1"/>
    </row>
    <row r="223" spans="2:17" x14ac:dyDescent="0.3">
      <c r="B223" s="1"/>
      <c r="C223" s="206">
        <f>IF($K$11=$B$220,(D53*($K$13)/($K$13+$L$13)),0)+IF($L$11=$B$220,(D53*($L$13)/($K$13+$L$13)),0)</f>
        <v>0</v>
      </c>
      <c r="D223" s="207"/>
      <c r="E223" s="207"/>
      <c r="F223" s="207"/>
      <c r="G223" s="192"/>
      <c r="H223" s="192"/>
      <c r="I223" s="192"/>
      <c r="J223" s="192"/>
      <c r="K223" s="192">
        <f>$K$220*(1-Q223)</f>
        <v>4.9699999999999994E-2</v>
      </c>
      <c r="L223" s="192"/>
      <c r="M223" s="208"/>
      <c r="N223" s="208">
        <f>ROUND((C223*K223),2)</f>
        <v>0</v>
      </c>
      <c r="O223" s="193">
        <f>M223+N223</f>
        <v>0</v>
      </c>
      <c r="P223" s="209"/>
      <c r="Q223" s="169">
        <v>0.65</v>
      </c>
    </row>
    <row r="224" spans="2:17" x14ac:dyDescent="0.3">
      <c r="B224" s="1"/>
      <c r="C224" s="206">
        <f>IF($K$11=$B$220,(D54*($K$13)/($K$13+$L$13)),0)+IF($L$11=$B$220,(D54*($L$13)/($K$13+$L$13)),0)</f>
        <v>0</v>
      </c>
      <c r="D224" s="207"/>
      <c r="E224" s="207"/>
      <c r="F224" s="207"/>
      <c r="G224" s="192"/>
      <c r="H224" s="192"/>
      <c r="I224" s="192"/>
      <c r="J224" s="192"/>
      <c r="K224" s="192">
        <f t="shared" ref="K224:K226" si="46">$K$220*(1-Q224)</f>
        <v>8.5199999999999984E-2</v>
      </c>
      <c r="L224" s="192"/>
      <c r="M224" s="208"/>
      <c r="N224" s="208">
        <f t="shared" ref="N224:N226" si="47">ROUND((C224*K224),2)</f>
        <v>0</v>
      </c>
      <c r="O224" s="193">
        <f>M224+N224</f>
        <v>0</v>
      </c>
      <c r="P224" s="209"/>
      <c r="Q224" s="169">
        <v>0.4</v>
      </c>
    </row>
    <row r="225" spans="2:17" x14ac:dyDescent="0.3">
      <c r="B225" s="1"/>
      <c r="C225" s="206">
        <f>IF($K$11=$B$220,(D55*($K$13)/($K$13+$L$13)),0)+IF($L$11=$B$220,(D55*($L$13)/($K$13+$L$13)),0)</f>
        <v>0</v>
      </c>
      <c r="D225" s="207"/>
      <c r="E225" s="207"/>
      <c r="F225" s="207"/>
      <c r="G225" s="192"/>
      <c r="H225" s="192"/>
      <c r="I225" s="192"/>
      <c r="J225" s="192"/>
      <c r="K225" s="192">
        <f t="shared" si="46"/>
        <v>0.1278</v>
      </c>
      <c r="L225" s="192"/>
      <c r="M225" s="208"/>
      <c r="N225" s="208">
        <f t="shared" si="47"/>
        <v>0</v>
      </c>
      <c r="O225" s="193">
        <f>M225+N225</f>
        <v>0</v>
      </c>
      <c r="P225" s="209"/>
      <c r="Q225" s="169">
        <v>0.1</v>
      </c>
    </row>
    <row r="226" spans="2:17" x14ac:dyDescent="0.3">
      <c r="B226" s="1"/>
      <c r="C226" s="206">
        <f>IF($K$11=$B$220,(D56*($K$13)/($K$13+$L$13)),0)+IF($L$11=$B$220,(D56*($L$13)/($K$13+$L$13)),0)</f>
        <v>0</v>
      </c>
      <c r="D226" s="207"/>
      <c r="E226" s="207"/>
      <c r="F226" s="207"/>
      <c r="G226" s="192"/>
      <c r="H226" s="192"/>
      <c r="I226" s="192"/>
      <c r="J226" s="192"/>
      <c r="K226" s="192">
        <f t="shared" si="46"/>
        <v>0.14199999999999999</v>
      </c>
      <c r="L226" s="192"/>
      <c r="M226" s="208"/>
      <c r="N226" s="208">
        <f t="shared" si="47"/>
        <v>0</v>
      </c>
      <c r="O226" s="193">
        <f>M226+N226</f>
        <v>0</v>
      </c>
      <c r="P226" s="209"/>
      <c r="Q226" s="169">
        <v>0</v>
      </c>
    </row>
    <row r="227" spans="2:17" x14ac:dyDescent="0.3">
      <c r="B227" s="1"/>
      <c r="C227" s="210" t="s">
        <v>162</v>
      </c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2"/>
      <c r="O227" s="213">
        <f>SUM(O223:O226)</f>
        <v>0</v>
      </c>
      <c r="P227" s="1"/>
      <c r="Q227" s="1"/>
    </row>
  </sheetData>
  <mergeCells count="58">
    <mergeCell ref="D221:E221"/>
    <mergeCell ref="G221:H221"/>
    <mergeCell ref="J221:K221"/>
    <mergeCell ref="M221:N221"/>
    <mergeCell ref="D203:E203"/>
    <mergeCell ref="G203:H203"/>
    <mergeCell ref="J203:K203"/>
    <mergeCell ref="M203:N203"/>
    <mergeCell ref="D212:E212"/>
    <mergeCell ref="G212:H212"/>
    <mergeCell ref="J212:K212"/>
    <mergeCell ref="M212:N212"/>
    <mergeCell ref="D182:E182"/>
    <mergeCell ref="G182:H182"/>
    <mergeCell ref="J182:K182"/>
    <mergeCell ref="M182:N182"/>
    <mergeCell ref="D194:E194"/>
    <mergeCell ref="G194:H194"/>
    <mergeCell ref="J194:K194"/>
    <mergeCell ref="M194:N194"/>
    <mergeCell ref="D164:E164"/>
    <mergeCell ref="G164:H164"/>
    <mergeCell ref="J164:K164"/>
    <mergeCell ref="M164:N164"/>
    <mergeCell ref="D173:E173"/>
    <mergeCell ref="G173:H173"/>
    <mergeCell ref="J173:K173"/>
    <mergeCell ref="M173:N173"/>
    <mergeCell ref="D145:E145"/>
    <mergeCell ref="G145:H145"/>
    <mergeCell ref="J145:K145"/>
    <mergeCell ref="M145:N145"/>
    <mergeCell ref="D155:E155"/>
    <mergeCell ref="G155:H155"/>
    <mergeCell ref="J155:K155"/>
    <mergeCell ref="M155:N155"/>
    <mergeCell ref="D127:E127"/>
    <mergeCell ref="G127:H127"/>
    <mergeCell ref="J127:K127"/>
    <mergeCell ref="M127:N127"/>
    <mergeCell ref="D136:E136"/>
    <mergeCell ref="G136:H136"/>
    <mergeCell ref="J136:K136"/>
    <mergeCell ref="M136:N136"/>
    <mergeCell ref="U4:W4"/>
    <mergeCell ref="X4:Z4"/>
    <mergeCell ref="K10:L10"/>
    <mergeCell ref="B29:H29"/>
    <mergeCell ref="D118:E118"/>
    <mergeCell ref="G118:H118"/>
    <mergeCell ref="J118:K118"/>
    <mergeCell ref="M118:N118"/>
    <mergeCell ref="B4:B5"/>
    <mergeCell ref="C4:E4"/>
    <mergeCell ref="F4:H4"/>
    <mergeCell ref="I4:K4"/>
    <mergeCell ref="Q4:Q5"/>
    <mergeCell ref="R4:T4"/>
  </mergeCells>
  <conditionalFormatting sqref="K11:L11">
    <cfRule type="cellIs" dxfId="13" priority="1" operator="equal">
      <formula>"Escassez Hídrica"</formula>
    </cfRule>
    <cfRule type="cellIs" dxfId="12" priority="2" operator="equal">
      <formula>"VERDE"</formula>
    </cfRule>
    <cfRule type="cellIs" dxfId="11" priority="3" operator="equal">
      <formula>"BVM2"</formula>
    </cfRule>
    <cfRule type="cellIs" dxfId="10" priority="4" operator="equal">
      <formula>"BVM1"</formula>
    </cfRule>
    <cfRule type="cellIs" dxfId="9" priority="5" operator="equal">
      <formula>"BAM"</formula>
    </cfRule>
  </conditionalFormatting>
  <conditionalFormatting sqref="M3">
    <cfRule type="cellIs" dxfId="8" priority="16" operator="equal">
      <formula>"VERDE"</formula>
    </cfRule>
    <cfRule type="cellIs" dxfId="7" priority="17" operator="equal">
      <formula>"BVM2"</formula>
    </cfRule>
    <cfRule type="cellIs" dxfId="6" priority="18" operator="equal">
      <formula>"BVM1"</formula>
    </cfRule>
    <cfRule type="cellIs" dxfId="5" priority="19" operator="equal">
      <formula>"BAM"</formula>
    </cfRule>
  </conditionalFormatting>
  <conditionalFormatting sqref="M7">
    <cfRule type="containsText" dxfId="4" priority="7" operator="containsText" text="Escassez Hídrica">
      <formula>NOT(ISERROR(SEARCH("Escassez Hídrica",M7)))</formula>
    </cfRule>
    <cfRule type="cellIs" dxfId="3" priority="8" operator="equal">
      <formula>"VERDE"</formula>
    </cfRule>
    <cfRule type="cellIs" dxfId="2" priority="9" operator="equal">
      <formula>"BVM2"</formula>
    </cfRule>
    <cfRule type="cellIs" dxfId="1" priority="10" operator="equal">
      <formula>"BVM1"</formula>
    </cfRule>
    <cfRule type="cellIs" dxfId="0" priority="11" operator="equal">
      <formula>"BAM"</formula>
    </cfRule>
  </conditionalFormatting>
  <dataValidations disablePrompts="1" count="2">
    <dataValidation type="list" allowBlank="1" showInputMessage="1" showErrorMessage="1" sqref="K11:L11" xr:uid="{EBDFBB8C-5AF2-4946-872C-7C9F0A986BE8}">
      <formula1>$M$3:$M$7</formula1>
    </dataValidation>
    <dataValidation type="list" allowBlank="1" showInputMessage="1" showErrorMessage="1" sqref="D16" xr:uid="{1BCAE4CD-41C1-4727-B81C-76C08CEE79F0}">
      <formula1>$A$16:$A$18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069c89-97f4-473c-8adf-a00e29b2cc6b" xsi:nil="true"/>
    <lcf76f155ced4ddcb4097134ff3c332f xmlns="dee4fbf6-117c-49a8-8347-1ad6b80523b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891448F6717847BCC1627ECE39252D" ma:contentTypeVersion="16" ma:contentTypeDescription="Crie um novo documento." ma:contentTypeScope="" ma:versionID="73bcb56c385bf2a5bec6d72fb0244d1e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cab4a2184729188c6730d5972d74cc4a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9FD9A-CD93-4492-9359-D474B104137C}">
  <ds:schemaRefs>
    <ds:schemaRef ds:uri="http://schemas.microsoft.com/office/2006/metadata/properties"/>
    <ds:schemaRef ds:uri="http://schemas.microsoft.com/office/infopath/2007/PartnerControls"/>
    <ds:schemaRef ds:uri="8a069c89-97f4-473c-8adf-a00e29b2cc6b"/>
    <ds:schemaRef ds:uri="dee4fbf6-117c-49a8-8347-1ad6b80523b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DC092DD-3173-4446-B37F-00A53FF70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e4fbf6-117c-49a8-8347-1ad6b80523b2"/>
    <ds:schemaRef ds:uri="8a069c89-97f4-473c-8adf-a00e29b2c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EC884D-0A2F-47EF-B2DA-90992D7D52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Fatura B1 (GD I)</vt:lpstr>
      <vt:lpstr>FIO B</vt:lpstr>
      <vt:lpstr>TABELA DE TARIFAS ANTIGAS</vt:lpstr>
      <vt:lpstr>TABELA DE TARIFAS NOVAS</vt:lpstr>
      <vt:lpstr>Fatura B1 (GD II) OK</vt:lpstr>
      <vt:lpstr>Fatura B2 (GD II) OK</vt:lpstr>
      <vt:lpstr>Fatura B3 (GD II) OK</vt:lpstr>
      <vt:lpstr>Fatura B2 IRRIG (GD II) OK</vt:lpstr>
      <vt:lpstr>Fatura B2 IRRIG (GD II) OK (2)</vt:lpstr>
      <vt:lpstr>Fatura B1 (GD) (Baixa Renda) X</vt:lpstr>
      <vt:lpstr>B1 (Res) GD Branca GDII</vt:lpstr>
      <vt:lpstr>B2 GD Branca GDII</vt:lpstr>
      <vt:lpstr>B3 GD Branca GDII X</vt:lpstr>
      <vt:lpstr>V4 MMGD GDII</vt:lpstr>
      <vt:lpstr>A4 MMGD GDII</vt:lpstr>
      <vt:lpstr>Fatura B1 (GD II) (Baixa Re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Lombardi</dc:creator>
  <cp:lastModifiedBy>Alex Da Costa Pereira</cp:lastModifiedBy>
  <dcterms:created xsi:type="dcterms:W3CDTF">2022-12-26T17:32:15Z</dcterms:created>
  <dcterms:modified xsi:type="dcterms:W3CDTF">2026-08-06T19:47:41Z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2024-08-05T13:47:40Z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abfe68cd-5d28-4482-a839-4fa997b75fbf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0x010100CA891448F6717847BCC1627ECE39252D</vt:lpwstr>
  </property>
</Properties>
</file>