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coc10.escelsa.br\CGC\CGFA\Faturamento\Gestão Faturamento\15 - Relatório Gerencial - CGC\Arquivos PRT\Processos Tarifarios\2026_RTA_EDP_ES\Planilhas de Validação\EP2\Grupo B\"/>
    </mc:Choice>
  </mc:AlternateContent>
  <xr:revisionPtr revIDLastSave="0" documentId="13_ncr:1_{9034A9AB-9A29-42D2-98EC-F38CA9E91ED4}" xr6:coauthVersionLast="47" xr6:coauthVersionMax="47" xr10:uidLastSave="{00000000-0000-0000-0000-000000000000}"/>
  <bookViews>
    <workbookView xWindow="28692" yWindow="-108" windowWidth="29016" windowHeight="15696" tabRatio="755" firstSheet="2" activeTab="8" xr2:uid="{00000000-000D-0000-FFFF-FFFF00000000}"/>
  </bookViews>
  <sheets>
    <sheet name="TABELA DE TARIFAS ANTIGAS" sheetId="2" state="hidden" r:id="rId1"/>
    <sheet name="TABELA DE TARIFAS NOVAS" sheetId="3" state="hidden" r:id="rId2"/>
    <sheet name="B1 (Res) Branca OK" sheetId="4" r:id="rId3"/>
    <sheet name="B2 (Rural) Branca OK" sheetId="6" r:id="rId4"/>
    <sheet name="FIO B" sheetId="1" state="hidden" r:id="rId5"/>
    <sheet name="B2 (Rural Irrig) Branca OK" sheetId="8" r:id="rId6"/>
    <sheet name="B3 Branca OK" sheetId="5" r:id="rId7"/>
    <sheet name="B3 PPF Branca OK" sheetId="10" r:id="rId8"/>
    <sheet name="B3CP Branca OK" sheetId="11" r:id="rId9"/>
    <sheet name="O3 Branca" sheetId="9" state="hidden" r:id="rId10"/>
    <sheet name="B3 Branca (AES) NÃO" sheetId="7" state="hidden" r:id="rId11"/>
  </sheets>
  <definedNames>
    <definedName name="_xlnm._FilterDatabase" localSheetId="0" hidden="1">'TABELA DE TARIFAS ANTIGAS'!$B$1:$B$91</definedName>
    <definedName name="_xlnm._FilterDatabase" localSheetId="1" hidden="1">'TABELA DE TARIFAS NOVAS'!$B$1:$B$93</definedName>
    <definedName name="_Ref352134769" localSheetId="0">'TABELA DE TARIFAS ANTIGAS'!$A$91</definedName>
    <definedName name="_Ref352134769" localSheetId="1">'TABELA DE TARIFAS NOVAS'!$A$93</definedName>
    <definedName name="Z_93A7E07A_AC2D_4310_B7ED_B74DACBA50A7_.wvu.FilterData" localSheetId="0" hidden="1">'TABELA DE TARIFAS ANTIGAS'!$B$1:$B$91</definedName>
    <definedName name="Z_93A7E07A_AC2D_4310_B7ED_B74DACBA50A7_.wvu.FilterData" localSheetId="1" hidden="1">'TABELA DE TARIFAS NOVAS'!$B$1:$B$93</definedName>
    <definedName name="Z_A8592FA0_1011_4F02_BFB0_BB1C65ED9311_.wvu.FilterData" localSheetId="0" hidden="1">'TABELA DE TARIFAS ANTIGAS'!$B$1:$B$91</definedName>
    <definedName name="Z_A8592FA0_1011_4F02_BFB0_BB1C65ED9311_.wvu.FilterData" localSheetId="1" hidden="1">'TABELA DE TARIFAS NOVAS'!$B$1:$B$93</definedName>
    <definedName name="Z_E99E9347_E83C_4BCD_9209_A3E8998220A9_.wvu.FilterData" localSheetId="0" hidden="1">'TABELA DE TARIFAS ANTIGAS'!$B$1:$B$91</definedName>
    <definedName name="Z_E99E9347_E83C_4BCD_9209_A3E8998220A9_.wvu.FilterData" localSheetId="1" hidden="1">'TABELA DE TARIFAS NOVAS'!$B$1:$B$93</definedName>
    <definedName name="Z_EB662AE4_4B22_40EC_8355_9AD94D059B97_.wvu.FilterData" localSheetId="0" hidden="1">'TABELA DE TARIFAS ANTIGAS'!$B$1:$B$91</definedName>
    <definedName name="Z_EB662AE4_4B22_40EC_8355_9AD94D059B97_.wvu.FilterData" localSheetId="1" hidden="1">'TABELA DE TARIFAS NOVAS'!$B$1:$B$93</definedName>
  </definedNames>
  <calcPr calcId="191029"/>
  <customWorkbookViews>
    <customWorkbookView name="Zoghanna Damacena Ribeiro - Modo de exibição pessoal" guid="{93A7E07A-AC2D-4310-B7ED-B74DACBA50A7}" mergeInterval="0" personalView="1" maximized="1" xWindow="-9" yWindow="-9" windowWidth="1938" windowHeight="1048" tabRatio="755" activeSheetId="8"/>
    <customWorkbookView name="Fabiana Alves De Freitas Pinheiro - Modo de exibição pessoal" guid="{EB662AE4-4B22-40EC-8355-9AD94D059B97}" mergeInterval="0" personalView="1" maximized="1" xWindow="-8" yWindow="-8" windowWidth="1456" windowHeight="873" tabRatio="755" activeSheetId="8"/>
    <customWorkbookView name="FABIANA ALVES DE FREITAS - Modo de exibição pessoal" guid="{E99E9347-E83C-4BCD-9209-A3E8998220A9}" mergeInterval="0" personalView="1" maximized="1" xWindow="-8" yWindow="-8" windowWidth="1382" windowHeight="744" tabRatio="755" activeSheetId="5"/>
    <customWorkbookView name="Alex Da Costa Pereira - Modo de exibição pessoal" guid="{A8592FA0-1011-4F02-BFB0-BB1C65ED9311}" mergeInterval="0" personalView="1" maximized="1" xWindow="1592" yWindow="-8" windowWidth="1936" windowHeight="1056" tabRatio="755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8" l="1"/>
  <c r="F2" i="5"/>
  <c r="F2" i="8"/>
  <c r="F2" i="6"/>
  <c r="U13" i="11"/>
  <c r="T13" i="11"/>
  <c r="U13" i="10"/>
  <c r="G9" i="10" s="1"/>
  <c r="T13" i="10"/>
  <c r="F9" i="10" s="1"/>
  <c r="C9" i="10"/>
  <c r="E9" i="10" s="1"/>
  <c r="D9" i="10"/>
  <c r="R6" i="8"/>
  <c r="G7" i="8"/>
  <c r="F7" i="8"/>
  <c r="L44" i="4"/>
  <c r="U6" i="11"/>
  <c r="R6" i="11"/>
  <c r="U8" i="11"/>
  <c r="R8" i="11"/>
  <c r="U7" i="11"/>
  <c r="R7" i="11"/>
  <c r="G8" i="11"/>
  <c r="F8" i="11"/>
  <c r="D8" i="11"/>
  <c r="C8" i="11"/>
  <c r="G7" i="11"/>
  <c r="F7" i="11"/>
  <c r="D7" i="11"/>
  <c r="C7" i="11"/>
  <c r="G6" i="11"/>
  <c r="F6" i="11"/>
  <c r="D6" i="11"/>
  <c r="C6" i="11"/>
  <c r="U8" i="10"/>
  <c r="R8" i="10"/>
  <c r="U7" i="10"/>
  <c r="R7" i="10"/>
  <c r="U6" i="10"/>
  <c r="R6" i="10"/>
  <c r="G8" i="10"/>
  <c r="F8" i="10"/>
  <c r="D8" i="10"/>
  <c r="C8" i="10"/>
  <c r="G7" i="10"/>
  <c r="F7" i="10"/>
  <c r="D7" i="10"/>
  <c r="C7" i="10"/>
  <c r="G6" i="10"/>
  <c r="F6" i="10"/>
  <c r="D6" i="10"/>
  <c r="C6" i="10"/>
  <c r="U8" i="5"/>
  <c r="R8" i="5"/>
  <c r="U7" i="5"/>
  <c r="R7" i="5"/>
  <c r="U6" i="5"/>
  <c r="R6" i="5"/>
  <c r="G8" i="5"/>
  <c r="F8" i="5"/>
  <c r="G7" i="5"/>
  <c r="F7" i="5"/>
  <c r="G6" i="5"/>
  <c r="F6" i="5"/>
  <c r="D8" i="5"/>
  <c r="C8" i="5"/>
  <c r="D7" i="5"/>
  <c r="C7" i="5"/>
  <c r="D6" i="5"/>
  <c r="C6" i="5"/>
  <c r="U13" i="5"/>
  <c r="T13" i="5"/>
  <c r="C6" i="4"/>
  <c r="D6" i="4"/>
  <c r="C7" i="4"/>
  <c r="D7" i="4"/>
  <c r="C8" i="4"/>
  <c r="D8" i="4"/>
  <c r="F6" i="4"/>
  <c r="G6" i="4"/>
  <c r="F7" i="4"/>
  <c r="G7" i="4"/>
  <c r="F8" i="4"/>
  <c r="G8" i="4"/>
  <c r="R6" i="4"/>
  <c r="U6" i="4"/>
  <c r="R7" i="4"/>
  <c r="U7" i="4"/>
  <c r="R8" i="4"/>
  <c r="U8" i="4"/>
  <c r="H9" i="10" l="1"/>
  <c r="U13" i="8"/>
  <c r="T13" i="8"/>
  <c r="U8" i="8"/>
  <c r="R8" i="8"/>
  <c r="U7" i="8"/>
  <c r="R7" i="8"/>
  <c r="U6" i="8"/>
  <c r="G8" i="8"/>
  <c r="F8" i="8"/>
  <c r="D8" i="8"/>
  <c r="C8" i="8"/>
  <c r="D7" i="8"/>
  <c r="C7" i="8"/>
  <c r="G6" i="8"/>
  <c r="F6" i="8"/>
  <c r="D6" i="8"/>
  <c r="C6" i="8"/>
  <c r="U8" i="6"/>
  <c r="R8" i="6"/>
  <c r="U7" i="6"/>
  <c r="R7" i="6"/>
  <c r="U6" i="6"/>
  <c r="R6" i="6"/>
  <c r="U13" i="6"/>
  <c r="T13" i="6"/>
  <c r="G8" i="6"/>
  <c r="F8" i="6"/>
  <c r="D8" i="6"/>
  <c r="C8" i="6"/>
  <c r="G7" i="6"/>
  <c r="F7" i="6"/>
  <c r="D7" i="6"/>
  <c r="C7" i="6"/>
  <c r="G6" i="6"/>
  <c r="F6" i="6"/>
  <c r="D6" i="6"/>
  <c r="C6" i="6"/>
  <c r="U13" i="4"/>
  <c r="T13" i="4"/>
  <c r="Q6" i="8"/>
  <c r="Q7" i="8"/>
  <c r="Q8" i="8"/>
  <c r="D54" i="5" l="1"/>
  <c r="D53" i="5"/>
  <c r="D48" i="6"/>
  <c r="D47" i="6"/>
  <c r="D48" i="4"/>
  <c r="D49" i="4"/>
  <c r="H20" i="11"/>
  <c r="H21" i="11"/>
  <c r="H22" i="11"/>
  <c r="H23" i="11"/>
  <c r="H24" i="11"/>
  <c r="H25" i="11"/>
  <c r="H26" i="11"/>
  <c r="H27" i="11"/>
  <c r="H28" i="11"/>
  <c r="H19" i="11"/>
  <c r="D53" i="11"/>
  <c r="D54" i="11"/>
  <c r="D52" i="11"/>
  <c r="N20" i="10"/>
  <c r="N19" i="10"/>
  <c r="D58" i="10"/>
  <c r="D57" i="10"/>
  <c r="G106" i="11" l="1"/>
  <c r="F106" i="11"/>
  <c r="E106" i="11"/>
  <c r="D106" i="11"/>
  <c r="G105" i="11"/>
  <c r="F105" i="11"/>
  <c r="E105" i="11"/>
  <c r="D105" i="11"/>
  <c r="G104" i="11"/>
  <c r="F104" i="11"/>
  <c r="E104" i="11"/>
  <c r="D104" i="11"/>
  <c r="G103" i="11"/>
  <c r="F103" i="11"/>
  <c r="E103" i="11"/>
  <c r="D103" i="11"/>
  <c r="G102" i="11"/>
  <c r="F102" i="11"/>
  <c r="E102" i="11"/>
  <c r="D102" i="11"/>
  <c r="G101" i="11"/>
  <c r="F101" i="11"/>
  <c r="E101" i="11"/>
  <c r="D101" i="11"/>
  <c r="G100" i="11"/>
  <c r="F100" i="11"/>
  <c r="E100" i="11"/>
  <c r="D100" i="11"/>
  <c r="G99" i="11"/>
  <c r="F99" i="11"/>
  <c r="E99" i="11"/>
  <c r="D99" i="11"/>
  <c r="G98" i="11"/>
  <c r="F98" i="11"/>
  <c r="E98" i="11"/>
  <c r="D98" i="11"/>
  <c r="B95" i="11"/>
  <c r="G92" i="11"/>
  <c r="F92" i="11"/>
  <c r="E92" i="11"/>
  <c r="D92" i="11"/>
  <c r="G91" i="11"/>
  <c r="F91" i="11"/>
  <c r="E91" i="11"/>
  <c r="D91" i="11"/>
  <c r="G90" i="11"/>
  <c r="F90" i="11"/>
  <c r="E90" i="11"/>
  <c r="D90" i="11"/>
  <c r="G89" i="11"/>
  <c r="F89" i="11"/>
  <c r="E89" i="11"/>
  <c r="D89" i="11"/>
  <c r="G88" i="11"/>
  <c r="F88" i="11"/>
  <c r="E88" i="11"/>
  <c r="D88" i="11"/>
  <c r="G87" i="11"/>
  <c r="F87" i="11"/>
  <c r="E87" i="11"/>
  <c r="D87" i="11"/>
  <c r="G86" i="11"/>
  <c r="F86" i="11"/>
  <c r="E86" i="11"/>
  <c r="D86" i="11"/>
  <c r="G85" i="11"/>
  <c r="F85" i="11"/>
  <c r="E85" i="11"/>
  <c r="D85" i="11"/>
  <c r="G84" i="11"/>
  <c r="F84" i="11"/>
  <c r="E84" i="11"/>
  <c r="D84" i="11"/>
  <c r="B81" i="11"/>
  <c r="E68" i="11"/>
  <c r="C43" i="11"/>
  <c r="C37" i="11"/>
  <c r="D24" i="11"/>
  <c r="D23" i="11"/>
  <c r="D22" i="11"/>
  <c r="I21" i="11"/>
  <c r="N20" i="11"/>
  <c r="E67" i="11" s="1"/>
  <c r="I20" i="11"/>
  <c r="N19" i="11"/>
  <c r="E66" i="11" s="1"/>
  <c r="H12" i="11"/>
  <c r="B46" i="11"/>
  <c r="L13" i="11"/>
  <c r="L44" i="11" s="1"/>
  <c r="K13" i="11"/>
  <c r="K44" i="11" s="1"/>
  <c r="M11" i="11"/>
  <c r="G9" i="11"/>
  <c r="F9" i="11"/>
  <c r="D9" i="11"/>
  <c r="C9" i="11"/>
  <c r="Q8" i="11"/>
  <c r="H8" i="11"/>
  <c r="Q7" i="11"/>
  <c r="N7" i="11"/>
  <c r="F60" i="11" s="1"/>
  <c r="E7" i="11"/>
  <c r="Q6" i="11"/>
  <c r="N6" i="11"/>
  <c r="F59" i="11" s="1"/>
  <c r="E6" i="11"/>
  <c r="N5" i="11"/>
  <c r="F58" i="11" s="1"/>
  <c r="N4" i="11"/>
  <c r="K25" i="11" s="1"/>
  <c r="F4" i="11"/>
  <c r="U4" i="11" s="1"/>
  <c r="C4" i="11"/>
  <c r="R4" i="11" s="1"/>
  <c r="N3" i="11"/>
  <c r="F2" i="11"/>
  <c r="C15" i="11" s="1"/>
  <c r="G110" i="10"/>
  <c r="F110" i="10"/>
  <c r="E110" i="10"/>
  <c r="D110" i="10"/>
  <c r="G109" i="10"/>
  <c r="F109" i="10"/>
  <c r="E109" i="10"/>
  <c r="D109" i="10"/>
  <c r="G108" i="10"/>
  <c r="F108" i="10"/>
  <c r="E108" i="10"/>
  <c r="D108" i="10"/>
  <c r="G107" i="10"/>
  <c r="F107" i="10"/>
  <c r="E107" i="10"/>
  <c r="D107" i="10"/>
  <c r="G106" i="10"/>
  <c r="F106" i="10"/>
  <c r="E106" i="10"/>
  <c r="D106" i="10"/>
  <c r="G105" i="10"/>
  <c r="F105" i="10"/>
  <c r="E105" i="10"/>
  <c r="D105" i="10"/>
  <c r="G104" i="10"/>
  <c r="F104" i="10"/>
  <c r="E104" i="10"/>
  <c r="D104" i="10"/>
  <c r="G103" i="10"/>
  <c r="F103" i="10"/>
  <c r="E103" i="10"/>
  <c r="D103" i="10"/>
  <c r="G102" i="10"/>
  <c r="F102" i="10"/>
  <c r="E102" i="10"/>
  <c r="D102" i="10"/>
  <c r="B99" i="10"/>
  <c r="G96" i="10"/>
  <c r="F96" i="10"/>
  <c r="E96" i="10"/>
  <c r="D96" i="10"/>
  <c r="G95" i="10"/>
  <c r="F95" i="10"/>
  <c r="E95" i="10"/>
  <c r="D95" i="10"/>
  <c r="G94" i="10"/>
  <c r="F94" i="10"/>
  <c r="E94" i="10"/>
  <c r="D94" i="10"/>
  <c r="G93" i="10"/>
  <c r="F93" i="10"/>
  <c r="E93" i="10"/>
  <c r="D93" i="10"/>
  <c r="G92" i="10"/>
  <c r="F92" i="10"/>
  <c r="E92" i="10"/>
  <c r="D92" i="10"/>
  <c r="G91" i="10"/>
  <c r="F91" i="10"/>
  <c r="E91" i="10"/>
  <c r="D91" i="10"/>
  <c r="G90" i="10"/>
  <c r="F90" i="10"/>
  <c r="E90" i="10"/>
  <c r="D90" i="10"/>
  <c r="G89" i="10"/>
  <c r="F89" i="10"/>
  <c r="E89" i="10"/>
  <c r="D89" i="10"/>
  <c r="G88" i="10"/>
  <c r="F88" i="10"/>
  <c r="E88" i="10"/>
  <c r="D88" i="10"/>
  <c r="B85" i="10"/>
  <c r="E72" i="10"/>
  <c r="D56" i="10"/>
  <c r="C47" i="10"/>
  <c r="C41" i="10"/>
  <c r="D24" i="10"/>
  <c r="D23" i="10"/>
  <c r="D22" i="10"/>
  <c r="I21" i="10"/>
  <c r="E71" i="10"/>
  <c r="I20" i="10"/>
  <c r="E70" i="10"/>
  <c r="L13" i="10"/>
  <c r="L48" i="10" s="1"/>
  <c r="Q8" i="10"/>
  <c r="H8" i="10"/>
  <c r="Q7" i="10"/>
  <c r="N7" i="10"/>
  <c r="F64" i="10" s="1"/>
  <c r="Q6" i="10"/>
  <c r="N6" i="10"/>
  <c r="F63" i="10" s="1"/>
  <c r="N5" i="10"/>
  <c r="F62" i="10" s="1"/>
  <c r="N4" i="10"/>
  <c r="F61" i="10" s="1"/>
  <c r="F4" i="10"/>
  <c r="U4" i="10" s="1"/>
  <c r="C4" i="10"/>
  <c r="R4" i="10" s="1"/>
  <c r="N3" i="10"/>
  <c r="F2" i="10"/>
  <c r="H9" i="11" l="1"/>
  <c r="K27" i="11"/>
  <c r="E27" i="11" s="1"/>
  <c r="K28" i="11"/>
  <c r="E28" i="11" s="1"/>
  <c r="E9" i="11"/>
  <c r="H7" i="10"/>
  <c r="E6" i="10"/>
  <c r="D15" i="11"/>
  <c r="J15" i="11"/>
  <c r="K15" i="11" s="1"/>
  <c r="D25" i="11" s="1"/>
  <c r="H7" i="11"/>
  <c r="H6" i="10"/>
  <c r="H6" i="11"/>
  <c r="M11" i="10"/>
  <c r="K27" i="10"/>
  <c r="E27" i="10" s="1"/>
  <c r="E7" i="10"/>
  <c r="K28" i="10"/>
  <c r="E28" i="10" s="1"/>
  <c r="D60" i="11"/>
  <c r="H60" i="11" s="1"/>
  <c r="J46" i="11"/>
  <c r="M42" i="11"/>
  <c r="C46" i="11"/>
  <c r="J22" i="11"/>
  <c r="D70" i="11"/>
  <c r="K26" i="11"/>
  <c r="E26" i="11" s="1"/>
  <c r="D28" i="11"/>
  <c r="E46" i="11"/>
  <c r="F57" i="11"/>
  <c r="M15" i="11"/>
  <c r="L15" i="11" s="1"/>
  <c r="D27" i="11" s="1"/>
  <c r="E8" i="11"/>
  <c r="D74" i="10"/>
  <c r="K26" i="10"/>
  <c r="E26" i="10" s="1"/>
  <c r="E8" i="10"/>
  <c r="K25" i="10"/>
  <c r="N19" i="8"/>
  <c r="E73" i="8" s="1"/>
  <c r="N20" i="8"/>
  <c r="E74" i="8" s="1"/>
  <c r="N20" i="6"/>
  <c r="N19" i="6"/>
  <c r="N20" i="5"/>
  <c r="E67" i="5" s="1"/>
  <c r="N19" i="5"/>
  <c r="E66" i="5" s="1"/>
  <c r="L13" i="8"/>
  <c r="K13" i="8"/>
  <c r="L13" i="6"/>
  <c r="K13" i="10"/>
  <c r="K48" i="10" s="1"/>
  <c r="D64" i="10" s="1"/>
  <c r="H64" i="10" s="1"/>
  <c r="E50" i="10"/>
  <c r="B50" i="10"/>
  <c r="C50" i="10" s="1"/>
  <c r="L13" i="5"/>
  <c r="L44" i="5" s="1"/>
  <c r="K13" i="5"/>
  <c r="D46" i="6"/>
  <c r="E68" i="5"/>
  <c r="D52" i="5"/>
  <c r="D28" i="4"/>
  <c r="D53" i="8"/>
  <c r="D52" i="8"/>
  <c r="C42" i="8"/>
  <c r="M46" i="10" l="1"/>
  <c r="J50" i="10"/>
  <c r="D66" i="8"/>
  <c r="D28" i="10"/>
  <c r="G28" i="10" s="1"/>
  <c r="M15" i="10"/>
  <c r="L15" i="10" s="1"/>
  <c r="H12" i="10"/>
  <c r="D15" i="10"/>
  <c r="J15" i="10"/>
  <c r="K15" i="10" s="1"/>
  <c r="K46" i="11"/>
  <c r="D57" i="11" s="1"/>
  <c r="H57" i="11" s="1"/>
  <c r="D26" i="11"/>
  <c r="G26" i="11" s="1"/>
  <c r="C15" i="10"/>
  <c r="J26" i="11"/>
  <c r="J23" i="11"/>
  <c r="J20" i="11"/>
  <c r="J28" i="11"/>
  <c r="G28" i="11"/>
  <c r="F28" i="11"/>
  <c r="G25" i="11"/>
  <c r="J25" i="11"/>
  <c r="M46" i="11"/>
  <c r="L46" i="11" s="1"/>
  <c r="D59" i="11" s="1"/>
  <c r="H59" i="11" s="1"/>
  <c r="H43" i="11"/>
  <c r="D46" i="11"/>
  <c r="D115" i="11" s="1"/>
  <c r="J21" i="11"/>
  <c r="J19" i="11"/>
  <c r="J24" i="11"/>
  <c r="J27" i="11"/>
  <c r="G27" i="11"/>
  <c r="F27" i="11"/>
  <c r="M50" i="10"/>
  <c r="L50" i="10" s="1"/>
  <c r="D50" i="10"/>
  <c r="F121" i="10" s="1"/>
  <c r="H47" i="10"/>
  <c r="D28" i="5"/>
  <c r="D32" i="8"/>
  <c r="D28" i="6"/>
  <c r="K44" i="5"/>
  <c r="D27" i="8"/>
  <c r="D54" i="8"/>
  <c r="M19" i="8"/>
  <c r="M20" i="8" s="1"/>
  <c r="O20" i="8" s="1"/>
  <c r="D51" i="8"/>
  <c r="D26" i="8"/>
  <c r="D25" i="8"/>
  <c r="D24" i="8"/>
  <c r="I21" i="8"/>
  <c r="I20" i="8"/>
  <c r="I22" i="8" s="1"/>
  <c r="D48" i="9"/>
  <c r="D47" i="9"/>
  <c r="D46" i="9"/>
  <c r="E61" i="9"/>
  <c r="E60" i="9"/>
  <c r="G9" i="5"/>
  <c r="F9" i="5"/>
  <c r="B46" i="5"/>
  <c r="M42" i="5" s="1"/>
  <c r="E46" i="5"/>
  <c r="M46" i="5" s="1"/>
  <c r="C43" i="5"/>
  <c r="C37" i="9"/>
  <c r="D28" i="9"/>
  <c r="D27" i="9"/>
  <c r="D26" i="9"/>
  <c r="D24" i="9"/>
  <c r="D23" i="9"/>
  <c r="D22" i="9"/>
  <c r="I21" i="9"/>
  <c r="I20" i="9"/>
  <c r="E61" i="6"/>
  <c r="E60" i="6"/>
  <c r="M15" i="5"/>
  <c r="J15" i="5"/>
  <c r="H12" i="5"/>
  <c r="M11" i="5"/>
  <c r="C37" i="6"/>
  <c r="D24" i="6"/>
  <c r="D23" i="6"/>
  <c r="D22" i="6"/>
  <c r="I21" i="6"/>
  <c r="I20" i="6"/>
  <c r="C37" i="7"/>
  <c r="D28" i="7"/>
  <c r="D27" i="7"/>
  <c r="D26" i="7"/>
  <c r="D24" i="7"/>
  <c r="D23" i="7"/>
  <c r="D22" i="7"/>
  <c r="I21" i="7"/>
  <c r="I20" i="7"/>
  <c r="C37" i="5"/>
  <c r="D24" i="5"/>
  <c r="D23" i="5"/>
  <c r="D22" i="5"/>
  <c r="I21" i="5"/>
  <c r="I20" i="5"/>
  <c r="D70" i="5"/>
  <c r="B81" i="5"/>
  <c r="D84" i="5"/>
  <c r="E84" i="5"/>
  <c r="F84" i="5"/>
  <c r="G84" i="5"/>
  <c r="D85" i="5"/>
  <c r="E85" i="5"/>
  <c r="F85" i="5"/>
  <c r="G85" i="5"/>
  <c r="D86" i="5"/>
  <c r="E86" i="5"/>
  <c r="F86" i="5"/>
  <c r="G86" i="5"/>
  <c r="D87" i="5"/>
  <c r="E87" i="5"/>
  <c r="F87" i="5"/>
  <c r="G87" i="5"/>
  <c r="D88" i="5"/>
  <c r="E88" i="5"/>
  <c r="F88" i="5"/>
  <c r="G88" i="5"/>
  <c r="D89" i="5"/>
  <c r="E89" i="5"/>
  <c r="F89" i="5"/>
  <c r="G89" i="5"/>
  <c r="D90" i="5"/>
  <c r="E90" i="5"/>
  <c r="F90" i="5"/>
  <c r="G90" i="5"/>
  <c r="D91" i="5"/>
  <c r="E91" i="5"/>
  <c r="F91" i="5"/>
  <c r="G91" i="5"/>
  <c r="D92" i="5"/>
  <c r="E92" i="5"/>
  <c r="F92" i="5"/>
  <c r="G92" i="5"/>
  <c r="B95" i="5"/>
  <c r="D98" i="5"/>
  <c r="E98" i="5"/>
  <c r="F98" i="5"/>
  <c r="G98" i="5"/>
  <c r="D99" i="5"/>
  <c r="E99" i="5"/>
  <c r="F99" i="5"/>
  <c r="G99" i="5"/>
  <c r="D100" i="5"/>
  <c r="E100" i="5"/>
  <c r="F100" i="5"/>
  <c r="G100" i="5"/>
  <c r="D101" i="5"/>
  <c r="E101" i="5"/>
  <c r="F101" i="5"/>
  <c r="G101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C38" i="4"/>
  <c r="D24" i="4"/>
  <c r="D23" i="4"/>
  <c r="E62" i="4"/>
  <c r="E61" i="4"/>
  <c r="D47" i="4"/>
  <c r="I21" i="4"/>
  <c r="I20" i="4"/>
  <c r="K28" i="4"/>
  <c r="E28" i="4" s="1"/>
  <c r="K27" i="4"/>
  <c r="K26" i="4"/>
  <c r="E26" i="4" s="1"/>
  <c r="K25" i="4"/>
  <c r="D22" i="4"/>
  <c r="J9" i="10" l="1"/>
  <c r="I9" i="10"/>
  <c r="K50" i="10"/>
  <c r="D62" i="10" s="1"/>
  <c r="H62" i="10" s="1"/>
  <c r="H28" i="10"/>
  <c r="J28" i="10" s="1"/>
  <c r="F28" i="10"/>
  <c r="D26" i="10"/>
  <c r="G26" i="10" s="1"/>
  <c r="D27" i="10"/>
  <c r="D63" i="10"/>
  <c r="H63" i="10" s="1"/>
  <c r="F26" i="11"/>
  <c r="X7" i="11"/>
  <c r="R20" i="11" s="1"/>
  <c r="S20" i="11" s="1"/>
  <c r="D58" i="11"/>
  <c r="H58" i="11" s="1"/>
  <c r="D117" i="11"/>
  <c r="J9" i="11"/>
  <c r="I6" i="11"/>
  <c r="D114" i="11"/>
  <c r="F119" i="11"/>
  <c r="G117" i="11"/>
  <c r="E118" i="11"/>
  <c r="E113" i="11"/>
  <c r="E120" i="11"/>
  <c r="F117" i="11"/>
  <c r="F120" i="11"/>
  <c r="D120" i="11"/>
  <c r="E115" i="11"/>
  <c r="E117" i="11"/>
  <c r="E119" i="11"/>
  <c r="E112" i="11"/>
  <c r="I7" i="11"/>
  <c r="G120" i="11"/>
  <c r="G113" i="11"/>
  <c r="E119" i="10"/>
  <c r="X6" i="11"/>
  <c r="R19" i="11" s="1"/>
  <c r="S19" i="11" s="1"/>
  <c r="J6" i="11"/>
  <c r="I9" i="11"/>
  <c r="J8" i="10"/>
  <c r="G121" i="10"/>
  <c r="X8" i="11"/>
  <c r="R21" i="11" s="1"/>
  <c r="S21" i="11" s="1"/>
  <c r="J8" i="11"/>
  <c r="D113" i="11"/>
  <c r="F118" i="11"/>
  <c r="F112" i="11"/>
  <c r="G119" i="11"/>
  <c r="J7" i="10"/>
  <c r="D112" i="11"/>
  <c r="X7" i="10"/>
  <c r="R21" i="10" s="1"/>
  <c r="S21" i="10" s="1"/>
  <c r="D119" i="11"/>
  <c r="E25" i="11"/>
  <c r="F25" i="11" s="1"/>
  <c r="D25" i="10"/>
  <c r="D61" i="10"/>
  <c r="H61" i="10" s="1"/>
  <c r="J35" i="11"/>
  <c r="H35" i="11"/>
  <c r="F115" i="11"/>
  <c r="G116" i="11"/>
  <c r="D118" i="11"/>
  <c r="G118" i="11"/>
  <c r="E116" i="11"/>
  <c r="G112" i="11"/>
  <c r="F113" i="11"/>
  <c r="D116" i="11"/>
  <c r="E114" i="11"/>
  <c r="F114" i="11"/>
  <c r="F116" i="11"/>
  <c r="I8" i="11"/>
  <c r="J7" i="11"/>
  <c r="G115" i="11"/>
  <c r="G114" i="11"/>
  <c r="G117" i="10"/>
  <c r="D123" i="10"/>
  <c r="D117" i="10"/>
  <c r="E117" i="10"/>
  <c r="D116" i="10"/>
  <c r="F117" i="10"/>
  <c r="X6" i="10"/>
  <c r="R20" i="10" s="1"/>
  <c r="S20" i="10" s="1"/>
  <c r="E116" i="10"/>
  <c r="F116" i="10"/>
  <c r="J6" i="10"/>
  <c r="G118" i="10"/>
  <c r="X8" i="10"/>
  <c r="R22" i="10" s="1"/>
  <c r="S22" i="10" s="1"/>
  <c r="E118" i="10"/>
  <c r="F118" i="10"/>
  <c r="I8" i="10"/>
  <c r="G120" i="10"/>
  <c r="D120" i="10"/>
  <c r="E120" i="10"/>
  <c r="F120" i="10"/>
  <c r="G116" i="10"/>
  <c r="D122" i="10"/>
  <c r="E122" i="10"/>
  <c r="F122" i="10"/>
  <c r="I6" i="10"/>
  <c r="F123" i="10"/>
  <c r="D124" i="10"/>
  <c r="E124" i="10"/>
  <c r="F124" i="10"/>
  <c r="G122" i="10"/>
  <c r="G124" i="10"/>
  <c r="D121" i="10"/>
  <c r="D119" i="10"/>
  <c r="D118" i="10"/>
  <c r="I7" i="10"/>
  <c r="E121" i="10"/>
  <c r="F119" i="10"/>
  <c r="E123" i="10"/>
  <c r="G123" i="10"/>
  <c r="G119" i="10"/>
  <c r="H43" i="5"/>
  <c r="D60" i="5"/>
  <c r="O19" i="8"/>
  <c r="J46" i="5"/>
  <c r="K46" i="5" s="1"/>
  <c r="K15" i="5"/>
  <c r="L46" i="5"/>
  <c r="L15" i="5"/>
  <c r="F28" i="4"/>
  <c r="G28" i="4"/>
  <c r="E27" i="4"/>
  <c r="H28" i="4"/>
  <c r="J28" i="4" s="1"/>
  <c r="S22" i="11" l="1"/>
  <c r="F26" i="10"/>
  <c r="H26" i="10"/>
  <c r="J26" i="10" s="1"/>
  <c r="G27" i="10"/>
  <c r="F27" i="10"/>
  <c r="H27" i="10"/>
  <c r="J27" i="10" s="1"/>
  <c r="S23" i="10"/>
  <c r="D41" i="10"/>
  <c r="E74" i="10"/>
  <c r="F52" i="11"/>
  <c r="K22" i="11"/>
  <c r="K20" i="10"/>
  <c r="E58" i="10"/>
  <c r="K24" i="10"/>
  <c r="F57" i="10"/>
  <c r="K19" i="10"/>
  <c r="E56" i="10"/>
  <c r="E57" i="10"/>
  <c r="K21" i="10"/>
  <c r="K21" i="11"/>
  <c r="E53" i="11"/>
  <c r="K22" i="10"/>
  <c r="F56" i="10"/>
  <c r="K23" i="11"/>
  <c r="F54" i="11"/>
  <c r="K6" i="11"/>
  <c r="K19" i="11"/>
  <c r="E52" i="11"/>
  <c r="K24" i="11"/>
  <c r="F53" i="11"/>
  <c r="E37" i="11"/>
  <c r="F70" i="11"/>
  <c r="K20" i="11"/>
  <c r="E54" i="11"/>
  <c r="K23" i="10"/>
  <c r="F58" i="10"/>
  <c r="E41" i="10"/>
  <c r="F74" i="10"/>
  <c r="D37" i="11"/>
  <c r="E70" i="11"/>
  <c r="K9" i="11"/>
  <c r="K7" i="11"/>
  <c r="K8" i="11"/>
  <c r="K7" i="10"/>
  <c r="K8" i="10"/>
  <c r="G25" i="10"/>
  <c r="H25" i="10"/>
  <c r="J25" i="10" s="1"/>
  <c r="K6" i="10"/>
  <c r="K9" i="10"/>
  <c r="D58" i="5"/>
  <c r="D25" i="5"/>
  <c r="D26" i="5"/>
  <c r="D27" i="5"/>
  <c r="D59" i="5"/>
  <c r="D57" i="5"/>
  <c r="D10" i="9"/>
  <c r="C10" i="9"/>
  <c r="D9" i="7"/>
  <c r="C9" i="7"/>
  <c r="D9" i="5"/>
  <c r="C9" i="5"/>
  <c r="D9" i="8"/>
  <c r="C9" i="8"/>
  <c r="D9" i="6"/>
  <c r="C9" i="6"/>
  <c r="F37" i="11" l="1"/>
  <c r="H74" i="10"/>
  <c r="H57" i="10"/>
  <c r="H56" i="10"/>
  <c r="H58" i="10"/>
  <c r="H54" i="11"/>
  <c r="F41" i="10"/>
  <c r="G21" i="10"/>
  <c r="H21" i="10"/>
  <c r="J21" i="10" s="1"/>
  <c r="H53" i="11"/>
  <c r="G24" i="11"/>
  <c r="E24" i="11" s="1"/>
  <c r="F24" i="11" s="1"/>
  <c r="H19" i="10"/>
  <c r="J19" i="10" s="1"/>
  <c r="G19" i="10"/>
  <c r="G19" i="11"/>
  <c r="H22" i="10"/>
  <c r="J22" i="10" s="1"/>
  <c r="G22" i="10"/>
  <c r="G21" i="11"/>
  <c r="E21" i="11" s="1"/>
  <c r="F21" i="11" s="1"/>
  <c r="H52" i="11"/>
  <c r="H24" i="10"/>
  <c r="J24" i="10" s="1"/>
  <c r="G24" i="10"/>
  <c r="G20" i="11"/>
  <c r="E20" i="11" s="1"/>
  <c r="F20" i="11" s="1"/>
  <c r="H70" i="11"/>
  <c r="G23" i="11"/>
  <c r="E23" i="11" s="1"/>
  <c r="F23" i="11" s="1"/>
  <c r="H20" i="10"/>
  <c r="J20" i="10" s="1"/>
  <c r="G20" i="10"/>
  <c r="H23" i="10"/>
  <c r="J23" i="10" s="1"/>
  <c r="G23" i="10"/>
  <c r="G22" i="11"/>
  <c r="E22" i="11" s="1"/>
  <c r="F22" i="11" s="1"/>
  <c r="E25" i="10"/>
  <c r="F25" i="10" s="1"/>
  <c r="E9" i="7"/>
  <c r="E9" i="6"/>
  <c r="E9" i="8"/>
  <c r="E9" i="5"/>
  <c r="E10" i="9"/>
  <c r="E21" i="10" l="1"/>
  <c r="F21" i="10" s="1"/>
  <c r="E24" i="10"/>
  <c r="F24" i="10" s="1"/>
  <c r="C79" i="10"/>
  <c r="E20" i="10"/>
  <c r="F20" i="10" s="1"/>
  <c r="C80" i="10"/>
  <c r="E19" i="10"/>
  <c r="F19" i="10" s="1"/>
  <c r="D70" i="10"/>
  <c r="D71" i="10" s="1"/>
  <c r="H71" i="10" s="1"/>
  <c r="E23" i="10"/>
  <c r="F23" i="10" s="1"/>
  <c r="J39" i="10"/>
  <c r="G35" i="11"/>
  <c r="C78" i="10"/>
  <c r="C81" i="10"/>
  <c r="G39" i="10"/>
  <c r="H39" i="10"/>
  <c r="E19" i="11"/>
  <c r="F19" i="11" s="1"/>
  <c r="F35" i="11" s="1"/>
  <c r="E22" i="10"/>
  <c r="F22" i="10" s="1"/>
  <c r="C77" i="11"/>
  <c r="C76" i="11"/>
  <c r="C75" i="11"/>
  <c r="D66" i="11"/>
  <c r="C74" i="11"/>
  <c r="U13" i="9"/>
  <c r="T13" i="9"/>
  <c r="U13" i="7"/>
  <c r="T13" i="7"/>
  <c r="H70" i="10" l="1"/>
  <c r="D72" i="10"/>
  <c r="H72" i="10" s="1"/>
  <c r="M19" i="10"/>
  <c r="D67" i="11"/>
  <c r="H67" i="11" s="1"/>
  <c r="H66" i="11"/>
  <c r="D68" i="11"/>
  <c r="H68" i="11" s="1"/>
  <c r="M19" i="11"/>
  <c r="U12" i="9"/>
  <c r="U12" i="7"/>
  <c r="C82" i="10" l="1"/>
  <c r="C83" i="10" s="1"/>
  <c r="H54" i="10"/>
  <c r="F39" i="10"/>
  <c r="O19" i="10"/>
  <c r="M20" i="10"/>
  <c r="O20" i="10" s="1"/>
  <c r="C78" i="11"/>
  <c r="C79" i="11" s="1"/>
  <c r="H50" i="11"/>
  <c r="M20" i="11"/>
  <c r="O20" i="11" s="1"/>
  <c r="O19" i="11"/>
  <c r="D77" i="8"/>
  <c r="G126" i="8" l="1"/>
  <c r="F126" i="8"/>
  <c r="E126" i="8"/>
  <c r="D126" i="8"/>
  <c r="G125" i="8"/>
  <c r="F125" i="8"/>
  <c r="E125" i="8"/>
  <c r="D125" i="8"/>
  <c r="G124" i="8"/>
  <c r="F124" i="8"/>
  <c r="E124" i="8"/>
  <c r="D124" i="8"/>
  <c r="G123" i="8"/>
  <c r="F123" i="8"/>
  <c r="E123" i="8"/>
  <c r="D123" i="8"/>
  <c r="G122" i="8"/>
  <c r="F122" i="8"/>
  <c r="E122" i="8"/>
  <c r="D122" i="8"/>
  <c r="G121" i="8"/>
  <c r="F121" i="8"/>
  <c r="E121" i="8"/>
  <c r="D121" i="8"/>
  <c r="G120" i="8"/>
  <c r="F120" i="8"/>
  <c r="E120" i="8"/>
  <c r="D120" i="8"/>
  <c r="G119" i="8"/>
  <c r="F119" i="8"/>
  <c r="E119" i="8"/>
  <c r="D119" i="8"/>
  <c r="G118" i="8"/>
  <c r="F118" i="8"/>
  <c r="E118" i="8"/>
  <c r="D118" i="8"/>
  <c r="B115" i="8"/>
  <c r="G112" i="8"/>
  <c r="F112" i="8"/>
  <c r="E112" i="8"/>
  <c r="D112" i="8"/>
  <c r="G111" i="8"/>
  <c r="F111" i="8"/>
  <c r="E111" i="8"/>
  <c r="D111" i="8"/>
  <c r="G110" i="8"/>
  <c r="F110" i="8"/>
  <c r="E110" i="8"/>
  <c r="D110" i="8"/>
  <c r="G109" i="8"/>
  <c r="F109" i="8"/>
  <c r="E109" i="8"/>
  <c r="D109" i="8"/>
  <c r="G108" i="8"/>
  <c r="F108" i="8"/>
  <c r="E108" i="8"/>
  <c r="D108" i="8"/>
  <c r="G107" i="8"/>
  <c r="F107" i="8"/>
  <c r="E107" i="8"/>
  <c r="D107" i="8"/>
  <c r="G106" i="8"/>
  <c r="F106" i="8"/>
  <c r="E106" i="8"/>
  <c r="D106" i="8"/>
  <c r="G105" i="8"/>
  <c r="F105" i="8"/>
  <c r="E105" i="8"/>
  <c r="D105" i="8"/>
  <c r="G104" i="8"/>
  <c r="F104" i="8"/>
  <c r="E104" i="8"/>
  <c r="D104" i="8"/>
  <c r="B101" i="8"/>
  <c r="C84" i="8"/>
  <c r="F84" i="8" s="1"/>
  <c r="C83" i="8"/>
  <c r="M15" i="8"/>
  <c r="J15" i="8"/>
  <c r="D15" i="8"/>
  <c r="C15" i="8"/>
  <c r="H12" i="8"/>
  <c r="G9" i="8"/>
  <c r="F9" i="8"/>
  <c r="N7" i="8"/>
  <c r="N6" i="8"/>
  <c r="N5" i="8"/>
  <c r="N4" i="8"/>
  <c r="F4" i="8"/>
  <c r="U4" i="8" s="1"/>
  <c r="C4" i="8"/>
  <c r="R4" i="8" s="1"/>
  <c r="N3" i="8"/>
  <c r="G9" i="9"/>
  <c r="F9" i="9"/>
  <c r="D9" i="9"/>
  <c r="C9" i="9"/>
  <c r="X7" i="8" l="1"/>
  <c r="X8" i="8"/>
  <c r="X6" i="8"/>
  <c r="Q21" i="8" s="1"/>
  <c r="R21" i="8" s="1"/>
  <c r="L15" i="8"/>
  <c r="F59" i="8"/>
  <c r="F65" i="8" s="1"/>
  <c r="F57" i="8"/>
  <c r="F63" i="8" s="1"/>
  <c r="F58" i="8"/>
  <c r="F64" i="8" s="1"/>
  <c r="F60" i="8"/>
  <c r="F66" i="8" s="1"/>
  <c r="H66" i="8" s="1"/>
  <c r="E6" i="8"/>
  <c r="H6" i="8"/>
  <c r="H8" i="8"/>
  <c r="E9" i="9"/>
  <c r="D136" i="8"/>
  <c r="E8" i="8"/>
  <c r="E7" i="8"/>
  <c r="E138" i="8"/>
  <c r="K15" i="8"/>
  <c r="F134" i="8"/>
  <c r="F138" i="8"/>
  <c r="E133" i="8"/>
  <c r="E135" i="8"/>
  <c r="E139" i="8"/>
  <c r="F133" i="8"/>
  <c r="F135" i="8"/>
  <c r="F137" i="8"/>
  <c r="F139" i="8"/>
  <c r="E132" i="8"/>
  <c r="E140" i="8"/>
  <c r="F136" i="8"/>
  <c r="F140" i="8"/>
  <c r="E137" i="8"/>
  <c r="H7" i="8"/>
  <c r="E86" i="8"/>
  <c r="G133" i="8"/>
  <c r="G135" i="8"/>
  <c r="G137" i="8"/>
  <c r="G139" i="8"/>
  <c r="D135" i="8"/>
  <c r="E134" i="8"/>
  <c r="D133" i="8"/>
  <c r="F132" i="8"/>
  <c r="I8" i="8"/>
  <c r="I6" i="8"/>
  <c r="J6" i="8"/>
  <c r="G132" i="8"/>
  <c r="G134" i="8"/>
  <c r="G136" i="8"/>
  <c r="G138" i="8"/>
  <c r="G140" i="8"/>
  <c r="E136" i="8"/>
  <c r="D137" i="8"/>
  <c r="D139" i="8"/>
  <c r="H9" i="8"/>
  <c r="I9" i="8"/>
  <c r="D138" i="8"/>
  <c r="J8" i="8"/>
  <c r="D140" i="8"/>
  <c r="D134" i="8"/>
  <c r="I7" i="8"/>
  <c r="F83" i="8"/>
  <c r="J7" i="8"/>
  <c r="J9" i="8"/>
  <c r="D132" i="8"/>
  <c r="H9" i="9"/>
  <c r="Q23" i="8" l="1"/>
  <c r="R23" i="8" s="1"/>
  <c r="Q24" i="8"/>
  <c r="R24" i="8" s="1"/>
  <c r="Q22" i="8"/>
  <c r="R22" i="8" s="1"/>
  <c r="D65" i="8"/>
  <c r="H65" i="8" s="1"/>
  <c r="H70" i="8" s="1"/>
  <c r="D64" i="8"/>
  <c r="H64" i="8" s="1"/>
  <c r="H69" i="8" s="1"/>
  <c r="D63" i="8"/>
  <c r="D30" i="8"/>
  <c r="D58" i="8"/>
  <c r="D29" i="8"/>
  <c r="D31" i="8"/>
  <c r="D59" i="8"/>
  <c r="D57" i="8"/>
  <c r="F51" i="8"/>
  <c r="K24" i="8"/>
  <c r="E51" i="8"/>
  <c r="K19" i="8"/>
  <c r="E77" i="8"/>
  <c r="D42" i="8"/>
  <c r="K20" i="8"/>
  <c r="E53" i="8"/>
  <c r="E52" i="8"/>
  <c r="K21" i="8"/>
  <c r="K26" i="8"/>
  <c r="F52" i="8"/>
  <c r="F54" i="8" s="1"/>
  <c r="F77" i="8"/>
  <c r="E42" i="8"/>
  <c r="K25" i="8"/>
  <c r="F53" i="8"/>
  <c r="D60" i="8"/>
  <c r="K6" i="8"/>
  <c r="K7" i="8"/>
  <c r="K9" i="8"/>
  <c r="K8" i="8"/>
  <c r="G100" i="9"/>
  <c r="F100" i="9"/>
  <c r="E100" i="9"/>
  <c r="D100" i="9"/>
  <c r="G99" i="9"/>
  <c r="F99" i="9"/>
  <c r="E99" i="9"/>
  <c r="D99" i="9"/>
  <c r="G98" i="9"/>
  <c r="F98" i="9"/>
  <c r="E98" i="9"/>
  <c r="D98" i="9"/>
  <c r="G97" i="9"/>
  <c r="F97" i="9"/>
  <c r="E97" i="9"/>
  <c r="D97" i="9"/>
  <c r="G96" i="9"/>
  <c r="F96" i="9"/>
  <c r="E96" i="9"/>
  <c r="D96" i="9"/>
  <c r="G95" i="9"/>
  <c r="F95" i="9"/>
  <c r="E95" i="9"/>
  <c r="D95" i="9"/>
  <c r="G94" i="9"/>
  <c r="F94" i="9"/>
  <c r="E94" i="9"/>
  <c r="D94" i="9"/>
  <c r="G93" i="9"/>
  <c r="F93" i="9"/>
  <c r="E93" i="9"/>
  <c r="D93" i="9"/>
  <c r="G92" i="9"/>
  <c r="F92" i="9"/>
  <c r="E92" i="9"/>
  <c r="D92" i="9"/>
  <c r="B89" i="9"/>
  <c r="G86" i="9"/>
  <c r="F86" i="9"/>
  <c r="E86" i="9"/>
  <c r="D86" i="9"/>
  <c r="G85" i="9"/>
  <c r="F85" i="9"/>
  <c r="E85" i="9"/>
  <c r="D85" i="9"/>
  <c r="G84" i="9"/>
  <c r="F84" i="9"/>
  <c r="E84" i="9"/>
  <c r="D84" i="9"/>
  <c r="G83" i="9"/>
  <c r="F83" i="9"/>
  <c r="E83" i="9"/>
  <c r="D83" i="9"/>
  <c r="G82" i="9"/>
  <c r="F82" i="9"/>
  <c r="E82" i="9"/>
  <c r="D82" i="9"/>
  <c r="G81" i="9"/>
  <c r="F81" i="9"/>
  <c r="E81" i="9"/>
  <c r="D81" i="9"/>
  <c r="G80" i="9"/>
  <c r="F80" i="9"/>
  <c r="E80" i="9"/>
  <c r="D80" i="9"/>
  <c r="G79" i="9"/>
  <c r="F79" i="9"/>
  <c r="E79" i="9"/>
  <c r="D79" i="9"/>
  <c r="G78" i="9"/>
  <c r="F78" i="9"/>
  <c r="E78" i="9"/>
  <c r="D78" i="9"/>
  <c r="B75" i="9"/>
  <c r="D64" i="9"/>
  <c r="D54" i="9"/>
  <c r="D53" i="9"/>
  <c r="D52" i="9"/>
  <c r="M15" i="9"/>
  <c r="J15" i="9"/>
  <c r="H12" i="9"/>
  <c r="G10" i="9"/>
  <c r="F10" i="9"/>
  <c r="K15" i="9"/>
  <c r="U8" i="9"/>
  <c r="R8" i="9"/>
  <c r="Q8" i="9"/>
  <c r="G8" i="9"/>
  <c r="F8" i="9"/>
  <c r="D8" i="9"/>
  <c r="C8" i="9"/>
  <c r="U7" i="9"/>
  <c r="R7" i="9"/>
  <c r="Q7" i="9"/>
  <c r="N7" i="9"/>
  <c r="G7" i="9"/>
  <c r="F7" i="9"/>
  <c r="D7" i="9"/>
  <c r="C7" i="9"/>
  <c r="U6" i="9"/>
  <c r="R6" i="9"/>
  <c r="Q6" i="9"/>
  <c r="N6" i="9"/>
  <c r="G6" i="9"/>
  <c r="F6" i="9"/>
  <c r="D6" i="9"/>
  <c r="C6" i="9"/>
  <c r="N5" i="9"/>
  <c r="N4" i="9"/>
  <c r="F4" i="9"/>
  <c r="U4" i="9" s="1"/>
  <c r="C4" i="9"/>
  <c r="R4" i="9" s="1"/>
  <c r="N3" i="9"/>
  <c r="F2" i="9"/>
  <c r="D37" i="9" s="1"/>
  <c r="F9" i="6"/>
  <c r="F9" i="4"/>
  <c r="D66" i="7"/>
  <c r="G9" i="7"/>
  <c r="F9" i="7"/>
  <c r="D64" i="6"/>
  <c r="G9" i="6"/>
  <c r="D65" i="4"/>
  <c r="G9" i="4"/>
  <c r="B91" i="7"/>
  <c r="B77" i="7"/>
  <c r="G102" i="7"/>
  <c r="F102" i="7"/>
  <c r="E102" i="7"/>
  <c r="D102" i="7"/>
  <c r="G101" i="7"/>
  <c r="F101" i="7"/>
  <c r="E101" i="7"/>
  <c r="D101" i="7"/>
  <c r="G100" i="7"/>
  <c r="F100" i="7"/>
  <c r="E100" i="7"/>
  <c r="D100" i="7"/>
  <c r="G99" i="7"/>
  <c r="F99" i="7"/>
  <c r="E99" i="7"/>
  <c r="D99" i="7"/>
  <c r="G98" i="7"/>
  <c r="F98" i="7"/>
  <c r="E98" i="7"/>
  <c r="D98" i="7"/>
  <c r="G97" i="7"/>
  <c r="F97" i="7"/>
  <c r="E97" i="7"/>
  <c r="D97" i="7"/>
  <c r="G96" i="7"/>
  <c r="F96" i="7"/>
  <c r="E96" i="7"/>
  <c r="D96" i="7"/>
  <c r="G95" i="7"/>
  <c r="F95" i="7"/>
  <c r="E95" i="7"/>
  <c r="D95" i="7"/>
  <c r="G94" i="7"/>
  <c r="F94" i="7"/>
  <c r="E94" i="7"/>
  <c r="D94" i="7"/>
  <c r="D81" i="7"/>
  <c r="E81" i="7"/>
  <c r="F81" i="7"/>
  <c r="G81" i="7"/>
  <c r="D82" i="7"/>
  <c r="E82" i="7"/>
  <c r="F82" i="7"/>
  <c r="G82" i="7"/>
  <c r="D83" i="7"/>
  <c r="E83" i="7"/>
  <c r="F83" i="7"/>
  <c r="G83" i="7"/>
  <c r="D84" i="7"/>
  <c r="E84" i="7"/>
  <c r="F84" i="7"/>
  <c r="G84" i="7"/>
  <c r="D85" i="7"/>
  <c r="E85" i="7"/>
  <c r="F85" i="7"/>
  <c r="G85" i="7"/>
  <c r="D86" i="7"/>
  <c r="E86" i="7"/>
  <c r="F86" i="7"/>
  <c r="G86" i="7"/>
  <c r="D87" i="7"/>
  <c r="E87" i="7"/>
  <c r="F87" i="7"/>
  <c r="G87" i="7"/>
  <c r="D88" i="7"/>
  <c r="E88" i="7"/>
  <c r="F88" i="7"/>
  <c r="G88" i="7"/>
  <c r="E80" i="7"/>
  <c r="F80" i="7"/>
  <c r="G80" i="7"/>
  <c r="D80" i="7"/>
  <c r="B102" i="6"/>
  <c r="B88" i="6"/>
  <c r="G113" i="6"/>
  <c r="F113" i="6"/>
  <c r="E113" i="6"/>
  <c r="D113" i="6"/>
  <c r="G112" i="6"/>
  <c r="F112" i="6"/>
  <c r="E112" i="6"/>
  <c r="D112" i="6"/>
  <c r="G111" i="6"/>
  <c r="F111" i="6"/>
  <c r="E111" i="6"/>
  <c r="D111" i="6"/>
  <c r="G110" i="6"/>
  <c r="F110" i="6"/>
  <c r="E110" i="6"/>
  <c r="D110" i="6"/>
  <c r="G109" i="6"/>
  <c r="F109" i="6"/>
  <c r="E109" i="6"/>
  <c r="D109" i="6"/>
  <c r="G108" i="6"/>
  <c r="F108" i="6"/>
  <c r="E108" i="6"/>
  <c r="D108" i="6"/>
  <c r="G107" i="6"/>
  <c r="F107" i="6"/>
  <c r="E107" i="6"/>
  <c r="D107" i="6"/>
  <c r="G106" i="6"/>
  <c r="F106" i="6"/>
  <c r="E106" i="6"/>
  <c r="D106" i="6"/>
  <c r="G105" i="6"/>
  <c r="F105" i="6"/>
  <c r="E105" i="6"/>
  <c r="D105" i="6"/>
  <c r="D92" i="6"/>
  <c r="E92" i="6"/>
  <c r="F92" i="6"/>
  <c r="G92" i="6"/>
  <c r="D93" i="6"/>
  <c r="E93" i="6"/>
  <c r="F93" i="6"/>
  <c r="G93" i="6"/>
  <c r="D94" i="6"/>
  <c r="E94" i="6"/>
  <c r="F94" i="6"/>
  <c r="G94" i="6"/>
  <c r="D95" i="6"/>
  <c r="E95" i="6"/>
  <c r="F95" i="6"/>
  <c r="G95" i="6"/>
  <c r="D96" i="6"/>
  <c r="E96" i="6"/>
  <c r="F96" i="6"/>
  <c r="G96" i="6"/>
  <c r="D97" i="6"/>
  <c r="E97" i="6"/>
  <c r="F97" i="6"/>
  <c r="G97" i="6"/>
  <c r="D98" i="6"/>
  <c r="E98" i="6"/>
  <c r="F98" i="6"/>
  <c r="G98" i="6"/>
  <c r="D99" i="6"/>
  <c r="E99" i="6"/>
  <c r="F99" i="6"/>
  <c r="G99" i="6"/>
  <c r="E91" i="6"/>
  <c r="F91" i="6"/>
  <c r="G91" i="6"/>
  <c r="D91" i="6"/>
  <c r="R26" i="8" l="1"/>
  <c r="J64" i="8"/>
  <c r="K31" i="8" s="1"/>
  <c r="G31" i="8" s="1"/>
  <c r="F42" i="8"/>
  <c r="H59" i="8"/>
  <c r="J62" i="8"/>
  <c r="K29" i="8" s="1"/>
  <c r="H60" i="8"/>
  <c r="J65" i="8"/>
  <c r="K32" i="8" s="1"/>
  <c r="H58" i="8"/>
  <c r="J63" i="8"/>
  <c r="K30" i="8" s="1"/>
  <c r="AG31" i="8" s="1"/>
  <c r="H19" i="8"/>
  <c r="H20" i="8"/>
  <c r="J20" i="8" s="1"/>
  <c r="H63" i="8"/>
  <c r="H68" i="8" s="1"/>
  <c r="H57" i="8"/>
  <c r="H8" i="9"/>
  <c r="G24" i="8"/>
  <c r="H24" i="8"/>
  <c r="J24" i="8" s="1"/>
  <c r="G25" i="8"/>
  <c r="H25" i="8"/>
  <c r="J25" i="8" s="1"/>
  <c r="K27" i="8"/>
  <c r="H26" i="8"/>
  <c r="J26" i="8" s="1"/>
  <c r="G26" i="8"/>
  <c r="K22" i="8"/>
  <c r="H21" i="8"/>
  <c r="J21" i="8" s="1"/>
  <c r="H77" i="8"/>
  <c r="G53" i="8"/>
  <c r="H53" i="8"/>
  <c r="G20" i="8"/>
  <c r="G21" i="8"/>
  <c r="G52" i="8"/>
  <c r="H52" i="8"/>
  <c r="E54" i="8"/>
  <c r="I55" i="8" s="1"/>
  <c r="G19" i="8"/>
  <c r="G51" i="8"/>
  <c r="H51" i="8"/>
  <c r="F54" i="9"/>
  <c r="H54" i="9" s="1"/>
  <c r="K28" i="9"/>
  <c r="F53" i="9"/>
  <c r="H53" i="9" s="1"/>
  <c r="K27" i="9"/>
  <c r="F52" i="9"/>
  <c r="H52" i="9" s="1"/>
  <c r="K26" i="9"/>
  <c r="F51" i="9"/>
  <c r="K25" i="9"/>
  <c r="E6" i="9"/>
  <c r="H7" i="9"/>
  <c r="E7" i="9"/>
  <c r="H6" i="9"/>
  <c r="H10" i="9"/>
  <c r="L15" i="9"/>
  <c r="D25" i="9" s="1"/>
  <c r="E8" i="9"/>
  <c r="D15" i="9"/>
  <c r="C15" i="9"/>
  <c r="H9" i="5"/>
  <c r="H9" i="7"/>
  <c r="H9" i="6"/>
  <c r="H9" i="4"/>
  <c r="D56" i="7"/>
  <c r="D55" i="7"/>
  <c r="D54" i="7"/>
  <c r="D53" i="7"/>
  <c r="M15" i="7"/>
  <c r="J15" i="7"/>
  <c r="H12" i="7"/>
  <c r="M11" i="7"/>
  <c r="K15" i="7" s="1"/>
  <c r="U8" i="7"/>
  <c r="R8" i="7"/>
  <c r="Q8" i="7"/>
  <c r="G8" i="7"/>
  <c r="F8" i="7"/>
  <c r="D8" i="7"/>
  <c r="C8" i="7"/>
  <c r="U7" i="7"/>
  <c r="R7" i="7"/>
  <c r="Q7" i="7"/>
  <c r="N7" i="7"/>
  <c r="G7" i="7"/>
  <c r="F7" i="7"/>
  <c r="D7" i="7"/>
  <c r="C7" i="7"/>
  <c r="U6" i="7"/>
  <c r="R6" i="7"/>
  <c r="Q6" i="7"/>
  <c r="N6" i="7"/>
  <c r="G6" i="7"/>
  <c r="F6" i="7"/>
  <c r="D6" i="7"/>
  <c r="C6" i="7"/>
  <c r="N5" i="7"/>
  <c r="N4" i="7"/>
  <c r="D25" i="7" s="1"/>
  <c r="F4" i="7"/>
  <c r="U4" i="7" s="1"/>
  <c r="C4" i="7"/>
  <c r="R4" i="7" s="1"/>
  <c r="N3" i="7"/>
  <c r="F2" i="7"/>
  <c r="F4" i="6"/>
  <c r="C4" i="6"/>
  <c r="F4" i="5"/>
  <c r="C4" i="5"/>
  <c r="D15" i="6"/>
  <c r="C15" i="6"/>
  <c r="N7" i="5"/>
  <c r="N6" i="5"/>
  <c r="N5" i="5"/>
  <c r="N4" i="5"/>
  <c r="N3" i="5"/>
  <c r="N4" i="6"/>
  <c r="K25" i="6" s="1"/>
  <c r="N5" i="6"/>
  <c r="K26" i="6" s="1"/>
  <c r="N6" i="6"/>
  <c r="K27" i="6" s="1"/>
  <c r="N7" i="6"/>
  <c r="K28" i="6" s="1"/>
  <c r="H28" i="6" s="1"/>
  <c r="N3" i="6"/>
  <c r="F55" i="4"/>
  <c r="F54" i="4"/>
  <c r="F53" i="4"/>
  <c r="F52" i="4"/>
  <c r="M15" i="4"/>
  <c r="J15" i="4"/>
  <c r="D15" i="4"/>
  <c r="C15" i="4"/>
  <c r="H12" i="4"/>
  <c r="M11" i="4"/>
  <c r="Q8" i="4"/>
  <c r="G147" i="8"/>
  <c r="F134" i="6"/>
  <c r="Q7" i="4"/>
  <c r="G146" i="8"/>
  <c r="Q6" i="4"/>
  <c r="G145" i="8"/>
  <c r="F145" i="8"/>
  <c r="U4" i="4"/>
  <c r="R4" i="4"/>
  <c r="H31" i="8" l="1"/>
  <c r="J31" i="8" s="1"/>
  <c r="E31" i="8" s="1"/>
  <c r="F31" i="8" s="1"/>
  <c r="H32" i="8"/>
  <c r="J32" i="8" s="1"/>
  <c r="H30" i="8"/>
  <c r="J30" i="8" s="1"/>
  <c r="G30" i="8"/>
  <c r="G32" i="8"/>
  <c r="E20" i="8"/>
  <c r="F20" i="8" s="1"/>
  <c r="E26" i="8"/>
  <c r="F26" i="8" s="1"/>
  <c r="E24" i="8"/>
  <c r="F24" i="8" s="1"/>
  <c r="E21" i="8"/>
  <c r="F21" i="8" s="1"/>
  <c r="E25" i="8"/>
  <c r="F25" i="8" s="1"/>
  <c r="G29" i="8"/>
  <c r="H29" i="8"/>
  <c r="J29" i="8" s="1"/>
  <c r="H27" i="8"/>
  <c r="J27" i="8" s="1"/>
  <c r="G27" i="8"/>
  <c r="G22" i="8"/>
  <c r="H22" i="8"/>
  <c r="J22" i="8" s="1"/>
  <c r="J19" i="8"/>
  <c r="E19" i="8" s="1"/>
  <c r="H54" i="8"/>
  <c r="G54" i="8"/>
  <c r="D51" i="9"/>
  <c r="H51" i="9" s="1"/>
  <c r="K28" i="5"/>
  <c r="E28" i="5" s="1"/>
  <c r="F60" i="5"/>
  <c r="H60" i="5" s="1"/>
  <c r="D15" i="5"/>
  <c r="C15" i="5"/>
  <c r="F57" i="5"/>
  <c r="H57" i="5" s="1"/>
  <c r="K25" i="5"/>
  <c r="F58" i="5"/>
  <c r="H58" i="5" s="1"/>
  <c r="K26" i="5"/>
  <c r="E26" i="5" s="1"/>
  <c r="K27" i="5"/>
  <c r="E27" i="5" s="1"/>
  <c r="F59" i="5"/>
  <c r="H59" i="5" s="1"/>
  <c r="H25" i="9"/>
  <c r="J25" i="9" s="1"/>
  <c r="G25" i="9"/>
  <c r="E26" i="9"/>
  <c r="F26" i="9" s="1"/>
  <c r="G26" i="9"/>
  <c r="H26" i="9"/>
  <c r="J26" i="9" s="1"/>
  <c r="E27" i="9"/>
  <c r="F27" i="9" s="1"/>
  <c r="G27" i="9"/>
  <c r="H27" i="9"/>
  <c r="J27" i="9" s="1"/>
  <c r="E28" i="9"/>
  <c r="F28" i="9" s="1"/>
  <c r="G28" i="9"/>
  <c r="H28" i="9"/>
  <c r="J28" i="9" s="1"/>
  <c r="G28" i="6"/>
  <c r="J28" i="6"/>
  <c r="J9" i="6"/>
  <c r="I9" i="6"/>
  <c r="F55" i="7"/>
  <c r="K27" i="7"/>
  <c r="F53" i="7"/>
  <c r="H53" i="7" s="1"/>
  <c r="K25" i="7"/>
  <c r="K20" i="7"/>
  <c r="K24" i="7"/>
  <c r="K22" i="7"/>
  <c r="K21" i="7"/>
  <c r="K23" i="7"/>
  <c r="K19" i="7"/>
  <c r="D37" i="7"/>
  <c r="E37" i="7"/>
  <c r="F54" i="7"/>
  <c r="K26" i="7"/>
  <c r="F56" i="7"/>
  <c r="H56" i="7" s="1"/>
  <c r="K28" i="7"/>
  <c r="E8" i="7"/>
  <c r="C46" i="5"/>
  <c r="D46" i="5"/>
  <c r="I9" i="4"/>
  <c r="D38" i="4" s="1"/>
  <c r="L15" i="4"/>
  <c r="G112" i="9"/>
  <c r="J9" i="4"/>
  <c r="G114" i="9"/>
  <c r="X6" i="9"/>
  <c r="R46" i="9" s="1"/>
  <c r="S46" i="9" s="1"/>
  <c r="G110" i="9"/>
  <c r="F113" i="9"/>
  <c r="D107" i="9"/>
  <c r="H7" i="7"/>
  <c r="D134" i="6"/>
  <c r="D147" i="8"/>
  <c r="E6" i="7"/>
  <c r="D133" i="6"/>
  <c r="D146" i="8"/>
  <c r="C134" i="6"/>
  <c r="C147" i="8"/>
  <c r="C133" i="6"/>
  <c r="C146" i="8"/>
  <c r="C132" i="6"/>
  <c r="C145" i="8"/>
  <c r="D132" i="6"/>
  <c r="D145" i="8"/>
  <c r="G132" i="6"/>
  <c r="F132" i="6"/>
  <c r="H6" i="4"/>
  <c r="G134" i="6"/>
  <c r="G133" i="6"/>
  <c r="H8" i="4"/>
  <c r="F147" i="8"/>
  <c r="H7" i="4"/>
  <c r="F146" i="8"/>
  <c r="F133" i="6"/>
  <c r="H85" i="8"/>
  <c r="D85" i="8" s="1"/>
  <c r="D113" i="9"/>
  <c r="J9" i="9"/>
  <c r="I9" i="9"/>
  <c r="F107" i="9"/>
  <c r="E112" i="9"/>
  <c r="J8" i="9"/>
  <c r="E114" i="9"/>
  <c r="I7" i="9"/>
  <c r="K21" i="9" s="1"/>
  <c r="H21" i="9" s="1"/>
  <c r="J21" i="9" s="1"/>
  <c r="G108" i="9"/>
  <c r="E110" i="9"/>
  <c r="G106" i="9"/>
  <c r="E108" i="9"/>
  <c r="D112" i="9"/>
  <c r="D110" i="9"/>
  <c r="D106" i="9"/>
  <c r="G109" i="9"/>
  <c r="F114" i="9"/>
  <c r="F112" i="9"/>
  <c r="F110" i="9"/>
  <c r="F108" i="9"/>
  <c r="F106" i="9"/>
  <c r="J6" i="9"/>
  <c r="D114" i="9"/>
  <c r="D108" i="9"/>
  <c r="G111" i="9"/>
  <c r="G107" i="9"/>
  <c r="I10" i="9"/>
  <c r="E111" i="9"/>
  <c r="E109" i="9"/>
  <c r="E107" i="9"/>
  <c r="X7" i="9"/>
  <c r="R47" i="9" s="1"/>
  <c r="S47" i="9" s="1"/>
  <c r="E113" i="9"/>
  <c r="I8" i="9"/>
  <c r="I6" i="9"/>
  <c r="K19" i="9" s="1"/>
  <c r="H19" i="9" s="1"/>
  <c r="G113" i="9"/>
  <c r="J10" i="9"/>
  <c r="J7" i="9"/>
  <c r="F111" i="9"/>
  <c r="E106" i="9"/>
  <c r="D111" i="9"/>
  <c r="X8" i="9"/>
  <c r="R48" i="9" s="1"/>
  <c r="S48" i="9" s="1"/>
  <c r="F109" i="9"/>
  <c r="D109" i="9"/>
  <c r="H6" i="7"/>
  <c r="H8" i="7"/>
  <c r="L15" i="7"/>
  <c r="H54" i="7"/>
  <c r="H55" i="7"/>
  <c r="E7" i="7"/>
  <c r="C15" i="7"/>
  <c r="D15" i="7"/>
  <c r="E6" i="4"/>
  <c r="J8" i="4"/>
  <c r="K23" i="4" s="1"/>
  <c r="G115" i="4"/>
  <c r="F115" i="4"/>
  <c r="E108" i="4"/>
  <c r="F108" i="4"/>
  <c r="D110" i="4"/>
  <c r="K15" i="4"/>
  <c r="E110" i="4"/>
  <c r="F110" i="4"/>
  <c r="D112" i="4"/>
  <c r="E112" i="4"/>
  <c r="I8" i="4"/>
  <c r="K20" i="4" s="1"/>
  <c r="D108" i="4"/>
  <c r="F112" i="4"/>
  <c r="D114" i="4"/>
  <c r="I7" i="4"/>
  <c r="I146" i="8" s="1"/>
  <c r="X6" i="4"/>
  <c r="J7" i="4"/>
  <c r="K24" i="4" s="1"/>
  <c r="E8" i="4"/>
  <c r="E114" i="4"/>
  <c r="F114" i="4"/>
  <c r="X8" i="4"/>
  <c r="R25" i="4" s="1"/>
  <c r="S25" i="4" s="1"/>
  <c r="G108" i="4"/>
  <c r="G110" i="4"/>
  <c r="G112" i="4"/>
  <c r="G114" i="4"/>
  <c r="I6" i="4"/>
  <c r="J6" i="4"/>
  <c r="K22" i="4" s="1"/>
  <c r="E7" i="4"/>
  <c r="D107" i="4"/>
  <c r="D109" i="4"/>
  <c r="D111" i="4"/>
  <c r="D113" i="4"/>
  <c r="D115" i="4"/>
  <c r="E107" i="4"/>
  <c r="E109" i="4"/>
  <c r="E111" i="4"/>
  <c r="E113" i="4"/>
  <c r="E115" i="4"/>
  <c r="X7" i="4"/>
  <c r="R24" i="4" s="1"/>
  <c r="S24" i="4" s="1"/>
  <c r="F107" i="4"/>
  <c r="F109" i="4"/>
  <c r="F111" i="4"/>
  <c r="F113" i="4"/>
  <c r="G107" i="4"/>
  <c r="G109" i="4"/>
  <c r="G111" i="4"/>
  <c r="G113" i="4"/>
  <c r="E32" i="8" l="1"/>
  <c r="F32" i="8" s="1"/>
  <c r="E65" i="4"/>
  <c r="E30" i="8"/>
  <c r="F30" i="8" s="1"/>
  <c r="R23" i="4"/>
  <c r="S23" i="4" s="1"/>
  <c r="S26" i="4" s="1"/>
  <c r="J9" i="5"/>
  <c r="I9" i="5"/>
  <c r="E28" i="6"/>
  <c r="F28" i="6" s="1"/>
  <c r="D25" i="4"/>
  <c r="D27" i="4"/>
  <c r="D54" i="4"/>
  <c r="H54" i="4" s="1"/>
  <c r="D26" i="4"/>
  <c r="D53" i="4"/>
  <c r="H53" i="4" s="1"/>
  <c r="E22" i="8"/>
  <c r="F22" i="8" s="1"/>
  <c r="E29" i="8"/>
  <c r="F29" i="8" s="1"/>
  <c r="E27" i="8"/>
  <c r="F27" i="8" s="1"/>
  <c r="G40" i="8"/>
  <c r="H40" i="8"/>
  <c r="K33" i="9"/>
  <c r="K32" i="9"/>
  <c r="I145" i="8"/>
  <c r="K19" i="4"/>
  <c r="F64" i="9"/>
  <c r="E37" i="9"/>
  <c r="F37" i="9" s="1"/>
  <c r="H55" i="8"/>
  <c r="J40" i="8"/>
  <c r="F19" i="8"/>
  <c r="G21" i="9"/>
  <c r="E21" i="9" s="1"/>
  <c r="F21" i="9" s="1"/>
  <c r="F25" i="9"/>
  <c r="F27" i="5"/>
  <c r="G27" i="5"/>
  <c r="H27" i="5"/>
  <c r="J27" i="5" s="1"/>
  <c r="F26" i="5"/>
  <c r="H26" i="5"/>
  <c r="J26" i="5" s="1"/>
  <c r="G26" i="5"/>
  <c r="H25" i="5"/>
  <c r="J25" i="5" s="1"/>
  <c r="G25" i="5"/>
  <c r="F28" i="5"/>
  <c r="G28" i="5"/>
  <c r="H28" i="5"/>
  <c r="J28" i="5" s="1"/>
  <c r="G19" i="9"/>
  <c r="K20" i="9"/>
  <c r="G20" i="9" s="1"/>
  <c r="F56" i="9"/>
  <c r="H56" i="9" s="1"/>
  <c r="F47" i="9"/>
  <c r="K24" i="9"/>
  <c r="F48" i="9"/>
  <c r="K23" i="9"/>
  <c r="F46" i="9"/>
  <c r="K22" i="9"/>
  <c r="J19" i="9"/>
  <c r="E64" i="6"/>
  <c r="D37" i="6"/>
  <c r="F64" i="6"/>
  <c r="E37" i="6"/>
  <c r="K9" i="6"/>
  <c r="F37" i="7"/>
  <c r="H19" i="7"/>
  <c r="G19" i="7"/>
  <c r="H23" i="7"/>
  <c r="J23" i="7" s="1"/>
  <c r="G23" i="7"/>
  <c r="G21" i="7"/>
  <c r="H21" i="7"/>
  <c r="J21" i="7" s="1"/>
  <c r="G22" i="7"/>
  <c r="H22" i="7"/>
  <c r="J22" i="7" s="1"/>
  <c r="G24" i="7"/>
  <c r="H24" i="7"/>
  <c r="J24" i="7" s="1"/>
  <c r="H20" i="7"/>
  <c r="J20" i="7" s="1"/>
  <c r="G20" i="7"/>
  <c r="E28" i="7"/>
  <c r="F28" i="7" s="1"/>
  <c r="G28" i="7"/>
  <c r="H28" i="7"/>
  <c r="J28" i="7" s="1"/>
  <c r="H25" i="7"/>
  <c r="J25" i="7" s="1"/>
  <c r="G25" i="7"/>
  <c r="E27" i="7"/>
  <c r="F27" i="7" s="1"/>
  <c r="H27" i="7"/>
  <c r="J27" i="7" s="1"/>
  <c r="G27" i="7"/>
  <c r="E26" i="7"/>
  <c r="F26" i="7" s="1"/>
  <c r="H26" i="7"/>
  <c r="J26" i="7" s="1"/>
  <c r="G26" i="7"/>
  <c r="G24" i="4"/>
  <c r="H24" i="4"/>
  <c r="J24" i="4" s="1"/>
  <c r="G20" i="4"/>
  <c r="H20" i="4"/>
  <c r="J20" i="4" s="1"/>
  <c r="G22" i="4"/>
  <c r="H22" i="4"/>
  <c r="J22" i="4" s="1"/>
  <c r="H23" i="4"/>
  <c r="J23" i="4" s="1"/>
  <c r="G23" i="4"/>
  <c r="K21" i="4"/>
  <c r="F65" i="4"/>
  <c r="E38" i="4"/>
  <c r="F38" i="4" s="1"/>
  <c r="D117" i="5"/>
  <c r="D114" i="5"/>
  <c r="D116" i="5"/>
  <c r="E112" i="5"/>
  <c r="F114" i="5"/>
  <c r="D113" i="5"/>
  <c r="F116" i="5"/>
  <c r="F113" i="5"/>
  <c r="G116" i="5"/>
  <c r="G115" i="5"/>
  <c r="E120" i="5"/>
  <c r="F119" i="5"/>
  <c r="D118" i="5"/>
  <c r="E117" i="5"/>
  <c r="G112" i="5"/>
  <c r="D115" i="5"/>
  <c r="F118" i="5"/>
  <c r="D112" i="5"/>
  <c r="G119" i="5"/>
  <c r="F115" i="5"/>
  <c r="G120" i="5"/>
  <c r="D120" i="5"/>
  <c r="F112" i="5"/>
  <c r="G117" i="5"/>
  <c r="G118" i="5"/>
  <c r="E119" i="5"/>
  <c r="E118" i="5"/>
  <c r="D119" i="5"/>
  <c r="F117" i="5"/>
  <c r="G113" i="5"/>
  <c r="E114" i="5"/>
  <c r="E116" i="5"/>
  <c r="G114" i="5"/>
  <c r="E113" i="5"/>
  <c r="F120" i="5"/>
  <c r="E115" i="5"/>
  <c r="D52" i="4"/>
  <c r="H52" i="4" s="1"/>
  <c r="J8" i="7"/>
  <c r="F48" i="7" s="1"/>
  <c r="S49" i="9"/>
  <c r="K9" i="4"/>
  <c r="I9" i="7"/>
  <c r="J9" i="7"/>
  <c r="F66" i="7" s="1"/>
  <c r="I7" i="7"/>
  <c r="E47" i="7" s="1"/>
  <c r="E134" i="6"/>
  <c r="E147" i="8"/>
  <c r="K9" i="9"/>
  <c r="E133" i="6"/>
  <c r="E146" i="8"/>
  <c r="E132" i="6"/>
  <c r="E145" i="8"/>
  <c r="J133" i="6"/>
  <c r="J146" i="8"/>
  <c r="K146" i="8" s="1"/>
  <c r="J134" i="6"/>
  <c r="J147" i="8"/>
  <c r="H147" i="8"/>
  <c r="H134" i="6"/>
  <c r="H145" i="8"/>
  <c r="H132" i="6"/>
  <c r="J132" i="6"/>
  <c r="J145" i="8"/>
  <c r="I134" i="6"/>
  <c r="I147" i="8"/>
  <c r="H146" i="8"/>
  <c r="H133" i="6"/>
  <c r="H88" i="8"/>
  <c r="I85" i="8"/>
  <c r="G85" i="8"/>
  <c r="E64" i="9"/>
  <c r="K10" i="9"/>
  <c r="K6" i="9"/>
  <c r="E46" i="9"/>
  <c r="K8" i="9"/>
  <c r="E48" i="9"/>
  <c r="E47" i="9"/>
  <c r="K7" i="9"/>
  <c r="X7" i="7"/>
  <c r="R47" i="7" s="1"/>
  <c r="S47" i="7" s="1"/>
  <c r="J6" i="7"/>
  <c r="F46" i="7" s="1"/>
  <c r="X8" i="7"/>
  <c r="R48" i="7" s="1"/>
  <c r="S48" i="7" s="1"/>
  <c r="G116" i="7"/>
  <c r="G114" i="7"/>
  <c r="G112" i="7"/>
  <c r="G110" i="7"/>
  <c r="G108" i="7"/>
  <c r="X6" i="7"/>
  <c r="R46" i="7" s="1"/>
  <c r="S46" i="7" s="1"/>
  <c r="F116" i="7"/>
  <c r="F114" i="7"/>
  <c r="F112" i="7"/>
  <c r="F110" i="7"/>
  <c r="F108" i="7"/>
  <c r="E116" i="7"/>
  <c r="E114" i="7"/>
  <c r="E112" i="7"/>
  <c r="E110" i="7"/>
  <c r="E108" i="7"/>
  <c r="D116" i="7"/>
  <c r="D114" i="7"/>
  <c r="D112" i="7"/>
  <c r="D110" i="7"/>
  <c r="D108" i="7"/>
  <c r="I6" i="7"/>
  <c r="G115" i="7"/>
  <c r="G113" i="7"/>
  <c r="G111" i="7"/>
  <c r="G109" i="7"/>
  <c r="F115" i="7"/>
  <c r="F113" i="7"/>
  <c r="F111" i="7"/>
  <c r="F109" i="7"/>
  <c r="E115" i="7"/>
  <c r="E113" i="7"/>
  <c r="E111" i="7"/>
  <c r="E109" i="7"/>
  <c r="D115" i="7"/>
  <c r="D113" i="7"/>
  <c r="D111" i="7"/>
  <c r="D109" i="7"/>
  <c r="J7" i="7"/>
  <c r="F47" i="7" s="1"/>
  <c r="I8" i="7"/>
  <c r="F49" i="4"/>
  <c r="E49" i="4"/>
  <c r="F48" i="4"/>
  <c r="E47" i="4"/>
  <c r="I132" i="6"/>
  <c r="E48" i="4"/>
  <c r="I133" i="6"/>
  <c r="F47" i="4"/>
  <c r="K8" i="4"/>
  <c r="K6" i="4"/>
  <c r="K7" i="4"/>
  <c r="D55" i="4"/>
  <c r="H55" i="4" s="1"/>
  <c r="H65" i="4" l="1"/>
  <c r="H64" i="9"/>
  <c r="D73" i="8"/>
  <c r="K9" i="5"/>
  <c r="E24" i="4"/>
  <c r="F24" i="4" s="1"/>
  <c r="E23" i="4"/>
  <c r="F23" i="4" s="1"/>
  <c r="E22" i="4"/>
  <c r="F22" i="4" s="1"/>
  <c r="E20" i="4"/>
  <c r="F20" i="4" s="1"/>
  <c r="H21" i="4"/>
  <c r="J21" i="4" s="1"/>
  <c r="E25" i="7"/>
  <c r="F25" i="7" s="1"/>
  <c r="G26" i="4"/>
  <c r="F26" i="4"/>
  <c r="H26" i="4"/>
  <c r="J26" i="4" s="1"/>
  <c r="H27" i="4"/>
  <c r="J27" i="4" s="1"/>
  <c r="G27" i="4"/>
  <c r="F27" i="4"/>
  <c r="E25" i="5"/>
  <c r="F25" i="5" s="1"/>
  <c r="H25" i="4"/>
  <c r="J25" i="4" s="1"/>
  <c r="H64" i="6"/>
  <c r="K145" i="8"/>
  <c r="D83" i="8"/>
  <c r="G83" i="8" s="1"/>
  <c r="F40" i="8"/>
  <c r="E22" i="7"/>
  <c r="F22" i="7" s="1"/>
  <c r="E21" i="7"/>
  <c r="F21" i="7" s="1"/>
  <c r="G21" i="4"/>
  <c r="E23" i="7"/>
  <c r="F23" i="7" s="1"/>
  <c r="H20" i="9"/>
  <c r="J20" i="9" s="1"/>
  <c r="E20" i="9" s="1"/>
  <c r="F20" i="9" s="1"/>
  <c r="H19" i="4"/>
  <c r="J19" i="4" s="1"/>
  <c r="G19" i="4"/>
  <c r="E24" i="7"/>
  <c r="F24" i="7" s="1"/>
  <c r="H32" i="9"/>
  <c r="J32" i="9" s="1"/>
  <c r="G32" i="9"/>
  <c r="E32" i="9" s="1"/>
  <c r="F32" i="9" s="1"/>
  <c r="H33" i="9"/>
  <c r="J33" i="9" s="1"/>
  <c r="G33" i="9"/>
  <c r="C94" i="8"/>
  <c r="C95" i="8"/>
  <c r="C96" i="8"/>
  <c r="C97" i="8"/>
  <c r="H47" i="9"/>
  <c r="H48" i="9"/>
  <c r="E37" i="5"/>
  <c r="F70" i="5"/>
  <c r="D37" i="5"/>
  <c r="E70" i="5"/>
  <c r="H46" i="9"/>
  <c r="H23" i="9"/>
  <c r="J23" i="9" s="1"/>
  <c r="G23" i="9"/>
  <c r="H22" i="9"/>
  <c r="J22" i="9" s="1"/>
  <c r="G22" i="9"/>
  <c r="G24" i="9"/>
  <c r="H24" i="9"/>
  <c r="J24" i="9" s="1"/>
  <c r="E19" i="9"/>
  <c r="F19" i="9" s="1"/>
  <c r="F37" i="6"/>
  <c r="G35" i="7"/>
  <c r="E20" i="7"/>
  <c r="F20" i="7" s="1"/>
  <c r="J19" i="7"/>
  <c r="H35" i="7"/>
  <c r="G25" i="4"/>
  <c r="H49" i="4"/>
  <c r="E66" i="7"/>
  <c r="H66" i="7" s="1"/>
  <c r="K9" i="7"/>
  <c r="S49" i="7"/>
  <c r="G47" i="4"/>
  <c r="K147" i="8"/>
  <c r="G48" i="4"/>
  <c r="H47" i="4"/>
  <c r="H48" i="4"/>
  <c r="K7" i="7"/>
  <c r="K6" i="7"/>
  <c r="E46" i="7"/>
  <c r="H46" i="7" s="1"/>
  <c r="H49" i="7" s="1"/>
  <c r="K8" i="7"/>
  <c r="E48" i="7"/>
  <c r="H48" i="7" s="1"/>
  <c r="H47" i="7"/>
  <c r="G49" i="4"/>
  <c r="U47" i="4"/>
  <c r="U48" i="4"/>
  <c r="U49" i="4"/>
  <c r="Q8" i="6"/>
  <c r="Q7" i="6"/>
  <c r="Q6" i="6"/>
  <c r="Q7" i="5"/>
  <c r="Q8" i="5"/>
  <c r="Q6" i="5"/>
  <c r="E19" i="4" l="1"/>
  <c r="F19" i="4" s="1"/>
  <c r="E21" i="4"/>
  <c r="F21" i="4" s="1"/>
  <c r="E25" i="4"/>
  <c r="F25" i="4" s="1"/>
  <c r="D84" i="8"/>
  <c r="G84" i="8" s="1"/>
  <c r="J36" i="4"/>
  <c r="G36" i="4"/>
  <c r="E33" i="9"/>
  <c r="F33" i="9" s="1"/>
  <c r="J35" i="9"/>
  <c r="E23" i="9"/>
  <c r="F23" i="9" s="1"/>
  <c r="E22" i="9"/>
  <c r="F22" i="9" s="1"/>
  <c r="C70" i="9"/>
  <c r="C68" i="9"/>
  <c r="D60" i="9"/>
  <c r="M19" i="9" s="1"/>
  <c r="M20" i="9" s="1"/>
  <c r="O20" i="9" s="1"/>
  <c r="C71" i="9"/>
  <c r="H35" i="9"/>
  <c r="H70" i="5"/>
  <c r="F37" i="5"/>
  <c r="E24" i="9"/>
  <c r="F24" i="9" s="1"/>
  <c r="C69" i="9"/>
  <c r="G35" i="9"/>
  <c r="J35" i="7"/>
  <c r="E19" i="7"/>
  <c r="F19" i="7" s="1"/>
  <c r="F35" i="7" s="1"/>
  <c r="H36" i="4"/>
  <c r="H50" i="7"/>
  <c r="I50" i="7" s="1"/>
  <c r="H51" i="7"/>
  <c r="I51" i="7" s="1"/>
  <c r="C72" i="4"/>
  <c r="C70" i="4"/>
  <c r="C69" i="4"/>
  <c r="D61" i="4"/>
  <c r="C71" i="4"/>
  <c r="I49" i="7"/>
  <c r="U50" i="4"/>
  <c r="U4" i="5"/>
  <c r="R4" i="5"/>
  <c r="U4" i="6"/>
  <c r="R4" i="6"/>
  <c r="F35" i="9" l="1"/>
  <c r="F36" i="4"/>
  <c r="O19" i="9"/>
  <c r="H60" i="9"/>
  <c r="D61" i="9"/>
  <c r="H61" i="9" s="1"/>
  <c r="D62" i="9"/>
  <c r="H62" i="9" s="1"/>
  <c r="D62" i="7"/>
  <c r="C72" i="7"/>
  <c r="D63" i="4"/>
  <c r="H63" i="4" s="1"/>
  <c r="M19" i="4"/>
  <c r="C70" i="7"/>
  <c r="C71" i="7"/>
  <c r="C73" i="7"/>
  <c r="H61" i="4"/>
  <c r="D62" i="4"/>
  <c r="H62" i="4" s="1"/>
  <c r="H44" i="9" l="1"/>
  <c r="D64" i="7"/>
  <c r="H64" i="7" s="1"/>
  <c r="M19" i="7"/>
  <c r="C72" i="9"/>
  <c r="C73" i="9" s="1"/>
  <c r="H62" i="7"/>
  <c r="D63" i="7"/>
  <c r="H63" i="7" s="1"/>
  <c r="O19" i="4"/>
  <c r="M20" i="4"/>
  <c r="O20" i="4" s="1"/>
  <c r="H45" i="4"/>
  <c r="C73" i="4"/>
  <c r="C74" i="4" s="1"/>
  <c r="X8" i="5"/>
  <c r="R22" i="5" s="1"/>
  <c r="S22" i="5" s="1"/>
  <c r="X7" i="5"/>
  <c r="R21" i="5" s="1"/>
  <c r="S21" i="5" s="1"/>
  <c r="X6" i="5"/>
  <c r="R20" i="5" s="1"/>
  <c r="S20" i="5" s="1"/>
  <c r="X6" i="6"/>
  <c r="Q20" i="6" s="1"/>
  <c r="R20" i="6" s="1"/>
  <c r="X7" i="6"/>
  <c r="Q21" i="6" s="1"/>
  <c r="R21" i="6" s="1"/>
  <c r="X8" i="6"/>
  <c r="Q22" i="6" s="1"/>
  <c r="R22" i="6" s="1"/>
  <c r="H44" i="7" l="1"/>
  <c r="S23" i="5"/>
  <c r="C74" i="7"/>
  <c r="C75" i="7" s="1"/>
  <c r="O19" i="7"/>
  <c r="M20" i="7"/>
  <c r="O20" i="7" s="1"/>
  <c r="R23" i="6"/>
  <c r="F54" i="6"/>
  <c r="C71" i="6" l="1"/>
  <c r="F71" i="6" s="1"/>
  <c r="C70" i="6"/>
  <c r="I6" i="5" l="1"/>
  <c r="I7" i="5"/>
  <c r="K21" i="5" s="1"/>
  <c r="I8" i="5"/>
  <c r="J8" i="5"/>
  <c r="K23" i="5" s="1"/>
  <c r="J7" i="5"/>
  <c r="K24" i="5" s="1"/>
  <c r="J6" i="5"/>
  <c r="K22" i="5" s="1"/>
  <c r="E7" i="5"/>
  <c r="H7" i="5"/>
  <c r="E73" i="6"/>
  <c r="H6" i="5"/>
  <c r="H8" i="5"/>
  <c r="K19" i="5"/>
  <c r="E6" i="5"/>
  <c r="E8" i="5"/>
  <c r="F70" i="6"/>
  <c r="K7" i="5" l="1"/>
  <c r="K6" i="5"/>
  <c r="K8" i="5"/>
  <c r="K20" i="5"/>
  <c r="G20" i="5" s="1"/>
  <c r="F53" i="5"/>
  <c r="E54" i="5"/>
  <c r="F52" i="5"/>
  <c r="E53" i="5"/>
  <c r="F54" i="5"/>
  <c r="E52" i="5"/>
  <c r="H22" i="5"/>
  <c r="J22" i="5" s="1"/>
  <c r="G22" i="5"/>
  <c r="G24" i="5"/>
  <c r="H24" i="5"/>
  <c r="J24" i="5" s="1"/>
  <c r="G21" i="5"/>
  <c r="H21" i="5"/>
  <c r="J21" i="5" s="1"/>
  <c r="G19" i="5"/>
  <c r="H19" i="5"/>
  <c r="G23" i="5"/>
  <c r="H23" i="5"/>
  <c r="J23" i="5" s="1"/>
  <c r="H20" i="5" l="1"/>
  <c r="J20" i="5" s="1"/>
  <c r="E20" i="5" s="1"/>
  <c r="F20" i="5" s="1"/>
  <c r="H52" i="5"/>
  <c r="E22" i="5"/>
  <c r="F22" i="5" s="1"/>
  <c r="E21" i="5"/>
  <c r="F21" i="5" s="1"/>
  <c r="E23" i="5"/>
  <c r="F23" i="5" s="1"/>
  <c r="E24" i="5"/>
  <c r="F24" i="5" s="1"/>
  <c r="H54" i="5"/>
  <c r="H53" i="5"/>
  <c r="G35" i="5"/>
  <c r="J19" i="5"/>
  <c r="E19" i="5" s="1"/>
  <c r="F53" i="6"/>
  <c r="F52" i="6"/>
  <c r="F51" i="6"/>
  <c r="M15" i="6"/>
  <c r="J15" i="6"/>
  <c r="H12" i="6"/>
  <c r="M11" i="6"/>
  <c r="H35" i="5" l="1"/>
  <c r="C74" i="5"/>
  <c r="C76" i="5"/>
  <c r="C75" i="5"/>
  <c r="D66" i="5"/>
  <c r="D68" i="5" s="1"/>
  <c r="H68" i="5" s="1"/>
  <c r="C77" i="5"/>
  <c r="J35" i="5"/>
  <c r="F19" i="5"/>
  <c r="F35" i="5" s="1"/>
  <c r="H8" i="6"/>
  <c r="E6" i="6"/>
  <c r="E7" i="6"/>
  <c r="G127" i="6"/>
  <c r="L15" i="6"/>
  <c r="I6" i="6"/>
  <c r="E46" i="6" s="1"/>
  <c r="J6" i="6"/>
  <c r="F46" i="6" s="1"/>
  <c r="J8" i="6"/>
  <c r="F48" i="6" s="1"/>
  <c r="I7" i="6"/>
  <c r="E47" i="6" s="1"/>
  <c r="H6" i="6"/>
  <c r="H7" i="6"/>
  <c r="D120" i="6"/>
  <c r="D122" i="6"/>
  <c r="D124" i="6"/>
  <c r="D126" i="6"/>
  <c r="E8" i="6"/>
  <c r="E120" i="6"/>
  <c r="E122" i="6"/>
  <c r="E124" i="6"/>
  <c r="E126" i="6"/>
  <c r="F120" i="6"/>
  <c r="F122" i="6"/>
  <c r="F124" i="6"/>
  <c r="F126" i="6"/>
  <c r="G120" i="6"/>
  <c r="G122" i="6"/>
  <c r="G124" i="6"/>
  <c r="G126" i="6"/>
  <c r="D119" i="6"/>
  <c r="D121" i="6"/>
  <c r="D123" i="6"/>
  <c r="D125" i="6"/>
  <c r="D127" i="6"/>
  <c r="J7" i="6"/>
  <c r="F47" i="6" s="1"/>
  <c r="I8" i="6"/>
  <c r="E48" i="6" s="1"/>
  <c r="K15" i="6"/>
  <c r="E119" i="6"/>
  <c r="E121" i="6"/>
  <c r="E123" i="6"/>
  <c r="E125" i="6"/>
  <c r="E127" i="6"/>
  <c r="F119" i="6"/>
  <c r="F121" i="6"/>
  <c r="F123" i="6"/>
  <c r="F125" i="6"/>
  <c r="F127" i="6"/>
  <c r="G119" i="6"/>
  <c r="G121" i="6"/>
  <c r="G123" i="6"/>
  <c r="G125" i="6"/>
  <c r="H66" i="5" l="1"/>
  <c r="M19" i="5"/>
  <c r="M20" i="5" s="1"/>
  <c r="O20" i="5" s="1"/>
  <c r="D67" i="5"/>
  <c r="H67" i="5" s="1"/>
  <c r="D26" i="6"/>
  <c r="D52" i="6"/>
  <c r="H52" i="6" s="1"/>
  <c r="D27" i="6"/>
  <c r="D53" i="6"/>
  <c r="H53" i="6" s="1"/>
  <c r="D25" i="6"/>
  <c r="K23" i="6"/>
  <c r="H23" i="6" s="1"/>
  <c r="K24" i="6"/>
  <c r="H24" i="6" s="1"/>
  <c r="K22" i="6"/>
  <c r="H22" i="6" s="1"/>
  <c r="K20" i="6"/>
  <c r="H20" i="6" s="1"/>
  <c r="K21" i="6"/>
  <c r="H21" i="6" s="1"/>
  <c r="K19" i="6"/>
  <c r="H19" i="6" s="1"/>
  <c r="D54" i="6"/>
  <c r="H54" i="6" s="1"/>
  <c r="D51" i="6"/>
  <c r="K132" i="6"/>
  <c r="K133" i="6"/>
  <c r="J47" i="6" s="1"/>
  <c r="K47" i="6" s="1"/>
  <c r="K134" i="6"/>
  <c r="J48" i="6" s="1"/>
  <c r="K48" i="6" s="1"/>
  <c r="K6" i="6"/>
  <c r="K8" i="6"/>
  <c r="G47" i="6"/>
  <c r="H47" i="6"/>
  <c r="K7" i="6"/>
  <c r="H27" i="6" l="1"/>
  <c r="J27" i="6" s="1"/>
  <c r="H26" i="6"/>
  <c r="J26" i="6" s="1"/>
  <c r="H25" i="6"/>
  <c r="J25" i="6" s="1"/>
  <c r="H50" i="5"/>
  <c r="C78" i="5"/>
  <c r="C79" i="5" s="1"/>
  <c r="O19" i="5"/>
  <c r="G26" i="6"/>
  <c r="G27" i="6"/>
  <c r="G25" i="6"/>
  <c r="J21" i="6"/>
  <c r="G21" i="6"/>
  <c r="G20" i="6"/>
  <c r="J20" i="6"/>
  <c r="G19" i="6"/>
  <c r="J19" i="6"/>
  <c r="J22" i="6"/>
  <c r="G22" i="6"/>
  <c r="J24" i="6"/>
  <c r="G24" i="6"/>
  <c r="J23" i="6"/>
  <c r="G23" i="6"/>
  <c r="H51" i="6"/>
  <c r="J46" i="6"/>
  <c r="K46" i="6" s="1"/>
  <c r="L47" i="6"/>
  <c r="H48" i="6"/>
  <c r="G48" i="6"/>
  <c r="H46" i="6"/>
  <c r="G46" i="6"/>
  <c r="E26" i="6" l="1"/>
  <c r="F26" i="6" s="1"/>
  <c r="E27" i="6"/>
  <c r="F27" i="6" s="1"/>
  <c r="E25" i="6"/>
  <c r="F25" i="6" s="1"/>
  <c r="E23" i="6"/>
  <c r="F23" i="6" s="1"/>
  <c r="E19" i="6"/>
  <c r="F19" i="6" s="1"/>
  <c r="E20" i="6"/>
  <c r="F20" i="6" s="1"/>
  <c r="E24" i="6"/>
  <c r="F24" i="6" s="1"/>
  <c r="E21" i="6"/>
  <c r="F21" i="6" s="1"/>
  <c r="E22" i="6"/>
  <c r="F22" i="6" s="1"/>
  <c r="D60" i="6"/>
  <c r="M19" i="6" s="1"/>
  <c r="O19" i="6" s="1"/>
  <c r="D70" i="6"/>
  <c r="D71" i="6" s="1"/>
  <c r="G71" i="6" s="1"/>
  <c r="J35" i="6"/>
  <c r="G35" i="6"/>
  <c r="H35" i="6"/>
  <c r="H72" i="6"/>
  <c r="I72" i="6" s="1"/>
  <c r="C82" i="6"/>
  <c r="C81" i="6"/>
  <c r="C83" i="6"/>
  <c r="C84" i="6"/>
  <c r="L46" i="6"/>
  <c r="L48" i="6"/>
  <c r="G70" i="6" l="1"/>
  <c r="F35" i="6"/>
  <c r="L50" i="6"/>
  <c r="H65" i="6" s="1"/>
  <c r="H75" i="6"/>
  <c r="D72" i="6"/>
  <c r="D62" i="6" s="1"/>
  <c r="D61" i="6"/>
  <c r="H60" i="6"/>
  <c r="H61" i="6" l="1"/>
  <c r="M20" i="6"/>
  <c r="O20" i="6" s="1"/>
  <c r="G72" i="6"/>
  <c r="H62" i="6"/>
  <c r="H44" i="6" l="1"/>
  <c r="C85" i="6"/>
  <c r="C86" i="6" s="1"/>
  <c r="D75" i="8" l="1"/>
  <c r="H75" i="8" s="1"/>
  <c r="H73" i="8"/>
  <c r="D74" i="8"/>
  <c r="H74" i="8" s="1"/>
  <c r="C98" i="8" l="1"/>
  <c r="C99" i="8" s="1"/>
  <c r="H49" i="8"/>
  <c r="H71" i="8" l="1"/>
  <c r="F44" i="8" l="1"/>
  <c r="H7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F31" authorId="0" shapeId="0" xr:uid="{18D1B42D-13B2-46E0-A9F2-F00076AE9078}">
      <text>
        <r>
          <rPr>
            <b/>
            <sz val="9"/>
            <color indexed="81"/>
            <rFont val="Segoe UI"/>
            <family val="2"/>
          </rPr>
          <t>O valor da alíquota na função é a do mês anterior.</t>
        </r>
      </text>
    </comment>
    <comment ref="F34" authorId="0" shapeId="0" xr:uid="{5CAF7210-75DD-44CA-A850-09C5239156EB}">
      <text>
        <r>
          <rPr>
            <sz val="9"/>
            <color indexed="81"/>
            <rFont val="Segoe UI"/>
            <family val="2"/>
          </rPr>
          <t xml:space="preserve">O valor da alíquota na função é a do mês anterior.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Moises Stasieniuk Cavalcante</author>
  </authors>
  <commentList>
    <comment ref="H17" authorId="0" shapeId="0" xr:uid="{8A29CA14-8744-45EC-9359-0D750DDFAA3A}">
      <text>
        <r>
          <rPr>
            <b/>
            <sz val="9"/>
            <color indexed="81"/>
            <rFont val="Segoe UI"/>
            <family val="2"/>
          </rPr>
          <t>Consumo próprio tem isenção de ICMS</t>
        </r>
      </text>
    </comment>
  </commentList>
</comments>
</file>

<file path=xl/sharedStrings.xml><?xml version="1.0" encoding="utf-8"?>
<sst xmlns="http://schemas.openxmlformats.org/spreadsheetml/2006/main" count="2234" uniqueCount="246">
  <si>
    <t>TUSD</t>
  </si>
  <si>
    <t>TE</t>
  </si>
  <si>
    <t>R$/kWh</t>
  </si>
  <si>
    <t>Leitura Atual</t>
  </si>
  <si>
    <t>Nº de dias tarifa Anterior</t>
  </si>
  <si>
    <t>Leitura Anterior</t>
  </si>
  <si>
    <t>Consumo Ponta</t>
  </si>
  <si>
    <t>Consumo Fora Ponta</t>
  </si>
  <si>
    <t>Qtde</t>
  </si>
  <si>
    <t>R$</t>
  </si>
  <si>
    <t>B3</t>
  </si>
  <si>
    <t>B1</t>
  </si>
  <si>
    <t>B2</t>
  </si>
  <si>
    <t>R$/kW</t>
  </si>
  <si>
    <t xml:space="preserve"> </t>
  </si>
  <si>
    <t>Vigência das Tarifas:</t>
  </si>
  <si>
    <t>BAM</t>
  </si>
  <si>
    <t>Base de Cálculo</t>
  </si>
  <si>
    <t xml:space="preserve">PIS </t>
  </si>
  <si>
    <t>COFINS</t>
  </si>
  <si>
    <t>ICMS</t>
  </si>
  <si>
    <t xml:space="preserve">TE </t>
  </si>
  <si>
    <t>VERDE</t>
  </si>
  <si>
    <t>B2 Rural</t>
  </si>
  <si>
    <t>B1 Res</t>
  </si>
  <si>
    <t>Nº de dias tarifa Nova</t>
  </si>
  <si>
    <t>Com tributos</t>
  </si>
  <si>
    <t>PIS</t>
  </si>
  <si>
    <t>x</t>
  </si>
  <si>
    <t>Rural c/ incrição</t>
  </si>
  <si>
    <t>Base de cálculo reduzida     =</t>
  </si>
  <si>
    <t>Importe</t>
  </si>
  <si>
    <t>=</t>
  </si>
  <si>
    <t>12% x 4%</t>
  </si>
  <si>
    <t>INSTALAÇÃO</t>
  </si>
  <si>
    <t>Fatura</t>
  </si>
  <si>
    <t>BVM1</t>
  </si>
  <si>
    <t>BVM2</t>
  </si>
  <si>
    <t xml:space="preserve">Adicional BAM </t>
  </si>
  <si>
    <t>Adicional BVM 1</t>
  </si>
  <si>
    <t>Adicional BVM 2</t>
  </si>
  <si>
    <t>TARIFA BRANCA</t>
  </si>
  <si>
    <t>TUSD + TE</t>
  </si>
  <si>
    <t>Participação</t>
  </si>
  <si>
    <t>Energia</t>
  </si>
  <si>
    <t>Distribuição</t>
  </si>
  <si>
    <t>Transmissão</t>
  </si>
  <si>
    <t>Encargos Setoriais</t>
  </si>
  <si>
    <t>Impostos / Tributos</t>
  </si>
  <si>
    <t>Total</t>
  </si>
  <si>
    <t>Setoriais</t>
  </si>
  <si>
    <t>Grupo B</t>
  </si>
  <si>
    <t>%</t>
  </si>
  <si>
    <t>B1 - Residencial</t>
  </si>
  <si>
    <t>B1 - Residencial Baixa Renda</t>
  </si>
  <si>
    <t>B2 - Rural</t>
  </si>
  <si>
    <t>B2 - Cooperativa Eletrificação Rural</t>
  </si>
  <si>
    <t>B2 - Serviço de Irrigação</t>
  </si>
  <si>
    <t>B3 - Demais Classes</t>
  </si>
  <si>
    <t>B4 - Iluminação Pública</t>
  </si>
  <si>
    <t>B4a - Rede de Distribuição</t>
  </si>
  <si>
    <t>B4b - Bulbo de Lâmpada</t>
  </si>
  <si>
    <t>B1 Residencial</t>
  </si>
  <si>
    <t>Diferença</t>
  </si>
  <si>
    <t>Benefício Rural (em relação ao B1 residencial)</t>
  </si>
  <si>
    <t>(mensagem na fatura)</t>
  </si>
  <si>
    <t>proporcional</t>
  </si>
  <si>
    <t>Bandeira</t>
  </si>
  <si>
    <t>TARIFA</t>
  </si>
  <si>
    <t>Tarifas Proporcionalizadas</t>
  </si>
  <si>
    <t>Tusd</t>
  </si>
  <si>
    <t>Vigência das Tarifas (troca Bandeira):</t>
  </si>
  <si>
    <t>Altere a bandeira na célula abaixo</t>
  </si>
  <si>
    <t>Fornecimento de Energia Elétrica</t>
  </si>
  <si>
    <t>TABELA  1 – TARIFAS DE APLICAÇÃO E BASE ECONÔMICA PARA O GRUPO A.</t>
  </si>
  <si>
    <t>SUBGRUPO</t>
  </si>
  <si>
    <t>MODALIDADE</t>
  </si>
  <si>
    <t>UC</t>
  </si>
  <si>
    <t>POSTO</t>
  </si>
  <si>
    <t>TARIFAS DE APLICAÇÃO</t>
  </si>
  <si>
    <t>BASE ECONÔMICA</t>
  </si>
  <si>
    <t>Reajuste</t>
  </si>
  <si>
    <t>Dia</t>
  </si>
  <si>
    <t>Mês</t>
  </si>
  <si>
    <t>Ano</t>
  </si>
  <si>
    <t>De</t>
  </si>
  <si>
    <t>07</t>
  </si>
  <si>
    <t>08</t>
  </si>
  <si>
    <t>R$/MWh</t>
  </si>
  <si>
    <t>BVD – R$/MWh</t>
  </si>
  <si>
    <t>BAM – R$/MWh</t>
  </si>
  <si>
    <t>BVM – R$/MWh</t>
  </si>
  <si>
    <t>Até</t>
  </si>
  <si>
    <t>31</t>
  </si>
  <si>
    <t>12</t>
  </si>
  <si>
    <t>AZUL</t>
  </si>
  <si>
    <t>NA</t>
  </si>
  <si>
    <t>P</t>
  </si>
  <si>
    <t>A1 (230 kV ou mais)</t>
  </si>
  <si>
    <t>FP</t>
  </si>
  <si>
    <t>AZUL APE</t>
  </si>
  <si>
    <t>A2 (88 a 138kV)</t>
  </si>
  <si>
    <t>DISTRIBUIÇÃO</t>
  </si>
  <si>
    <t>ELFSM</t>
  </si>
  <si>
    <t>GERAÇÃO</t>
  </si>
  <si>
    <t>UTE LASA</t>
  </si>
  <si>
    <t>UTE ALCON</t>
  </si>
  <si>
    <t>UTE SOL</t>
  </si>
  <si>
    <t>UHE MASCARENHAS - ENERGEST</t>
  </si>
  <si>
    <t>UHE SUICA</t>
  </si>
  <si>
    <t>PCH SAO JOAQUIM</t>
  </si>
  <si>
    <t>PCH SAO SIMAO</t>
  </si>
  <si>
    <t>PCH FRANCISCO GROSS</t>
  </si>
  <si>
    <t>PCH SAO PEDRO</t>
  </si>
  <si>
    <t>UTE LINHARES</t>
  </si>
  <si>
    <t>UTE ARCEL</t>
  </si>
  <si>
    <t>NOVO GERADOR</t>
  </si>
  <si>
    <t>A3 (69kV)</t>
  </si>
  <si>
    <t>A3a (30 a 44kV)</t>
  </si>
  <si>
    <t>VERDE APE</t>
  </si>
  <si>
    <t>CONVENCIONAL</t>
  </si>
  <si>
    <t>A4 (2,3 a 25kV)</t>
  </si>
  <si>
    <t>COELBA</t>
  </si>
  <si>
    <t>TABELA 2 – TARIFAS DE APLICAÇÃO E BASE ECONÔMICA PARA O GRUPO B.</t>
  </si>
  <si>
    <t>CLASSE</t>
  </si>
  <si>
    <t>SUBCLASSE</t>
  </si>
  <si>
    <t>TARIFAS BASE ECONÔMICA</t>
  </si>
  <si>
    <t>BRANCA</t>
  </si>
  <si>
    <t>RESIDENCIAL</t>
  </si>
  <si>
    <t>INT</t>
  </si>
  <si>
    <r>
      <t>BAIXA RENDA</t>
    </r>
    <r>
      <rPr>
        <vertAlign val="superscript"/>
        <sz val="8"/>
        <color theme="1"/>
        <rFont val="Times New Roman"/>
        <family val="1"/>
      </rPr>
      <t>(1)</t>
    </r>
  </si>
  <si>
    <t>RURAL</t>
  </si>
  <si>
    <t>COOPERATIVA DE ELETRIFICAÇÃO RURAL</t>
  </si>
  <si>
    <t>SERVIÇO PÚBLICO DE IRRIGAÇÃO RURAL</t>
  </si>
  <si>
    <t>B4</t>
  </si>
  <si>
    <t>ILUMINAÇÃO PÚBLICA</t>
  </si>
  <si>
    <t>B4a – REDE DE DISTRIBUIÇÃO</t>
  </si>
  <si>
    <t>B4b – BULBO DE LÂMPADA</t>
  </si>
  <si>
    <t>B1 Ponta</t>
  </si>
  <si>
    <t>B1 Fora Ponta</t>
  </si>
  <si>
    <t>B1 Interm.</t>
  </si>
  <si>
    <t>Consumo Intemediário</t>
  </si>
  <si>
    <t>Se for base reduzida: (célula E37 = 12%)</t>
  </si>
  <si>
    <t>B2 Ponta</t>
  </si>
  <si>
    <t>B2 Fora Ponta</t>
  </si>
  <si>
    <t>B2 Interm.</t>
  </si>
  <si>
    <t>B3 Ponta</t>
  </si>
  <si>
    <t>B3 Fora Ponta</t>
  </si>
  <si>
    <t>B3 Interm.</t>
  </si>
  <si>
    <t>Escassez Hídrica</t>
  </si>
  <si>
    <t>Adicional Escassez Hídrica</t>
  </si>
  <si>
    <t xml:space="preserve">Documento impressão: </t>
  </si>
  <si>
    <t>Documento simulado:</t>
  </si>
  <si>
    <t>TUSD FIO B</t>
  </si>
  <si>
    <t>Tusd (R$/kWh)</t>
  </si>
  <si>
    <t>TUSD Fio B</t>
  </si>
  <si>
    <t>Receita Fio B</t>
  </si>
  <si>
    <t xml:space="preserve">CLASSE </t>
  </si>
  <si>
    <t>PRÉ-PAGAMENTO</t>
  </si>
  <si>
    <t>BAIXA RENDA</t>
  </si>
  <si>
    <t>NÃO SE APLICA</t>
  </si>
  <si>
    <t>ILUMINAÇÃO PÚBLICA – B4A</t>
  </si>
  <si>
    <t>ILUMINAÇÃO PÚBLICA – B4B</t>
  </si>
  <si>
    <t>B</t>
  </si>
  <si>
    <t>TIPO 01</t>
  </si>
  <si>
    <t>TIPO 02</t>
  </si>
  <si>
    <t>desconto:</t>
  </si>
  <si>
    <t>Desc Consumo Ponta</t>
  </si>
  <si>
    <t>Desc Consumo FPonta</t>
  </si>
  <si>
    <t>Desc Consumo Intermed</t>
  </si>
  <si>
    <t>Fatura B1 Residencial TB</t>
  </si>
  <si>
    <t>Fatura B2 Rural TB</t>
  </si>
  <si>
    <t>Fatura B3 - TB</t>
  </si>
  <si>
    <t>B3 AES</t>
  </si>
  <si>
    <t>Fatura B3 - AES TB</t>
  </si>
  <si>
    <t>CUSTO</t>
  </si>
  <si>
    <t>Part. TUSD (%)</t>
  </si>
  <si>
    <t>Part. TE (%)</t>
  </si>
  <si>
    <t>TE (R$/kWh)</t>
  </si>
  <si>
    <t>CDE CONTAS</t>
  </si>
  <si>
    <t>CDE COVID</t>
  </si>
  <si>
    <t>CDE ESCASSEZ HÍDRICA</t>
  </si>
  <si>
    <t>CDE Escassez Hídrica</t>
  </si>
  <si>
    <t>Informativo Escassez Hídrica</t>
  </si>
  <si>
    <t>ERE</t>
  </si>
  <si>
    <t>OPTANTE</t>
  </si>
  <si>
    <t>Desc reservado</t>
  </si>
  <si>
    <t>Consumo reservado</t>
  </si>
  <si>
    <t>UTE POVOACAO 1</t>
  </si>
  <si>
    <t>UTE BIANCOGRES</t>
  </si>
  <si>
    <t>Descrição</t>
  </si>
  <si>
    <t>Unidade</t>
  </si>
  <si>
    <t>Quantidade</t>
  </si>
  <si>
    <t>Preço Unit (R$)
com tributos</t>
  </si>
  <si>
    <t>Valor Total (R$)</t>
  </si>
  <si>
    <t>PIS/COFINS
(R$)</t>
  </si>
  <si>
    <t>Base de Cálculo ICMS
(R$)</t>
  </si>
  <si>
    <t>Alíquota ICMS
(%)</t>
  </si>
  <si>
    <t>ICMS
(R$)</t>
  </si>
  <si>
    <t>Preço Unit (R$)</t>
  </si>
  <si>
    <t>Tributos</t>
  </si>
  <si>
    <t>Base de Cálc
(R$)</t>
  </si>
  <si>
    <t>Alíquota
(%)</t>
  </si>
  <si>
    <t>Valor
(R$)</t>
  </si>
  <si>
    <t>kWh</t>
  </si>
  <si>
    <t>Adicional Escassez</t>
  </si>
  <si>
    <t>Juros</t>
  </si>
  <si>
    <t>Multas</t>
  </si>
  <si>
    <t>CIP</t>
  </si>
  <si>
    <t>TOTAL</t>
  </si>
  <si>
    <t>Informativo Escassez</t>
  </si>
  <si>
    <t>TUSD - Consumo Ponta</t>
  </si>
  <si>
    <t>TUSD - Consumo Intermediário</t>
  </si>
  <si>
    <t>TUSD - Consumo Fora Ponta</t>
  </si>
  <si>
    <t>TE - Consumo Ponta</t>
  </si>
  <si>
    <t>TE - Consumo Intermediário</t>
  </si>
  <si>
    <t>TE - Consumo Fora Ponta</t>
  </si>
  <si>
    <t>ERE - Ponta</t>
  </si>
  <si>
    <t>ERE - Fora Ponta</t>
  </si>
  <si>
    <t>TUSD - Consumo Reservado</t>
  </si>
  <si>
    <t>TE - Consumo Reservado</t>
  </si>
  <si>
    <t>Tarifa reservada bandeira com desconto</t>
  </si>
  <si>
    <t>Adicional BAM PT Reservado</t>
  </si>
  <si>
    <t>Adicional BVM 1 PT Reservado</t>
  </si>
  <si>
    <t>Adicional BVM 2 PT Reservado</t>
  </si>
  <si>
    <t>Adicional Esc. Hídrica Reserv</t>
  </si>
  <si>
    <t>Desc Adicional BAM</t>
  </si>
  <si>
    <t xml:space="preserve">Desc Adicional BVM 1 </t>
  </si>
  <si>
    <t>Desc Adicional BVM 2</t>
  </si>
  <si>
    <t>Desc Adicional Escassez Hídrica</t>
  </si>
  <si>
    <t>Desconto Rural Irrigante</t>
  </si>
  <si>
    <t>Doações</t>
  </si>
  <si>
    <t>Bônus/Descontos</t>
  </si>
  <si>
    <t>Retenção PIS/PASEP</t>
  </si>
  <si>
    <t>Retenção CSLL</t>
  </si>
  <si>
    <t>Retenção IR</t>
  </si>
  <si>
    <t>Retenção COFINS</t>
  </si>
  <si>
    <t>Descontos</t>
  </si>
  <si>
    <t>TARIFA ANTIGA - REH 3370/2024</t>
  </si>
  <si>
    <t>TARIFA NOVA - REH xxxx/2025</t>
  </si>
  <si>
    <t>TUSD FIO B (RTP 2025)</t>
  </si>
  <si>
    <t>TUSD FIO B (RTA 2026)</t>
  </si>
  <si>
    <t>RESIDENCIAL DESCONTO SOCIAL</t>
  </si>
  <si>
    <t>06</t>
  </si>
  <si>
    <t>DESCONTO SOCIAL</t>
  </si>
  <si>
    <t>Não esta considerando o desconto do reservado.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</si>
</sst>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0.00000000"/>
    <numFmt numFmtId="167" formatCode="0.0000000"/>
    <numFmt numFmtId="168" formatCode="0.00000"/>
    <numFmt numFmtId="169" formatCode="0.000000"/>
    <numFmt numFmtId="170" formatCode="_-* #,##0.0000000_-;\-* #,##0.0000000_-;_-* &quot;-&quot;???????_-;_-@_-"/>
    <numFmt numFmtId="171" formatCode="0.0000"/>
    <numFmt numFmtId="172" formatCode="_-* #,##0.00000000_-;\-* #,##0.00000000_-;_-* &quot;-&quot;????????_-;_-@_-"/>
    <numFmt numFmtId="173" formatCode="_(* #,##0.0000_);_(* \(#,##0.0000\);_(* &quot;-&quot;??_);_(@_)"/>
    <numFmt numFmtId="174" formatCode="&quot;R$&quot;\ #,##0.00"/>
    <numFmt numFmtId="175" formatCode="_-* #,##0.00000_-;\-* #,##0.00000_-;_-* &quot;-&quot;?????_-;_-@_-"/>
    <numFmt numFmtId="176" formatCode="_-* #,##0.0000000_-;\-* #,##0.0000000_-;_-* &quot;-&quot;?????_-;_-@_-"/>
  </numFmts>
  <fonts count="4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9"/>
      <color theme="1"/>
      <name val="Calibri"/>
      <family val="2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8"/>
      <color rgb="FFFF0000"/>
      <name val="Arial"/>
      <family val="2"/>
    </font>
    <font>
      <sz val="11"/>
      <color rgb="FFFFFF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D1EB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9">
    <xf numFmtId="0" fontId="0" fillId="0" borderId="0"/>
    <xf numFmtId="0" fontId="1" fillId="0" borderId="0"/>
    <xf numFmtId="37" fontId="2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318">
    <xf numFmtId="0" fontId="0" fillId="0" borderId="0" xfId="0"/>
    <xf numFmtId="0" fontId="0" fillId="2" borderId="0" xfId="0" applyFill="1"/>
    <xf numFmtId="4" fontId="0" fillId="2" borderId="0" xfId="0" applyNumberFormat="1" applyFill="1"/>
    <xf numFmtId="0" fontId="0" fillId="2" borderId="0" xfId="0" applyFill="1" applyAlignment="1">
      <alignment horizontal="center"/>
    </xf>
    <xf numFmtId="10" fontId="15" fillId="0" borderId="8" xfId="5" applyNumberFormat="1" applyFont="1" applyFill="1" applyBorder="1" applyAlignment="1">
      <alignment horizontal="right" vertical="center"/>
    </xf>
    <xf numFmtId="10" fontId="15" fillId="6" borderId="8" xfId="5" quotePrefix="1" applyNumberFormat="1" applyFont="1" applyFill="1" applyBorder="1" applyAlignment="1">
      <alignment horizontal="right" vertical="center"/>
    </xf>
    <xf numFmtId="10" fontId="15" fillId="0" borderId="8" xfId="5" quotePrefix="1" applyNumberFormat="1" applyFont="1" applyFill="1" applyBorder="1" applyAlignment="1">
      <alignment horizontal="right" vertical="center"/>
    </xf>
    <xf numFmtId="0" fontId="18" fillId="4" borderId="7" xfId="0" applyFont="1" applyFill="1" applyBorder="1" applyAlignment="1">
      <alignment horizontal="center" vertical="center"/>
    </xf>
    <xf numFmtId="168" fontId="17" fillId="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0" fillId="2" borderId="0" xfId="0" applyFill="1" applyAlignment="1">
      <alignment horizontal="right"/>
    </xf>
    <xf numFmtId="167" fontId="0" fillId="6" borderId="0" xfId="0" applyNumberFormat="1" applyFill="1"/>
    <xf numFmtId="0" fontId="0" fillId="2" borderId="0" xfId="0" applyFill="1" applyAlignment="1">
      <alignment vertical="center"/>
    </xf>
    <xf numFmtId="0" fontId="1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vertical="center"/>
    </xf>
    <xf numFmtId="0" fontId="0" fillId="2" borderId="0" xfId="0" applyFill="1" applyAlignment="1">
      <alignment horizontal="right" vertical="center"/>
    </xf>
    <xf numFmtId="14" fontId="19" fillId="5" borderId="6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168" fontId="6" fillId="6" borderId="6" xfId="0" applyNumberFormat="1" applyFont="1" applyFill="1" applyBorder="1" applyAlignment="1">
      <alignment horizontal="center" vertical="center"/>
    </xf>
    <xf numFmtId="0" fontId="21" fillId="5" borderId="6" xfId="1" applyFont="1" applyFill="1" applyBorder="1" applyAlignment="1">
      <alignment horizontal="center" vertical="center"/>
    </xf>
    <xf numFmtId="0" fontId="21" fillId="3" borderId="6" xfId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168" fontId="17" fillId="8" borderId="6" xfId="0" applyNumberFormat="1" applyFont="1" applyFill="1" applyBorder="1" applyAlignment="1">
      <alignment horizontal="center" vertical="center"/>
    </xf>
    <xf numFmtId="169" fontId="6" fillId="0" borderId="6" xfId="1" applyNumberFormat="1" applyFont="1" applyBorder="1" applyAlignment="1">
      <alignment horizontal="center" vertical="center"/>
    </xf>
    <xf numFmtId="169" fontId="6" fillId="0" borderId="6" xfId="1" applyNumberFormat="1" applyFont="1" applyBorder="1" applyAlignment="1">
      <alignment vertical="center"/>
    </xf>
    <xf numFmtId="169" fontId="6" fillId="6" borderId="6" xfId="1" applyNumberFormat="1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2" borderId="11" xfId="0" applyFill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7" fontId="19" fillId="3" borderId="20" xfId="0" quotePrefix="1" applyNumberFormat="1" applyFont="1" applyFill="1" applyBorder="1" applyAlignment="1">
      <alignment horizontal="center" vertical="center"/>
    </xf>
    <xf numFmtId="0" fontId="0" fillId="2" borderId="19" xfId="0" applyFill="1" applyBorder="1" applyAlignment="1">
      <alignment vertical="center"/>
    </xf>
    <xf numFmtId="0" fontId="0" fillId="0" borderId="20" xfId="0" applyBorder="1"/>
    <xf numFmtId="0" fontId="8" fillId="10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14" fontId="12" fillId="11" borderId="6" xfId="0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3" xfId="0" applyBorder="1" applyAlignment="1">
      <alignment vertical="center"/>
    </xf>
    <xf numFmtId="14" fontId="14" fillId="2" borderId="6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5" fillId="12" borderId="19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5" fillId="12" borderId="0" xfId="0" applyFont="1" applyFill="1" applyAlignment="1">
      <alignment horizontal="center" vertical="center"/>
    </xf>
    <xf numFmtId="4" fontId="5" fillId="12" borderId="20" xfId="0" applyNumberFormat="1" applyFont="1" applyFill="1" applyBorder="1" applyAlignment="1">
      <alignment horizontal="right" vertical="center"/>
    </xf>
    <xf numFmtId="0" fontId="0" fillId="2" borderId="20" xfId="0" applyFill="1" applyBorder="1" applyAlignment="1">
      <alignment horizontal="right" vertical="center"/>
    </xf>
    <xf numFmtId="165" fontId="10" fillId="11" borderId="0" xfId="4" applyFont="1" applyFill="1" applyBorder="1" applyAlignment="1">
      <alignment vertical="center"/>
    </xf>
    <xf numFmtId="166" fontId="0" fillId="0" borderId="0" xfId="0" applyNumberFormat="1" applyAlignment="1">
      <alignment vertical="center"/>
    </xf>
    <xf numFmtId="166" fontId="0" fillId="6" borderId="0" xfId="0" applyNumberFormat="1" applyFill="1" applyAlignment="1">
      <alignment vertical="center"/>
    </xf>
    <xf numFmtId="4" fontId="0" fillId="2" borderId="20" xfId="0" applyNumberFormat="1" applyFill="1" applyBorder="1" applyAlignment="1">
      <alignment vertical="center"/>
    </xf>
    <xf numFmtId="170" fontId="0" fillId="0" borderId="0" xfId="0" applyNumberFormat="1" applyAlignment="1">
      <alignment vertical="center"/>
    </xf>
    <xf numFmtId="165" fontId="10" fillId="2" borderId="0" xfId="4" applyFont="1" applyFill="1" applyBorder="1" applyAlignment="1">
      <alignment vertical="center"/>
    </xf>
    <xf numFmtId="166" fontId="0" fillId="2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0" xfId="0" applyFill="1" applyBorder="1" applyAlignment="1">
      <alignment vertical="center"/>
    </xf>
    <xf numFmtId="165" fontId="11" fillId="2" borderId="0" xfId="4" applyFont="1" applyFill="1" applyBorder="1" applyAlignment="1">
      <alignment vertical="center"/>
    </xf>
    <xf numFmtId="168" fontId="0" fillId="2" borderId="0" xfId="0" applyNumberFormat="1" applyFill="1" applyAlignment="1">
      <alignment vertical="center"/>
    </xf>
    <xf numFmtId="0" fontId="13" fillId="2" borderId="19" xfId="0" applyFont="1" applyFill="1" applyBorder="1" applyAlignment="1">
      <alignment vertical="center"/>
    </xf>
    <xf numFmtId="4" fontId="13" fillId="2" borderId="20" xfId="0" applyNumberFormat="1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165" fontId="10" fillId="2" borderId="21" xfId="4" applyFont="1" applyFill="1" applyBorder="1" applyAlignment="1">
      <alignment vertical="center"/>
    </xf>
    <xf numFmtId="169" fontId="0" fillId="2" borderId="21" xfId="0" applyNumberFormat="1" applyFill="1" applyBorder="1" applyAlignment="1">
      <alignment vertical="center"/>
    </xf>
    <xf numFmtId="4" fontId="0" fillId="2" borderId="13" xfId="0" applyNumberForma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4" fontId="5" fillId="2" borderId="20" xfId="0" applyNumberFormat="1" applyFont="1" applyFill="1" applyBorder="1" applyAlignment="1">
      <alignment vertical="center"/>
    </xf>
    <xf numFmtId="4" fontId="5" fillId="2" borderId="0" xfId="0" applyNumberFormat="1" applyFont="1" applyFill="1" applyAlignment="1">
      <alignment vertical="center"/>
    </xf>
    <xf numFmtId="4" fontId="0" fillId="2" borderId="0" xfId="0" applyNumberFormat="1" applyFill="1" applyAlignment="1">
      <alignment vertical="center"/>
    </xf>
    <xf numFmtId="10" fontId="10" fillId="2" borderId="0" xfId="0" applyNumberFormat="1" applyFont="1" applyFill="1" applyAlignment="1">
      <alignment vertical="center"/>
    </xf>
    <xf numFmtId="0" fontId="0" fillId="2" borderId="13" xfId="0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165" fontId="6" fillId="2" borderId="6" xfId="4" applyFont="1" applyFill="1" applyBorder="1" applyAlignment="1">
      <alignment vertical="center"/>
    </xf>
    <xf numFmtId="43" fontId="6" fillId="2" borderId="6" xfId="0" applyNumberFormat="1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165" fontId="8" fillId="2" borderId="6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6" fillId="7" borderId="0" xfId="0" applyFont="1" applyFill="1" applyAlignment="1">
      <alignment vertical="center"/>
    </xf>
    <xf numFmtId="0" fontId="25" fillId="15" borderId="1" xfId="7" applyFont="1" applyFill="1" applyBorder="1" applyAlignment="1">
      <alignment horizontal="center"/>
    </xf>
    <xf numFmtId="0" fontId="24" fillId="14" borderId="3" xfId="0" applyFont="1" applyFill="1" applyBorder="1" applyAlignment="1">
      <alignment horizontal="center" vertical="center" wrapText="1"/>
    </xf>
    <xf numFmtId="0" fontId="25" fillId="16" borderId="1" xfId="7" applyFont="1" applyFill="1" applyBorder="1" applyAlignment="1">
      <alignment horizontal="center"/>
    </xf>
    <xf numFmtId="49" fontId="26" fillId="17" borderId="1" xfId="7" applyNumberFormat="1" applyFont="1" applyFill="1" applyBorder="1" applyAlignment="1" applyProtection="1">
      <alignment horizontal="center"/>
      <protection locked="0"/>
    </xf>
    <xf numFmtId="0" fontId="26" fillId="17" borderId="1" xfId="7" applyFont="1" applyFill="1" applyBorder="1" applyAlignment="1" applyProtection="1">
      <alignment horizontal="center"/>
      <protection locked="0"/>
    </xf>
    <xf numFmtId="0" fontId="24" fillId="13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49" fontId="26" fillId="16" borderId="1" xfId="7" applyNumberFormat="1" applyFont="1" applyFill="1" applyBorder="1" applyAlignment="1" applyProtection="1">
      <alignment horizontal="center"/>
      <protection locked="0"/>
    </xf>
    <xf numFmtId="0" fontId="26" fillId="16" borderId="1" xfId="7" applyFont="1" applyFill="1" applyBorder="1" applyAlignment="1" applyProtection="1">
      <alignment horizontal="center"/>
      <protection locked="0"/>
    </xf>
    <xf numFmtId="0" fontId="16" fillId="14" borderId="0" xfId="0" applyFont="1" applyFill="1"/>
    <xf numFmtId="0" fontId="27" fillId="0" borderId="3" xfId="0" applyFont="1" applyBorder="1" applyAlignment="1">
      <alignment horizontal="center" vertical="center" wrapText="1"/>
    </xf>
    <xf numFmtId="43" fontId="28" fillId="17" borderId="1" xfId="8" applyFont="1" applyFill="1" applyBorder="1" applyAlignment="1">
      <alignment horizontal="center" vertical="center" wrapText="1"/>
    </xf>
    <xf numFmtId="2" fontId="29" fillId="0" borderId="0" xfId="0" applyNumberFormat="1" applyFont="1" applyAlignment="1">
      <alignment horizontal="center" vertical="center" wrapText="1"/>
    </xf>
    <xf numFmtId="2" fontId="29" fillId="0" borderId="4" xfId="0" applyNumberFormat="1" applyFont="1" applyBorder="1" applyAlignment="1">
      <alignment horizontal="center" vertical="center" wrapText="1"/>
    </xf>
    <xf numFmtId="2" fontId="29" fillId="0" borderId="0" xfId="0" applyNumberFormat="1" applyFont="1" applyAlignment="1">
      <alignment horizontal="right" vertical="center" wrapText="1"/>
    </xf>
    <xf numFmtId="2" fontId="29" fillId="0" borderId="5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14" borderId="3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3" borderId="5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 wrapText="1"/>
    </xf>
    <xf numFmtId="0" fontId="29" fillId="4" borderId="5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171" fontId="0" fillId="0" borderId="0" xfId="0" applyNumberFormat="1"/>
    <xf numFmtId="0" fontId="29" fillId="0" borderId="3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/>
    </xf>
    <xf numFmtId="0" fontId="5" fillId="0" borderId="16" xfId="0" applyFont="1" applyBorder="1" applyAlignment="1">
      <alignment vertical="center"/>
    </xf>
    <xf numFmtId="4" fontId="5" fillId="0" borderId="14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5" fontId="0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165" fontId="5" fillId="0" borderId="0" xfId="4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165" fontId="5" fillId="6" borderId="0" xfId="4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65" fontId="0" fillId="0" borderId="9" xfId="0" applyNumberFormat="1" applyBorder="1" applyAlignment="1">
      <alignment vertical="center"/>
    </xf>
    <xf numFmtId="165" fontId="0" fillId="0" borderId="0" xfId="0" applyNumberFormat="1" applyAlignment="1">
      <alignment vertical="center"/>
    </xf>
    <xf numFmtId="165" fontId="5" fillId="6" borderId="0" xfId="0" applyNumberFormat="1" applyFont="1" applyFill="1" applyAlignment="1">
      <alignment vertical="center"/>
    </xf>
    <xf numFmtId="9" fontId="10" fillId="6" borderId="0" xfId="0" applyNumberFormat="1" applyFont="1" applyFill="1" applyAlignment="1">
      <alignment vertical="center"/>
    </xf>
    <xf numFmtId="4" fontId="5" fillId="6" borderId="0" xfId="0" applyNumberFormat="1" applyFont="1" applyFill="1"/>
    <xf numFmtId="0" fontId="13" fillId="0" borderId="0" xfId="0" applyFont="1" applyAlignment="1">
      <alignment vertical="center"/>
    </xf>
    <xf numFmtId="0" fontId="33" fillId="0" borderId="17" xfId="0" applyFont="1" applyBorder="1" applyAlignment="1">
      <alignment vertical="center"/>
    </xf>
    <xf numFmtId="168" fontId="17" fillId="18" borderId="14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4" fontId="0" fillId="6" borderId="0" xfId="0" applyNumberForma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4" fillId="14" borderId="25" xfId="0" applyFont="1" applyFill="1" applyBorder="1" applyAlignment="1">
      <alignment horizontal="center" vertical="center" wrapText="1"/>
    </xf>
    <xf numFmtId="40" fontId="24" fillId="0" borderId="1" xfId="0" applyNumberFormat="1" applyFont="1" applyBorder="1" applyAlignment="1">
      <alignment horizontal="center" vertical="center"/>
    </xf>
    <xf numFmtId="0" fontId="0" fillId="6" borderId="0" xfId="0" applyFill="1" applyAlignment="1">
      <alignment vertical="center"/>
    </xf>
    <xf numFmtId="169" fontId="6" fillId="6" borderId="0" xfId="0" applyNumberFormat="1" applyFont="1" applyFill="1" applyAlignment="1">
      <alignment vertical="center"/>
    </xf>
    <xf numFmtId="43" fontId="0" fillId="6" borderId="0" xfId="0" applyNumberFormat="1" applyFill="1" applyAlignment="1">
      <alignment vertical="center"/>
    </xf>
    <xf numFmtId="43" fontId="0" fillId="19" borderId="0" xfId="0" applyNumberFormat="1" applyFill="1" applyAlignment="1">
      <alignment vertical="center"/>
    </xf>
    <xf numFmtId="0" fontId="34" fillId="19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4" fillId="0" borderId="1" xfId="0" applyFont="1" applyBorder="1" applyAlignment="1">
      <alignment horizontal="center" vertical="center"/>
    </xf>
    <xf numFmtId="40" fontId="24" fillId="0" borderId="0" xfId="0" applyNumberFormat="1" applyFont="1" applyAlignment="1">
      <alignment vertical="center"/>
    </xf>
    <xf numFmtId="2" fontId="16" fillId="0" borderId="0" xfId="0" applyNumberFormat="1" applyFont="1"/>
    <xf numFmtId="40" fontId="24" fillId="0" borderId="0" xfId="0" applyNumberFormat="1" applyFont="1" applyAlignment="1">
      <alignment horizontal="left" vertical="center"/>
    </xf>
    <xf numFmtId="40" fontId="24" fillId="0" borderId="0" xfId="0" applyNumberFormat="1" applyFont="1" applyAlignment="1">
      <alignment horizontal="center" vertical="center"/>
    </xf>
    <xf numFmtId="172" fontId="0" fillId="2" borderId="0" xfId="0" applyNumberFormat="1" applyFill="1" applyAlignment="1">
      <alignment vertical="center"/>
    </xf>
    <xf numFmtId="168" fontId="6" fillId="0" borderId="6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0" fontId="8" fillId="20" borderId="0" xfId="0" applyFont="1" applyFill="1" applyAlignment="1">
      <alignment horizontal="right" vertical="center"/>
    </xf>
    <xf numFmtId="9" fontId="5" fillId="20" borderId="0" xfId="5" applyFont="1" applyFill="1" applyAlignment="1">
      <alignment vertical="center"/>
    </xf>
    <xf numFmtId="10" fontId="0" fillId="0" borderId="0" xfId="5" applyNumberFormat="1" applyFont="1" applyAlignment="1">
      <alignment vertical="center"/>
    </xf>
    <xf numFmtId="0" fontId="21" fillId="20" borderId="29" xfId="0" applyFont="1" applyFill="1" applyBorder="1" applyAlignment="1">
      <alignment horizontal="left" vertical="center"/>
    </xf>
    <xf numFmtId="0" fontId="21" fillId="20" borderId="30" xfId="0" applyFont="1" applyFill="1" applyBorder="1" applyAlignment="1">
      <alignment horizontal="center" vertical="center"/>
    </xf>
    <xf numFmtId="0" fontId="21" fillId="5" borderId="31" xfId="1" applyFont="1" applyFill="1" applyBorder="1" applyAlignment="1">
      <alignment horizontal="center" vertical="center"/>
    </xf>
    <xf numFmtId="0" fontId="8" fillId="10" borderId="29" xfId="0" applyFont="1" applyFill="1" applyBorder="1" applyAlignment="1">
      <alignment horizontal="left" vertical="center"/>
    </xf>
    <xf numFmtId="0" fontId="8" fillId="10" borderId="30" xfId="0" applyFont="1" applyFill="1" applyBorder="1" applyAlignment="1">
      <alignment horizontal="center" vertical="center"/>
    </xf>
    <xf numFmtId="10" fontId="8" fillId="10" borderId="31" xfId="5" applyNumberFormat="1" applyFont="1" applyFill="1" applyBorder="1" applyAlignment="1">
      <alignment vertical="center"/>
    </xf>
    <xf numFmtId="169" fontId="8" fillId="10" borderId="31" xfId="1" applyNumberFormat="1" applyFont="1" applyFill="1" applyBorder="1" applyAlignment="1">
      <alignment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center" vertical="center"/>
    </xf>
    <xf numFmtId="10" fontId="6" fillId="0" borderId="31" xfId="5" applyNumberFormat="1" applyFont="1" applyFill="1" applyBorder="1" applyAlignment="1">
      <alignment vertical="center"/>
    </xf>
    <xf numFmtId="169" fontId="6" fillId="0" borderId="31" xfId="1" applyNumberFormat="1" applyFont="1" applyBorder="1" applyAlignment="1">
      <alignment vertical="center"/>
    </xf>
    <xf numFmtId="0" fontId="8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10" fontId="8" fillId="0" borderId="31" xfId="5" applyNumberFormat="1" applyFont="1" applyFill="1" applyBorder="1" applyAlignment="1">
      <alignment vertical="center"/>
    </xf>
    <xf numFmtId="169" fontId="6" fillId="0" borderId="6" xfId="1" applyNumberFormat="1" applyFont="1" applyBorder="1" applyAlignment="1">
      <alignment horizontal="left" vertical="center"/>
    </xf>
    <xf numFmtId="165" fontId="36" fillId="11" borderId="0" xfId="4" applyFont="1" applyFill="1" applyBorder="1" applyAlignment="1">
      <alignment vertical="center"/>
    </xf>
    <xf numFmtId="165" fontId="12" fillId="11" borderId="0" xfId="4" applyFont="1" applyFill="1" applyBorder="1" applyAlignment="1">
      <alignment vertical="center"/>
    </xf>
    <xf numFmtId="4" fontId="6" fillId="11" borderId="0" xfId="0" applyNumberFormat="1" applyFont="1" applyFill="1" applyAlignment="1">
      <alignment vertical="center"/>
    </xf>
    <xf numFmtId="166" fontId="6" fillId="11" borderId="0" xfId="0" applyNumberFormat="1" applyFont="1" applyFill="1" applyAlignment="1">
      <alignment vertical="center"/>
    </xf>
    <xf numFmtId="0" fontId="8" fillId="11" borderId="0" xfId="0" applyFont="1" applyFill="1" applyAlignment="1">
      <alignment vertical="center"/>
    </xf>
    <xf numFmtId="9" fontId="8" fillId="11" borderId="0" xfId="0" applyNumberFormat="1" applyFont="1" applyFill="1" applyAlignment="1">
      <alignment vertical="center"/>
    </xf>
    <xf numFmtId="43" fontId="28" fillId="22" borderId="1" xfId="8" applyFont="1" applyFill="1" applyBorder="1" applyAlignment="1">
      <alignment horizontal="center" vertical="center" wrapText="1"/>
    </xf>
    <xf numFmtId="43" fontId="28" fillId="0" borderId="1" xfId="8" applyFont="1" applyFill="1" applyBorder="1" applyAlignment="1">
      <alignment horizontal="center" vertical="center" wrapText="1"/>
    </xf>
    <xf numFmtId="43" fontId="30" fillId="22" borderId="1" xfId="8" applyFont="1" applyFill="1" applyBorder="1" applyAlignment="1">
      <alignment horizontal="right" vertical="center" wrapText="1"/>
    </xf>
    <xf numFmtId="43" fontId="37" fillId="22" borderId="1" xfId="8" applyFont="1" applyFill="1" applyBorder="1"/>
    <xf numFmtId="43" fontId="24" fillId="22" borderId="1" xfId="8" applyFont="1" applyFill="1" applyBorder="1" applyAlignment="1">
      <alignment horizontal="right" vertical="center"/>
    </xf>
    <xf numFmtId="169" fontId="6" fillId="6" borderId="31" xfId="1" applyNumberFormat="1" applyFont="1" applyFill="1" applyBorder="1" applyAlignment="1">
      <alignment vertical="center"/>
    </xf>
    <xf numFmtId="169" fontId="8" fillId="6" borderId="31" xfId="1" applyNumberFormat="1" applyFont="1" applyFill="1" applyBorder="1" applyAlignment="1">
      <alignment vertical="center"/>
    </xf>
    <xf numFmtId="0" fontId="22" fillId="9" borderId="0" xfId="0" applyFont="1" applyFill="1" applyAlignment="1">
      <alignment horizontal="left" vertical="center"/>
    </xf>
    <xf numFmtId="43" fontId="30" fillId="2" borderId="1" xfId="8" applyFont="1" applyFill="1" applyBorder="1" applyAlignment="1">
      <alignment horizontal="right" vertical="center" wrapText="1"/>
    </xf>
    <xf numFmtId="43" fontId="28" fillId="2" borderId="1" xfId="8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173" fontId="10" fillId="11" borderId="32" xfId="4" applyNumberFormat="1" applyFont="1" applyFill="1" applyBorder="1" applyAlignment="1">
      <alignment vertical="center"/>
    </xf>
    <xf numFmtId="166" fontId="0" fillId="2" borderId="32" xfId="0" applyNumberFormat="1" applyFill="1" applyBorder="1" applyAlignment="1">
      <alignment vertical="center"/>
    </xf>
    <xf numFmtId="165" fontId="0" fillId="2" borderId="32" xfId="0" applyNumberFormat="1" applyFill="1" applyBorder="1" applyAlignment="1">
      <alignment vertical="center"/>
    </xf>
    <xf numFmtId="43" fontId="0" fillId="2" borderId="32" xfId="0" applyNumberFormat="1" applyFill="1" applyBorder="1" applyAlignment="1">
      <alignment vertical="center"/>
    </xf>
    <xf numFmtId="9" fontId="38" fillId="6" borderId="32" xfId="0" applyNumberFormat="1" applyFont="1" applyFill="1" applyBorder="1" applyAlignment="1">
      <alignment vertical="center"/>
    </xf>
    <xf numFmtId="10" fontId="10" fillId="11" borderId="32" xfId="0" applyNumberFormat="1" applyFont="1" applyFill="1" applyBorder="1" applyAlignment="1">
      <alignment vertical="center"/>
    </xf>
    <xf numFmtId="165" fontId="5" fillId="5" borderId="32" xfId="0" applyNumberFormat="1" applyFont="1" applyFill="1" applyBorder="1" applyAlignment="1">
      <alignment vertical="center"/>
    </xf>
    <xf numFmtId="173" fontId="0" fillId="2" borderId="32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165" fontId="10" fillId="11" borderId="32" xfId="4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173" fontId="0" fillId="2" borderId="7" xfId="0" applyNumberFormat="1" applyFill="1" applyBorder="1" applyAlignment="1">
      <alignment vertical="center"/>
    </xf>
    <xf numFmtId="165" fontId="5" fillId="23" borderId="7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vertical="center"/>
    </xf>
    <xf numFmtId="165" fontId="5" fillId="5" borderId="7" xfId="0" applyNumberFormat="1" applyFont="1" applyFill="1" applyBorder="1" applyAlignment="1">
      <alignment vertical="center"/>
    </xf>
    <xf numFmtId="165" fontId="21" fillId="16" borderId="0" xfId="4" applyFont="1" applyFill="1" applyBorder="1" applyAlignment="1">
      <alignment vertical="center"/>
    </xf>
    <xf numFmtId="4" fontId="14" fillId="16" borderId="0" xfId="0" applyNumberFormat="1" applyFont="1" applyFill="1" applyAlignment="1">
      <alignment vertical="center"/>
    </xf>
    <xf numFmtId="166" fontId="14" fillId="16" borderId="0" xfId="0" applyNumberFormat="1" applyFont="1" applyFill="1" applyAlignment="1">
      <alignment vertical="center"/>
    </xf>
    <xf numFmtId="0" fontId="0" fillId="0" borderId="20" xfId="0" applyBorder="1" applyAlignment="1">
      <alignment horizontal="center" vertical="center"/>
    </xf>
    <xf numFmtId="165" fontId="0" fillId="0" borderId="32" xfId="0" applyNumberFormat="1" applyBorder="1" applyAlignment="1">
      <alignment vertical="center"/>
    </xf>
    <xf numFmtId="10" fontId="10" fillId="0" borderId="32" xfId="0" applyNumberFormat="1" applyFont="1" applyBorder="1" applyAlignment="1">
      <alignment vertical="center"/>
    </xf>
    <xf numFmtId="165" fontId="5" fillId="0" borderId="32" xfId="0" applyNumberFormat="1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7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4" fontId="14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1" fontId="0" fillId="6" borderId="6" xfId="0" applyNumberFormat="1" applyFill="1" applyBorder="1" applyAlignment="1">
      <alignment vertical="center"/>
    </xf>
    <xf numFmtId="0" fontId="33" fillId="6" borderId="17" xfId="0" applyFont="1" applyFill="1" applyBorder="1" applyAlignment="1">
      <alignment vertical="center"/>
    </xf>
    <xf numFmtId="0" fontId="0" fillId="6" borderId="32" xfId="0" applyFill="1" applyBorder="1" applyAlignment="1">
      <alignment vertical="center"/>
    </xf>
    <xf numFmtId="174" fontId="14" fillId="2" borderId="0" xfId="0" applyNumberFormat="1" applyFont="1" applyFill="1" applyAlignment="1">
      <alignment horizontal="center" vertical="center"/>
    </xf>
    <xf numFmtId="43" fontId="11" fillId="0" borderId="0" xfId="0" applyNumberFormat="1" applyFont="1"/>
    <xf numFmtId="0" fontId="11" fillId="2" borderId="0" xfId="0" applyFont="1" applyFill="1" applyAlignment="1">
      <alignment vertical="center"/>
    </xf>
    <xf numFmtId="43" fontId="11" fillId="2" borderId="0" xfId="0" applyNumberFormat="1" applyFont="1" applyFill="1" applyAlignment="1">
      <alignment vertical="center"/>
    </xf>
    <xf numFmtId="175" fontId="0" fillId="0" borderId="0" xfId="0" applyNumberFormat="1" applyAlignment="1">
      <alignment vertical="center"/>
    </xf>
    <xf numFmtId="176" fontId="0" fillId="6" borderId="0" xfId="0" applyNumberFormat="1" applyFill="1" applyAlignment="1">
      <alignment vertical="center"/>
    </xf>
    <xf numFmtId="4" fontId="0" fillId="0" borderId="0" xfId="0" applyNumberFormat="1" applyAlignment="1">
      <alignment vertical="center"/>
    </xf>
    <xf numFmtId="165" fontId="21" fillId="16" borderId="23" xfId="4" applyFont="1" applyFill="1" applyBorder="1" applyAlignment="1">
      <alignment vertical="center"/>
    </xf>
    <xf numFmtId="166" fontId="14" fillId="16" borderId="24" xfId="0" applyNumberFormat="1" applyFont="1" applyFill="1" applyBorder="1" applyAlignment="1">
      <alignment vertical="center"/>
    </xf>
    <xf numFmtId="4" fontId="14" fillId="16" borderId="24" xfId="0" applyNumberFormat="1" applyFont="1" applyFill="1" applyBorder="1" applyAlignment="1">
      <alignment vertical="center"/>
    </xf>
    <xf numFmtId="165" fontId="21" fillId="6" borderId="25" xfId="4" applyFont="1" applyFill="1" applyBorder="1" applyAlignment="1">
      <alignment vertical="center"/>
    </xf>
    <xf numFmtId="4" fontId="5" fillId="6" borderId="25" xfId="0" applyNumberFormat="1" applyFont="1" applyFill="1" applyBorder="1" applyAlignment="1">
      <alignment vertical="center"/>
    </xf>
    <xf numFmtId="173" fontId="0" fillId="6" borderId="32" xfId="0" applyNumberFormat="1" applyFill="1" applyBorder="1" applyAlignment="1">
      <alignment vertical="center"/>
    </xf>
    <xf numFmtId="1" fontId="33" fillId="0" borderId="17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1" fontId="0" fillId="0" borderId="33" xfId="0" applyNumberFormat="1" applyBorder="1" applyAlignment="1">
      <alignment vertical="center"/>
    </xf>
    <xf numFmtId="1" fontId="0" fillId="6" borderId="33" xfId="0" applyNumberFormat="1" applyFill="1" applyBorder="1" applyAlignment="1">
      <alignment vertical="center"/>
    </xf>
    <xf numFmtId="0" fontId="0" fillId="0" borderId="33" xfId="0" applyBorder="1" applyAlignment="1">
      <alignment vertical="center"/>
    </xf>
    <xf numFmtId="0" fontId="33" fillId="0" borderId="17" xfId="0" applyFont="1" applyBorder="1" applyAlignment="1">
      <alignment horizontal="center" vertical="center"/>
    </xf>
    <xf numFmtId="9" fontId="38" fillId="11" borderId="32" xfId="4" applyNumberFormat="1" applyFont="1" applyFill="1" applyBorder="1" applyAlignment="1">
      <alignment vertical="center"/>
    </xf>
    <xf numFmtId="9" fontId="38" fillId="11" borderId="32" xfId="0" applyNumberFormat="1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34" fillId="19" borderId="1" xfId="0" applyFont="1" applyFill="1" applyBorder="1" applyAlignment="1">
      <alignment horizontal="center" vertical="center" readingOrder="1"/>
    </xf>
    <xf numFmtId="40" fontId="24" fillId="6" borderId="1" xfId="0" applyNumberFormat="1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170" fontId="5" fillId="0" borderId="0" xfId="0" applyNumberFormat="1" applyFont="1" applyAlignment="1">
      <alignment vertical="center"/>
    </xf>
    <xf numFmtId="166" fontId="0" fillId="6" borderId="32" xfId="0" applyNumberFormat="1" applyFill="1" applyBorder="1" applyAlignment="1">
      <alignment vertical="center"/>
    </xf>
    <xf numFmtId="43" fontId="42" fillId="4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1" fillId="5" borderId="6" xfId="1" applyFont="1" applyFill="1" applyBorder="1" applyAlignment="1">
      <alignment horizontal="center" vertical="center" wrapText="1"/>
    </xf>
    <xf numFmtId="0" fontId="21" fillId="3" borderId="6" xfId="1" applyFont="1" applyFill="1" applyBorder="1" applyAlignment="1">
      <alignment horizontal="center" vertical="center" wrapText="1"/>
    </xf>
    <xf numFmtId="0" fontId="21" fillId="5" borderId="15" xfId="1" applyFont="1" applyFill="1" applyBorder="1" applyAlignment="1">
      <alignment horizontal="center" vertical="center" wrapText="1"/>
    </xf>
    <xf numFmtId="0" fontId="21" fillId="5" borderId="16" xfId="1" applyFont="1" applyFill="1" applyBorder="1" applyAlignment="1">
      <alignment horizontal="center" vertical="center" wrapText="1"/>
    </xf>
    <xf numFmtId="0" fontId="21" fillId="5" borderId="14" xfId="1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left" vertical="center"/>
    </xf>
    <xf numFmtId="0" fontId="22" fillId="9" borderId="21" xfId="0" applyFont="1" applyFill="1" applyBorder="1" applyAlignment="1">
      <alignment horizontal="left" vertical="center"/>
    </xf>
    <xf numFmtId="0" fontId="23" fillId="14" borderId="23" xfId="0" applyFont="1" applyFill="1" applyBorder="1" applyAlignment="1">
      <alignment horizontal="center" vertical="center"/>
    </xf>
    <xf numFmtId="0" fontId="23" fillId="14" borderId="24" xfId="0" applyFont="1" applyFill="1" applyBorder="1" applyAlignment="1">
      <alignment horizontal="center" vertical="center"/>
    </xf>
    <xf numFmtId="0" fontId="23" fillId="14" borderId="25" xfId="0" applyFont="1" applyFill="1" applyBorder="1" applyAlignment="1">
      <alignment horizontal="center" vertical="center"/>
    </xf>
    <xf numFmtId="0" fontId="24" fillId="14" borderId="26" xfId="0" applyFont="1" applyFill="1" applyBorder="1" applyAlignment="1">
      <alignment horizontal="center" vertical="center" wrapText="1"/>
    </xf>
    <xf numFmtId="0" fontId="24" fillId="14" borderId="27" xfId="0" applyFont="1" applyFill="1" applyBorder="1" applyAlignment="1">
      <alignment horizontal="center" vertical="center" wrapText="1"/>
    </xf>
    <xf numFmtId="0" fontId="24" fillId="14" borderId="28" xfId="0" applyFont="1" applyFill="1" applyBorder="1" applyAlignment="1">
      <alignment horizontal="center" vertical="center" wrapText="1"/>
    </xf>
    <xf numFmtId="0" fontId="24" fillId="14" borderId="23" xfId="0" applyFont="1" applyFill="1" applyBorder="1" applyAlignment="1">
      <alignment horizontal="center" vertical="center" wrapText="1"/>
    </xf>
    <xf numFmtId="0" fontId="24" fillId="14" borderId="24" xfId="0" applyFont="1" applyFill="1" applyBorder="1" applyAlignment="1">
      <alignment horizontal="center" vertical="center" wrapText="1"/>
    </xf>
    <xf numFmtId="0" fontId="24" fillId="14" borderId="25" xfId="0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9" fillId="14" borderId="26" xfId="0" applyFont="1" applyFill="1" applyBorder="1" applyAlignment="1">
      <alignment horizontal="center" vertical="center" textRotation="90" wrapText="1"/>
    </xf>
    <xf numFmtId="0" fontId="29" fillId="14" borderId="27" xfId="0" applyFont="1" applyFill="1" applyBorder="1" applyAlignment="1">
      <alignment horizontal="center" vertical="center" textRotation="90" wrapText="1"/>
    </xf>
    <xf numFmtId="0" fontId="29" fillId="14" borderId="28" xfId="0" applyFont="1" applyFill="1" applyBorder="1" applyAlignment="1">
      <alignment horizontal="center" vertical="center" textRotation="90" wrapText="1"/>
    </xf>
    <xf numFmtId="0" fontId="27" fillId="0" borderId="27" xfId="0" applyFont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27" fillId="2" borderId="27" xfId="0" applyFont="1" applyFill="1" applyBorder="1" applyAlignment="1">
      <alignment horizontal="center" vertical="center" wrapText="1"/>
    </xf>
    <xf numFmtId="0" fontId="27" fillId="2" borderId="28" xfId="0" applyFont="1" applyFill="1" applyBorder="1" applyAlignment="1">
      <alignment horizontal="center" vertical="center" wrapText="1"/>
    </xf>
    <xf numFmtId="0" fontId="29" fillId="14" borderId="23" xfId="0" applyFont="1" applyFill="1" applyBorder="1" applyAlignment="1">
      <alignment horizontal="center" vertical="center" wrapText="1"/>
    </xf>
    <xf numFmtId="0" fontId="29" fillId="14" borderId="24" xfId="0" applyFont="1" applyFill="1" applyBorder="1" applyAlignment="1">
      <alignment horizontal="center" vertical="center" wrapText="1"/>
    </xf>
    <xf numFmtId="0" fontId="29" fillId="14" borderId="25" xfId="0" applyFont="1" applyFill="1" applyBorder="1" applyAlignment="1">
      <alignment horizontal="center" vertical="center" wrapText="1"/>
    </xf>
    <xf numFmtId="0" fontId="29" fillId="14" borderId="26" xfId="0" applyFont="1" applyFill="1" applyBorder="1" applyAlignment="1">
      <alignment horizontal="center" vertical="center" wrapText="1"/>
    </xf>
    <xf numFmtId="0" fontId="29" fillId="14" borderId="27" xfId="0" applyFont="1" applyFill="1" applyBorder="1" applyAlignment="1">
      <alignment horizontal="center" vertical="center" wrapText="1"/>
    </xf>
    <xf numFmtId="0" fontId="29" fillId="14" borderId="28" xfId="0" applyFont="1" applyFill="1" applyBorder="1" applyAlignment="1">
      <alignment horizontal="center" vertical="center" wrapText="1"/>
    </xf>
    <xf numFmtId="0" fontId="31" fillId="14" borderId="23" xfId="0" applyFont="1" applyFill="1" applyBorder="1" applyAlignment="1">
      <alignment horizontal="center" vertical="center" wrapText="1"/>
    </xf>
    <xf numFmtId="0" fontId="31" fillId="14" borderId="24" xfId="0" applyFont="1" applyFill="1" applyBorder="1" applyAlignment="1">
      <alignment horizontal="center" vertical="center" wrapText="1"/>
    </xf>
    <xf numFmtId="0" fontId="31" fillId="14" borderId="25" xfId="0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19" borderId="1" xfId="0" applyFont="1" applyFill="1" applyBorder="1" applyAlignment="1">
      <alignment horizontal="center" vertical="center"/>
    </xf>
  </cellXfs>
  <cellStyles count="9">
    <cellStyle name="A3 297 x 420 mm" xfId="2" xr:uid="{00000000-0005-0000-0000-000000000000}"/>
    <cellStyle name="Moeda 2" xfId="3" xr:uid="{00000000-0005-0000-0000-000001000000}"/>
    <cellStyle name="Normal" xfId="0" builtinId="0"/>
    <cellStyle name="Normal 2" xfId="1" xr:uid="{00000000-0005-0000-0000-000003000000}"/>
    <cellStyle name="Normal 3" xfId="7" xr:uid="{00000000-0005-0000-0000-000004000000}"/>
    <cellStyle name="Porcentagem" xfId="5" builtinId="5"/>
    <cellStyle name="Vírgula" xfId="4" builtinId="3"/>
    <cellStyle name="Vírgula 2" xfId="6" xr:uid="{00000000-0005-0000-0000-000007000000}"/>
    <cellStyle name="Vírgula 3" xfId="8" xr:uid="{00000000-0005-0000-0000-000008000000}"/>
  </cellStyles>
  <dxfs count="127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2"/>
      </font>
      <fill>
        <patternFill>
          <bgColor rgb="FFD60093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9D1EB2"/>
        </patternFill>
      </fill>
    </dxf>
  </dxfs>
  <tableStyles count="0" defaultTableStyle="TableStyleMedium2" defaultPivotStyle="PivotStyleLight16"/>
  <colors>
    <mruColors>
      <color rgb="FF0000FF"/>
      <color rgb="FFFF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394448</xdr:colOff>
      <xdr:row>27</xdr:row>
      <xdr:rowOff>125505</xdr:rowOff>
    </xdr:from>
    <xdr:to>
      <xdr:col>23</xdr:col>
      <xdr:colOff>742852</xdr:colOff>
      <xdr:row>58</xdr:row>
      <xdr:rowOff>99987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5A6C44-D71A-DC9A-BF7F-5FEDB7E6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1" y="5558117"/>
          <a:ext cx="6614733" cy="553259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61</xdr:row>
      <xdr:rowOff>0</xdr:rowOff>
    </xdr:from>
    <xdr:to>
      <xdr:col>26</xdr:col>
      <xdr:colOff>345483</xdr:colOff>
      <xdr:row>89</xdr:row>
      <xdr:rowOff>32263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F6CBB3-D9DB-E799-ABED-00C51FFE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45553" y="11528612"/>
          <a:ext cx="9121930" cy="5052498"/>
        </a:xfrm>
        <a:prstGeom prst="rect">
          <a:avLst/>
        </a:prstGeom>
      </xdr:spPr>
    </xdr:pic>
    <xdr:clientData/>
  </xdr:twoCellAnchor>
  <xdr:twoCellAnchor editAs="oneCell">
    <xdr:from>
      <xdr:col>19</xdr:col>
      <xdr:colOff>197223</xdr:colOff>
      <xdr:row>16</xdr:row>
      <xdr:rowOff>125506</xdr:rowOff>
    </xdr:from>
    <xdr:to>
      <xdr:col>30</xdr:col>
      <xdr:colOff>337379</xdr:colOff>
      <xdr:row>24</xdr:row>
      <xdr:rowOff>146282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332AA55-DA99-1420-A751-66F05868D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59082" y="3227294"/>
          <a:ext cx="8710415" cy="1813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609600</xdr:colOff>
      <xdr:row>27</xdr:row>
      <xdr:rowOff>65314</xdr:rowOff>
    </xdr:from>
    <xdr:to>
      <xdr:col>26</xdr:col>
      <xdr:colOff>520967</xdr:colOff>
      <xdr:row>59</xdr:row>
      <xdr:rowOff>102841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A4B10F-DD80-EC20-169D-3FE87463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5627914"/>
          <a:ext cx="7270110" cy="5959356"/>
        </a:xfrm>
        <a:prstGeom prst="rect">
          <a:avLst/>
        </a:prstGeom>
      </xdr:spPr>
    </xdr:pic>
    <xdr:clientData/>
  </xdr:twoCellAnchor>
  <xdr:twoCellAnchor editAs="oneCell">
    <xdr:from>
      <xdr:col>17</xdr:col>
      <xdr:colOff>402772</xdr:colOff>
      <xdr:row>62</xdr:row>
      <xdr:rowOff>32657</xdr:rowOff>
    </xdr:from>
    <xdr:to>
      <xdr:col>29</xdr:col>
      <xdr:colOff>533122</xdr:colOff>
      <xdr:row>86</xdr:row>
      <xdr:rowOff>102717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D3F0B6-6836-08B2-8286-85D1AC09B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93886" y="12072257"/>
          <a:ext cx="9350550" cy="4511431"/>
        </a:xfrm>
        <a:prstGeom prst="rect">
          <a:avLst/>
        </a:prstGeom>
      </xdr:spPr>
    </xdr:pic>
    <xdr:clientData/>
  </xdr:twoCellAnchor>
  <xdr:twoCellAnchor editAs="oneCell">
    <xdr:from>
      <xdr:col>18</xdr:col>
      <xdr:colOff>544285</xdr:colOff>
      <xdr:row>16</xdr:row>
      <xdr:rowOff>293914</xdr:rowOff>
    </xdr:from>
    <xdr:to>
      <xdr:col>30</xdr:col>
      <xdr:colOff>233708</xdr:colOff>
      <xdr:row>25</xdr:row>
      <xdr:rowOff>116636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1D4428-2F06-4BB1-3BBF-39E0A3A5C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62714" y="3472543"/>
          <a:ext cx="8702794" cy="18365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30</xdr:row>
      <xdr:rowOff>0</xdr:rowOff>
    </xdr:from>
    <xdr:to>
      <xdr:col>24</xdr:col>
      <xdr:colOff>145384</xdr:colOff>
      <xdr:row>65</xdr:row>
      <xdr:rowOff>29130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072441-D4F0-4736-8336-D128269D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9975" y="6010275"/>
          <a:ext cx="6965284" cy="640135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70</xdr:row>
      <xdr:rowOff>0</xdr:rowOff>
    </xdr:from>
    <xdr:to>
      <xdr:col>27</xdr:col>
      <xdr:colOff>57933</xdr:colOff>
      <xdr:row>97</xdr:row>
      <xdr:rowOff>51863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F68B80-741C-F2D4-38F3-963886F20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9975" y="13287375"/>
          <a:ext cx="9030483" cy="4938188"/>
        </a:xfrm>
        <a:prstGeom prst="rect">
          <a:avLst/>
        </a:prstGeom>
      </xdr:spPr>
    </xdr:pic>
    <xdr:clientData/>
  </xdr:twoCellAnchor>
  <xdr:twoCellAnchor editAs="oneCell">
    <xdr:from>
      <xdr:col>19</xdr:col>
      <xdr:colOff>180975</xdr:colOff>
      <xdr:row>14</xdr:row>
      <xdr:rowOff>161925</xdr:rowOff>
    </xdr:from>
    <xdr:to>
      <xdr:col>31</xdr:col>
      <xdr:colOff>177926</xdr:colOff>
      <xdr:row>23</xdr:row>
      <xdr:rowOff>139235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69A265F-379A-44DB-7625-9A5C9B444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26050" y="2924175"/>
          <a:ext cx="8779001" cy="19585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27</xdr:row>
      <xdr:rowOff>0</xdr:rowOff>
    </xdr:from>
    <xdr:to>
      <xdr:col>24</xdr:col>
      <xdr:colOff>511205</xdr:colOff>
      <xdr:row>62</xdr:row>
      <xdr:rowOff>2466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4C41C9-D8DA-CB57-09A7-26A83B653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0" y="5467350"/>
          <a:ext cx="7674005" cy="6469941"/>
        </a:xfrm>
        <a:prstGeom prst="rect">
          <a:avLst/>
        </a:prstGeom>
      </xdr:spPr>
    </xdr:pic>
    <xdr:clientData/>
  </xdr:twoCellAnchor>
  <xdr:twoCellAnchor editAs="oneCell">
    <xdr:from>
      <xdr:col>16</xdr:col>
      <xdr:colOff>114300</xdr:colOff>
      <xdr:row>64</xdr:row>
      <xdr:rowOff>114300</xdr:rowOff>
    </xdr:from>
    <xdr:to>
      <xdr:col>26</xdr:col>
      <xdr:colOff>496099</xdr:colOff>
      <xdr:row>89</xdr:row>
      <xdr:rowOff>17529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847463-E057-181C-FCB7-56FC1878B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2411075"/>
          <a:ext cx="9220999" cy="4427604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495300</xdr:colOff>
      <xdr:row>14</xdr:row>
      <xdr:rowOff>19050</xdr:rowOff>
    </xdr:from>
    <xdr:to>
      <xdr:col>31</xdr:col>
      <xdr:colOff>2657</xdr:colOff>
      <xdr:row>24</xdr:row>
      <xdr:rowOff>13522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B8B1193-19B7-5E83-1589-D0F6D16D7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73675" y="2781300"/>
          <a:ext cx="8679932" cy="21566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171450</xdr:colOff>
      <xdr:row>26</xdr:row>
      <xdr:rowOff>171450</xdr:rowOff>
    </xdr:from>
    <xdr:to>
      <xdr:col>24</xdr:col>
      <xdr:colOff>509264</xdr:colOff>
      <xdr:row>60</xdr:row>
      <xdr:rowOff>65306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B0D457-E3EC-EFF3-25DA-A182B9F0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0" y="5457825"/>
          <a:ext cx="7262489" cy="618035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64</xdr:row>
      <xdr:rowOff>0</xdr:rowOff>
    </xdr:from>
    <xdr:to>
      <xdr:col>26</xdr:col>
      <xdr:colOff>475132</xdr:colOff>
      <xdr:row>91</xdr:row>
      <xdr:rowOff>44242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AAFC8C-F281-BD16-5471-750C5490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92350" y="12296775"/>
          <a:ext cx="9076207" cy="493056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32</xdr:col>
      <xdr:colOff>172226</xdr:colOff>
      <xdr:row>24</xdr:row>
      <xdr:rowOff>135423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9C7716-186B-0811-D335-6AB00FFDE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83275" y="3124200"/>
          <a:ext cx="8954276" cy="19356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28</xdr:row>
      <xdr:rowOff>0</xdr:rowOff>
    </xdr:from>
    <xdr:to>
      <xdr:col>23</xdr:col>
      <xdr:colOff>682602</xdr:colOff>
      <xdr:row>61</xdr:row>
      <xdr:rowOff>120555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F810D4-0D84-7939-D020-3AF5A8C4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0" y="5648325"/>
          <a:ext cx="7064352" cy="62260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66</xdr:row>
      <xdr:rowOff>0</xdr:rowOff>
    </xdr:from>
    <xdr:to>
      <xdr:col>26</xdr:col>
      <xdr:colOff>181761</xdr:colOff>
      <xdr:row>87</xdr:row>
      <xdr:rowOff>55579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E6422C-8711-9EC6-0F6A-8333BB22C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0" y="12658725"/>
          <a:ext cx="9068586" cy="3856054"/>
        </a:xfrm>
        <a:prstGeom prst="rect">
          <a:avLst/>
        </a:prstGeom>
      </xdr:spPr>
    </xdr:pic>
    <xdr:clientData/>
  </xdr:twoCellAnchor>
  <xdr:twoCellAnchor editAs="oneCell">
    <xdr:from>
      <xdr:col>19</xdr:col>
      <xdr:colOff>714375</xdr:colOff>
      <xdr:row>15</xdr:row>
      <xdr:rowOff>57150</xdr:rowOff>
    </xdr:from>
    <xdr:to>
      <xdr:col>31</xdr:col>
      <xdr:colOff>551305</xdr:colOff>
      <xdr:row>24</xdr:row>
      <xdr:rowOff>3977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AF8A414-30FE-509E-53A1-B081A8AD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78500" y="3000375"/>
          <a:ext cx="8771380" cy="19280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49</xdr:row>
      <xdr:rowOff>0</xdr:rowOff>
    </xdr:from>
    <xdr:to>
      <xdr:col>34</xdr:col>
      <xdr:colOff>584497</xdr:colOff>
      <xdr:row>77</xdr:row>
      <xdr:rowOff>132667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03662E-A1F6-4075-8A0F-82EF55ED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4425" y="4752975"/>
          <a:ext cx="10338097" cy="54666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51</xdr:row>
      <xdr:rowOff>0</xdr:rowOff>
    </xdr:from>
    <xdr:to>
      <xdr:col>34</xdr:col>
      <xdr:colOff>584497</xdr:colOff>
      <xdr:row>79</xdr:row>
      <xdr:rowOff>132667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A1769B-D6B3-492A-81B3-C33DA80B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54425" y="4752975"/>
          <a:ext cx="10338097" cy="54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5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33.bin"/><Relationship Id="rId4" Type="http://schemas.openxmlformats.org/officeDocument/2006/relationships/printerSettings" Target="../printerSettings/printerSettings3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58" zoomScale="90" zoomScaleNormal="90" workbookViewId="0">
      <selection activeCell="E76" sqref="A76:XFD76"/>
    </sheetView>
  </sheetViews>
  <sheetFormatPr defaultColWidth="15" defaultRowHeight="14.4" x14ac:dyDescent="0.3"/>
  <cols>
    <col min="1" max="1" width="35.44140625" style="9" bestFit="1" customWidth="1"/>
    <col min="2" max="2" width="16" style="9" bestFit="1" customWidth="1"/>
    <col min="3" max="3" width="17.44140625" style="9" bestFit="1" customWidth="1"/>
    <col min="4" max="4" width="17.6640625" style="9" bestFit="1" customWidth="1"/>
    <col min="5" max="5" width="12.6640625" style="9" bestFit="1" customWidth="1"/>
    <col min="6" max="6" width="8.44140625" style="9" bestFit="1" customWidth="1"/>
    <col min="7" max="7" width="12" style="9" bestFit="1" customWidth="1"/>
    <col min="8" max="8" width="12.109375" style="9" bestFit="1" customWidth="1"/>
    <col min="9" max="9" width="12.44140625" style="9" bestFit="1" customWidth="1"/>
    <col min="10" max="10" width="12.33203125" style="9" bestFit="1" customWidth="1"/>
    <col min="11" max="11" width="8.44140625" style="9" bestFit="1" customWidth="1"/>
    <col min="12" max="12" width="7.6640625" style="9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284" t="s">
        <v>74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6"/>
    </row>
    <row r="2" spans="1:17" ht="15.75" customHeight="1" thickBot="1" x14ac:dyDescent="0.35">
      <c r="A2" s="287" t="s">
        <v>75</v>
      </c>
      <c r="B2" s="287" t="s">
        <v>76</v>
      </c>
      <c r="C2" s="287" t="s">
        <v>77</v>
      </c>
      <c r="D2" s="147" t="s">
        <v>78</v>
      </c>
      <c r="E2" s="290" t="s">
        <v>79</v>
      </c>
      <c r="F2" s="291"/>
      <c r="G2" s="291"/>
      <c r="H2" s="291"/>
      <c r="I2" s="292"/>
      <c r="J2" s="290" t="s">
        <v>80</v>
      </c>
      <c r="K2" s="291"/>
      <c r="L2" s="292"/>
      <c r="N2" s="90" t="s">
        <v>81</v>
      </c>
      <c r="O2" s="90" t="s">
        <v>82</v>
      </c>
      <c r="P2" s="90" t="s">
        <v>83</v>
      </c>
      <c r="Q2" s="90" t="s">
        <v>84</v>
      </c>
    </row>
    <row r="3" spans="1:17" ht="15" thickBot="1" x14ac:dyDescent="0.35">
      <c r="A3" s="288"/>
      <c r="B3" s="288"/>
      <c r="C3" s="288"/>
      <c r="D3" s="91"/>
      <c r="E3" s="290" t="s">
        <v>0</v>
      </c>
      <c r="F3" s="292"/>
      <c r="G3" s="290" t="s">
        <v>21</v>
      </c>
      <c r="H3" s="291"/>
      <c r="I3" s="292"/>
      <c r="J3" s="290" t="s">
        <v>0</v>
      </c>
      <c r="K3" s="292"/>
      <c r="L3" s="91" t="s">
        <v>1</v>
      </c>
      <c r="N3" s="92" t="s">
        <v>85</v>
      </c>
      <c r="O3" s="93" t="s">
        <v>86</v>
      </c>
      <c r="P3" s="93" t="s">
        <v>87</v>
      </c>
      <c r="Q3" s="94">
        <v>2025</v>
      </c>
    </row>
    <row r="4" spans="1:17" ht="15" thickBot="1" x14ac:dyDescent="0.35">
      <c r="A4" s="289"/>
      <c r="B4" s="289"/>
      <c r="C4" s="289"/>
      <c r="D4" s="91"/>
      <c r="E4" s="91" t="s">
        <v>13</v>
      </c>
      <c r="F4" s="91" t="s">
        <v>88</v>
      </c>
      <c r="G4" s="95" t="s">
        <v>89</v>
      </c>
      <c r="H4" s="96" t="s">
        <v>90</v>
      </c>
      <c r="I4" s="97" t="s">
        <v>91</v>
      </c>
      <c r="J4" s="91" t="s">
        <v>13</v>
      </c>
      <c r="K4" s="91" t="s">
        <v>88</v>
      </c>
      <c r="L4" s="91" t="s">
        <v>88</v>
      </c>
      <c r="N4" s="92" t="s">
        <v>92</v>
      </c>
      <c r="O4" s="98" t="s">
        <v>243</v>
      </c>
      <c r="P4" s="98" t="s">
        <v>87</v>
      </c>
      <c r="Q4" s="99">
        <v>2026</v>
      </c>
    </row>
    <row r="5" spans="1:17" ht="15" thickBot="1" x14ac:dyDescent="0.35">
      <c r="A5" s="100"/>
      <c r="B5" s="293" t="s">
        <v>95</v>
      </c>
      <c r="C5" s="293" t="s">
        <v>96</v>
      </c>
      <c r="D5" s="101" t="s">
        <v>97</v>
      </c>
      <c r="E5" s="102"/>
      <c r="F5" s="102"/>
      <c r="G5" s="102"/>
      <c r="H5" s="102"/>
      <c r="I5" s="102"/>
      <c r="J5" s="102"/>
      <c r="K5" s="102"/>
      <c r="L5" s="102"/>
      <c r="M5" s="103"/>
      <c r="N5" s="10"/>
      <c r="O5" s="10"/>
    </row>
    <row r="6" spans="1:17" ht="15" thickBot="1" x14ac:dyDescent="0.35">
      <c r="A6" s="100" t="s">
        <v>98</v>
      </c>
      <c r="B6" s="294"/>
      <c r="C6" s="294"/>
      <c r="D6" s="101" t="s">
        <v>99</v>
      </c>
      <c r="E6" s="102"/>
      <c r="F6" s="102"/>
      <c r="G6" s="102"/>
      <c r="H6" s="102"/>
      <c r="I6" s="102"/>
      <c r="J6" s="102"/>
      <c r="K6" s="102"/>
      <c r="L6" s="102"/>
      <c r="M6" s="103"/>
      <c r="N6" s="10"/>
      <c r="O6" s="10"/>
    </row>
    <row r="7" spans="1:17" ht="15" thickBot="1" x14ac:dyDescent="0.35">
      <c r="A7" s="100"/>
      <c r="B7" s="293" t="s">
        <v>100</v>
      </c>
      <c r="C7" s="293" t="s">
        <v>96</v>
      </c>
      <c r="D7" s="101" t="s">
        <v>97</v>
      </c>
      <c r="E7" s="102"/>
      <c r="F7" s="102"/>
      <c r="G7" s="102"/>
      <c r="H7" s="102"/>
      <c r="I7" s="102"/>
      <c r="J7" s="102"/>
      <c r="K7" s="102"/>
      <c r="L7" s="102"/>
      <c r="M7" s="104"/>
      <c r="N7" s="10"/>
      <c r="O7" s="10"/>
    </row>
    <row r="8" spans="1:17" ht="15" thickBot="1" x14ac:dyDescent="0.35">
      <c r="A8" s="100"/>
      <c r="B8" s="294"/>
      <c r="C8" s="294"/>
      <c r="D8" s="101" t="s">
        <v>99</v>
      </c>
      <c r="E8" s="102"/>
      <c r="F8" s="102"/>
      <c r="G8" s="102"/>
      <c r="H8" s="102"/>
      <c r="I8" s="102"/>
      <c r="J8" s="102"/>
      <c r="K8" s="102"/>
      <c r="L8" s="102"/>
      <c r="M8" s="10"/>
      <c r="N8" s="10"/>
      <c r="O8" s="10"/>
    </row>
    <row r="9" spans="1:17" ht="15.75" customHeight="1" thickBot="1" x14ac:dyDescent="0.35">
      <c r="A9" s="295" t="s">
        <v>101</v>
      </c>
      <c r="B9" s="293" t="s">
        <v>95</v>
      </c>
      <c r="C9" s="293" t="s">
        <v>96</v>
      </c>
      <c r="D9" s="101" t="s">
        <v>97</v>
      </c>
      <c r="E9" s="191"/>
      <c r="F9" s="191"/>
      <c r="G9" s="191"/>
      <c r="H9" s="192"/>
      <c r="I9" s="192"/>
      <c r="J9" s="191"/>
      <c r="K9" s="191"/>
      <c r="L9" s="191"/>
      <c r="M9" s="103"/>
      <c r="N9" s="10"/>
      <c r="O9" s="10"/>
    </row>
    <row r="10" spans="1:17" ht="15" thickBot="1" x14ac:dyDescent="0.35">
      <c r="A10" s="296"/>
      <c r="B10" s="294"/>
      <c r="C10" s="294"/>
      <c r="D10" s="101" t="s">
        <v>99</v>
      </c>
      <c r="E10" s="191"/>
      <c r="F10" s="191"/>
      <c r="G10" s="191"/>
      <c r="H10" s="192"/>
      <c r="I10" s="192"/>
      <c r="J10" s="191"/>
      <c r="K10" s="191"/>
      <c r="L10" s="191"/>
      <c r="M10" s="103"/>
      <c r="N10" s="105"/>
      <c r="O10" s="105"/>
    </row>
    <row r="11" spans="1:17" ht="15" thickBot="1" x14ac:dyDescent="0.35">
      <c r="A11" s="296"/>
      <c r="B11" s="293" t="s">
        <v>100</v>
      </c>
      <c r="C11" s="293" t="s">
        <v>96</v>
      </c>
      <c r="D11" s="101" t="s">
        <v>97</v>
      </c>
      <c r="E11" s="191"/>
      <c r="F11" s="191"/>
      <c r="G11" s="191"/>
      <c r="H11" s="192"/>
      <c r="I11" s="192"/>
      <c r="J11" s="191"/>
      <c r="K11" s="191"/>
      <c r="L11" s="191"/>
      <c r="M11" s="103"/>
      <c r="N11" s="10"/>
      <c r="O11" s="10"/>
    </row>
    <row r="12" spans="1:17" ht="15" thickBot="1" x14ac:dyDescent="0.35">
      <c r="A12" s="296"/>
      <c r="B12" s="294"/>
      <c r="C12" s="294"/>
      <c r="D12" s="101" t="s">
        <v>99</v>
      </c>
      <c r="E12" s="191"/>
      <c r="F12" s="191"/>
      <c r="G12" s="191"/>
      <c r="H12" s="192"/>
      <c r="I12" s="192"/>
      <c r="J12" s="191"/>
      <c r="K12" s="191"/>
      <c r="L12" s="191"/>
      <c r="M12" s="10"/>
    </row>
    <row r="13" spans="1:17" ht="15" thickBot="1" x14ac:dyDescent="0.35">
      <c r="A13" s="296"/>
      <c r="B13" s="293" t="s">
        <v>102</v>
      </c>
      <c r="C13" s="293" t="s">
        <v>103</v>
      </c>
      <c r="D13" s="101" t="s">
        <v>97</v>
      </c>
      <c r="E13" s="193"/>
      <c r="F13" s="193"/>
      <c r="G13" s="193"/>
      <c r="H13" s="192"/>
      <c r="I13" s="192"/>
      <c r="J13" s="193"/>
      <c r="K13" s="193"/>
      <c r="L13" s="193"/>
    </row>
    <row r="14" spans="1:17" ht="15" thickBot="1" x14ac:dyDescent="0.35">
      <c r="A14" s="296"/>
      <c r="B14" s="298"/>
      <c r="C14" s="298"/>
      <c r="D14" s="101" t="s">
        <v>99</v>
      </c>
      <c r="E14" s="193"/>
      <c r="F14" s="193"/>
      <c r="G14" s="193"/>
      <c r="H14" s="192"/>
      <c r="I14" s="192"/>
      <c r="J14" s="193"/>
      <c r="K14" s="193"/>
      <c r="L14" s="193"/>
    </row>
    <row r="15" spans="1:17" ht="15" thickBot="1" x14ac:dyDescent="0.35">
      <c r="A15" s="296"/>
      <c r="B15" s="294"/>
      <c r="C15" s="294"/>
      <c r="D15" s="101" t="s">
        <v>96</v>
      </c>
      <c r="E15" s="193"/>
      <c r="F15" s="193"/>
      <c r="G15" s="193"/>
      <c r="H15" s="192"/>
      <c r="I15" s="192"/>
      <c r="J15" s="193"/>
      <c r="K15" s="193"/>
      <c r="L15" s="193"/>
      <c r="M15" s="106"/>
    </row>
    <row r="16" spans="1:17" ht="15" thickBot="1" x14ac:dyDescent="0.35">
      <c r="A16" s="296"/>
      <c r="B16" s="293" t="s">
        <v>104</v>
      </c>
      <c r="C16" s="107" t="s">
        <v>105</v>
      </c>
      <c r="D16" s="101" t="s">
        <v>96</v>
      </c>
      <c r="E16" s="194"/>
      <c r="F16" s="191"/>
      <c r="G16" s="191"/>
      <c r="H16" s="192"/>
      <c r="I16" s="192"/>
      <c r="J16" s="194"/>
      <c r="K16" s="191"/>
      <c r="L16" s="195"/>
      <c r="M16" s="106"/>
      <c r="N16" s="10"/>
    </row>
    <row r="17" spans="1:15" ht="15" thickBot="1" x14ac:dyDescent="0.35">
      <c r="A17" s="296"/>
      <c r="B17" s="298"/>
      <c r="C17" s="107" t="s">
        <v>106</v>
      </c>
      <c r="D17" s="101" t="s">
        <v>96</v>
      </c>
      <c r="E17" s="194"/>
      <c r="F17" s="191"/>
      <c r="G17" s="191"/>
      <c r="H17" s="192"/>
      <c r="I17" s="192"/>
      <c r="J17" s="193"/>
      <c r="K17" s="191"/>
      <c r="L17" s="191"/>
      <c r="M17" s="10"/>
      <c r="N17" s="10"/>
      <c r="O17" s="10"/>
    </row>
    <row r="18" spans="1:15" ht="15" thickBot="1" x14ac:dyDescent="0.35">
      <c r="A18" s="296"/>
      <c r="B18" s="298"/>
      <c r="C18" s="107" t="s">
        <v>107</v>
      </c>
      <c r="D18" s="101" t="s">
        <v>96</v>
      </c>
      <c r="E18" s="194"/>
      <c r="F18" s="191"/>
      <c r="G18" s="191"/>
      <c r="H18" s="192"/>
      <c r="I18" s="192"/>
      <c r="J18" s="194"/>
      <c r="K18" s="191"/>
      <c r="L18" s="191"/>
      <c r="N18" s="10"/>
      <c r="O18" s="10"/>
    </row>
    <row r="19" spans="1:15" ht="15" thickBot="1" x14ac:dyDescent="0.35">
      <c r="A19" s="296"/>
      <c r="B19" s="298"/>
      <c r="C19" s="107" t="s">
        <v>108</v>
      </c>
      <c r="D19" s="101" t="s">
        <v>96</v>
      </c>
      <c r="E19" s="193"/>
      <c r="F19" s="191"/>
      <c r="G19" s="191"/>
      <c r="H19" s="192"/>
      <c r="I19" s="192"/>
      <c r="J19" s="194"/>
      <c r="K19" s="191"/>
      <c r="L19" s="191"/>
      <c r="N19" s="10"/>
      <c r="O19" s="10"/>
    </row>
    <row r="20" spans="1:15" ht="15" thickBot="1" x14ac:dyDescent="0.35">
      <c r="A20" s="296"/>
      <c r="B20" s="298"/>
      <c r="C20" s="107" t="s">
        <v>109</v>
      </c>
      <c r="D20" s="101" t="s">
        <v>96</v>
      </c>
      <c r="E20" s="193"/>
      <c r="F20" s="191"/>
      <c r="G20" s="191"/>
      <c r="H20" s="192"/>
      <c r="I20" s="192"/>
      <c r="J20" s="194"/>
      <c r="K20" s="191"/>
      <c r="L20" s="191"/>
      <c r="N20" s="10"/>
      <c r="O20" s="10"/>
    </row>
    <row r="21" spans="1:15" ht="15" thickBot="1" x14ac:dyDescent="0.35">
      <c r="A21" s="296"/>
      <c r="B21" s="298"/>
      <c r="C21" s="107" t="s">
        <v>110</v>
      </c>
      <c r="D21" s="101" t="s">
        <v>96</v>
      </c>
      <c r="E21" s="193"/>
      <c r="F21" s="191"/>
      <c r="G21" s="191"/>
      <c r="H21" s="192"/>
      <c r="I21" s="192"/>
      <c r="J21" s="194"/>
      <c r="K21" s="191"/>
      <c r="L21" s="191"/>
      <c r="N21" s="10"/>
      <c r="O21" s="10"/>
    </row>
    <row r="22" spans="1:15" ht="15" thickBot="1" x14ac:dyDescent="0.35">
      <c r="A22" s="296"/>
      <c r="B22" s="298"/>
      <c r="C22" s="107" t="s">
        <v>111</v>
      </c>
      <c r="D22" s="101" t="s">
        <v>96</v>
      </c>
      <c r="E22" s="193"/>
      <c r="F22" s="191"/>
      <c r="G22" s="191"/>
      <c r="H22" s="192"/>
      <c r="I22" s="192"/>
      <c r="J22" s="194"/>
      <c r="K22" s="191"/>
      <c r="L22" s="191"/>
      <c r="N22" s="10"/>
      <c r="O22" s="10"/>
    </row>
    <row r="23" spans="1:15" ht="15" thickBot="1" x14ac:dyDescent="0.35">
      <c r="A23" s="296"/>
      <c r="B23" s="298"/>
      <c r="C23" s="107" t="s">
        <v>112</v>
      </c>
      <c r="D23" s="101" t="s">
        <v>96</v>
      </c>
      <c r="E23" s="193"/>
      <c r="F23" s="191"/>
      <c r="G23" s="191"/>
      <c r="H23" s="192"/>
      <c r="I23" s="192"/>
      <c r="J23" s="194"/>
      <c r="K23" s="191"/>
      <c r="L23" s="191"/>
      <c r="N23" s="10"/>
      <c r="O23" s="10"/>
    </row>
    <row r="24" spans="1:15" ht="15" thickBot="1" x14ac:dyDescent="0.35">
      <c r="A24" s="296"/>
      <c r="B24" s="298"/>
      <c r="C24" s="107" t="s">
        <v>113</v>
      </c>
      <c r="D24" s="101" t="s">
        <v>96</v>
      </c>
      <c r="E24" s="194"/>
      <c r="F24" s="191"/>
      <c r="G24" s="191"/>
      <c r="H24" s="192"/>
      <c r="I24" s="192"/>
      <c r="J24" s="194"/>
      <c r="K24" s="191"/>
      <c r="L24" s="191"/>
      <c r="N24" s="10"/>
      <c r="O24" s="10"/>
    </row>
    <row r="25" spans="1:15" ht="15" thickBot="1" x14ac:dyDescent="0.35">
      <c r="A25" s="296"/>
      <c r="B25" s="298"/>
      <c r="C25" s="107" t="s">
        <v>114</v>
      </c>
      <c r="D25" s="101" t="s">
        <v>96</v>
      </c>
      <c r="E25" s="194"/>
      <c r="F25" s="191"/>
      <c r="G25" s="191"/>
      <c r="H25" s="192"/>
      <c r="I25" s="192"/>
      <c r="J25" s="194"/>
      <c r="K25" s="191"/>
      <c r="L25" s="191"/>
      <c r="N25" s="10"/>
      <c r="O25" s="10"/>
    </row>
    <row r="26" spans="1:15" ht="15" thickBot="1" x14ac:dyDescent="0.35">
      <c r="A26" s="296"/>
      <c r="B26" s="298"/>
      <c r="C26" s="107" t="s">
        <v>115</v>
      </c>
      <c r="D26" s="101" t="s">
        <v>96</v>
      </c>
      <c r="E26" s="193"/>
      <c r="F26" s="191"/>
      <c r="G26" s="191"/>
      <c r="H26" s="192"/>
      <c r="I26" s="192"/>
      <c r="J26" s="194"/>
      <c r="K26" s="191"/>
      <c r="L26" s="191"/>
      <c r="N26" s="10"/>
      <c r="O26" s="10"/>
    </row>
    <row r="27" spans="1:15" ht="15" thickBot="1" x14ac:dyDescent="0.35">
      <c r="A27" s="297"/>
      <c r="B27" s="294"/>
      <c r="C27" s="107" t="s">
        <v>116</v>
      </c>
      <c r="D27" s="101" t="s">
        <v>96</v>
      </c>
      <c r="E27" s="194"/>
      <c r="F27" s="191"/>
      <c r="G27" s="191"/>
      <c r="H27" s="192"/>
      <c r="I27" s="192"/>
      <c r="J27" s="194"/>
      <c r="K27" s="191"/>
      <c r="L27" s="191"/>
      <c r="N27" s="10"/>
      <c r="O27" s="10"/>
    </row>
    <row r="28" spans="1:15" ht="15.75" customHeight="1" thickBot="1" x14ac:dyDescent="0.35">
      <c r="A28" s="295" t="s">
        <v>117</v>
      </c>
      <c r="B28" s="293" t="s">
        <v>95</v>
      </c>
      <c r="C28" s="293" t="s">
        <v>96</v>
      </c>
      <c r="D28" s="101" t="s">
        <v>97</v>
      </c>
      <c r="E28" s="193"/>
      <c r="F28" s="193"/>
      <c r="G28" s="193"/>
      <c r="H28" s="192"/>
      <c r="I28" s="192"/>
      <c r="J28" s="193"/>
      <c r="K28" s="193"/>
      <c r="L28" s="193"/>
      <c r="N28" s="10"/>
      <c r="O28" s="10"/>
    </row>
    <row r="29" spans="1:15" ht="15" thickBot="1" x14ac:dyDescent="0.35">
      <c r="A29" s="296"/>
      <c r="B29" s="294"/>
      <c r="C29" s="294"/>
      <c r="D29" s="101" t="s">
        <v>99</v>
      </c>
      <c r="E29" s="193"/>
      <c r="F29" s="193"/>
      <c r="G29" s="193"/>
      <c r="H29" s="192"/>
      <c r="I29" s="192"/>
      <c r="J29" s="193"/>
      <c r="K29" s="193"/>
      <c r="L29" s="193"/>
      <c r="N29" s="10"/>
      <c r="O29" s="10"/>
    </row>
    <row r="30" spans="1:15" ht="15" thickBot="1" x14ac:dyDescent="0.35">
      <c r="A30" s="296"/>
      <c r="B30" s="293" t="s">
        <v>100</v>
      </c>
      <c r="C30" s="293" t="s">
        <v>96</v>
      </c>
      <c r="D30" s="101" t="s">
        <v>97</v>
      </c>
      <c r="E30" s="193"/>
      <c r="F30" s="193"/>
      <c r="G30" s="191"/>
      <c r="H30" s="192"/>
      <c r="I30" s="192"/>
      <c r="J30" s="193"/>
      <c r="K30" s="193"/>
      <c r="L30" s="191"/>
      <c r="N30" s="10"/>
      <c r="O30" s="10"/>
    </row>
    <row r="31" spans="1:15" ht="15" thickBot="1" x14ac:dyDescent="0.35">
      <c r="A31" s="296"/>
      <c r="B31" s="294"/>
      <c r="C31" s="294"/>
      <c r="D31" s="101" t="s">
        <v>99</v>
      </c>
      <c r="E31" s="193"/>
      <c r="F31" s="193"/>
      <c r="G31" s="191"/>
      <c r="H31" s="192"/>
      <c r="I31" s="192"/>
      <c r="J31" s="193"/>
      <c r="K31" s="193"/>
      <c r="L31" s="191"/>
      <c r="N31" s="10"/>
      <c r="O31" s="10"/>
    </row>
    <row r="32" spans="1:15" ht="15" thickBot="1" x14ac:dyDescent="0.35">
      <c r="A32" s="296"/>
      <c r="B32" s="293" t="s">
        <v>102</v>
      </c>
      <c r="C32" s="293"/>
      <c r="D32" s="101" t="s">
        <v>97</v>
      </c>
      <c r="E32" s="193"/>
      <c r="F32" s="193"/>
      <c r="G32" s="193"/>
      <c r="H32" s="192"/>
      <c r="I32" s="192"/>
      <c r="J32" s="193"/>
      <c r="K32" s="193"/>
      <c r="L32" s="193"/>
      <c r="N32" s="10"/>
      <c r="O32" s="10"/>
    </row>
    <row r="33" spans="1:15" ht="15" thickBot="1" x14ac:dyDescent="0.35">
      <c r="A33" s="296"/>
      <c r="B33" s="298"/>
      <c r="C33" s="298"/>
      <c r="D33" s="101" t="s">
        <v>99</v>
      </c>
      <c r="E33" s="193"/>
      <c r="F33" s="193"/>
      <c r="G33" s="193"/>
      <c r="H33" s="192"/>
      <c r="I33" s="192"/>
      <c r="J33" s="193"/>
      <c r="K33" s="193"/>
      <c r="L33" s="193"/>
      <c r="N33" s="10"/>
      <c r="O33" s="10"/>
    </row>
    <row r="34" spans="1:15" ht="15" thickBot="1" x14ac:dyDescent="0.35">
      <c r="A34" s="296"/>
      <c r="B34" s="294"/>
      <c r="C34" s="294"/>
      <c r="D34" s="101" t="s">
        <v>96</v>
      </c>
      <c r="E34" s="193"/>
      <c r="F34" s="193"/>
      <c r="G34" s="193"/>
      <c r="H34" s="192"/>
      <c r="I34" s="192"/>
      <c r="J34" s="193"/>
      <c r="K34" s="193"/>
      <c r="L34" s="193"/>
      <c r="N34" s="10"/>
      <c r="O34" s="10"/>
    </row>
    <row r="35" spans="1:15" ht="15" thickBot="1" x14ac:dyDescent="0.35">
      <c r="A35" s="297"/>
      <c r="B35" s="101" t="s">
        <v>104</v>
      </c>
      <c r="C35" s="101" t="s">
        <v>96</v>
      </c>
      <c r="D35" s="101" t="s">
        <v>96</v>
      </c>
      <c r="E35" s="193"/>
      <c r="F35" s="193"/>
      <c r="G35" s="193"/>
      <c r="H35" s="192"/>
      <c r="I35" s="192"/>
      <c r="J35" s="193"/>
      <c r="K35" s="193"/>
      <c r="L35" s="193"/>
      <c r="N35" s="10"/>
      <c r="O35" s="10"/>
    </row>
    <row r="36" spans="1:15" ht="15.75" customHeight="1" thickBot="1" x14ac:dyDescent="0.35">
      <c r="A36" s="295" t="s">
        <v>118</v>
      </c>
      <c r="B36" s="293" t="s">
        <v>95</v>
      </c>
      <c r="C36" s="293" t="s">
        <v>96</v>
      </c>
      <c r="D36" s="101" t="s">
        <v>97</v>
      </c>
      <c r="E36" s="193"/>
      <c r="F36" s="193"/>
      <c r="G36" s="193"/>
      <c r="H36" s="192"/>
      <c r="I36" s="192"/>
      <c r="J36" s="193"/>
      <c r="K36" s="193"/>
      <c r="L36" s="193"/>
      <c r="M36" s="103"/>
      <c r="N36" s="10"/>
      <c r="O36" s="10"/>
    </row>
    <row r="37" spans="1:15" ht="15" thickBot="1" x14ac:dyDescent="0.35">
      <c r="A37" s="296"/>
      <c r="B37" s="294"/>
      <c r="C37" s="294"/>
      <c r="D37" s="101" t="s">
        <v>99</v>
      </c>
      <c r="E37" s="193"/>
      <c r="F37" s="193"/>
      <c r="G37" s="193"/>
      <c r="H37" s="192"/>
      <c r="I37" s="192"/>
      <c r="J37" s="193"/>
      <c r="K37" s="193"/>
      <c r="L37" s="193"/>
      <c r="M37" s="103"/>
      <c r="N37" s="10"/>
      <c r="O37" s="10"/>
    </row>
    <row r="38" spans="1:15" ht="15" thickBot="1" x14ac:dyDescent="0.35">
      <c r="A38" s="296"/>
      <c r="B38" s="293" t="s">
        <v>100</v>
      </c>
      <c r="C38" s="293" t="s">
        <v>96</v>
      </c>
      <c r="D38" s="101" t="s">
        <v>97</v>
      </c>
      <c r="E38" s="193"/>
      <c r="F38" s="193"/>
      <c r="G38" s="193"/>
      <c r="H38" s="192"/>
      <c r="I38" s="192"/>
      <c r="J38" s="193"/>
      <c r="K38" s="193"/>
      <c r="L38" s="193"/>
      <c r="M38" s="104"/>
      <c r="N38" s="10"/>
      <c r="O38" s="10"/>
    </row>
    <row r="39" spans="1:15" ht="15" thickBot="1" x14ac:dyDescent="0.35">
      <c r="A39" s="296"/>
      <c r="B39" s="294"/>
      <c r="C39" s="294"/>
      <c r="D39" s="101" t="s">
        <v>99</v>
      </c>
      <c r="E39" s="193"/>
      <c r="F39" s="193"/>
      <c r="G39" s="193"/>
      <c r="H39" s="192"/>
      <c r="I39" s="192"/>
      <c r="J39" s="193"/>
      <c r="K39" s="193"/>
      <c r="L39" s="193"/>
      <c r="M39" s="10"/>
      <c r="N39" s="10"/>
      <c r="O39" s="10"/>
    </row>
    <row r="40" spans="1:15" ht="15" thickBot="1" x14ac:dyDescent="0.35">
      <c r="A40" s="296"/>
      <c r="B40" s="293" t="s">
        <v>22</v>
      </c>
      <c r="C40" s="293" t="s">
        <v>96</v>
      </c>
      <c r="D40" s="101" t="s">
        <v>96</v>
      </c>
      <c r="E40" s="193"/>
      <c r="F40" s="193"/>
      <c r="G40" s="193"/>
      <c r="H40" s="192"/>
      <c r="I40" s="192"/>
      <c r="J40" s="193"/>
      <c r="K40" s="193"/>
      <c r="L40" s="193"/>
      <c r="M40" s="103"/>
      <c r="N40" s="10"/>
      <c r="O40" s="10"/>
    </row>
    <row r="41" spans="1:15" ht="15" thickBot="1" x14ac:dyDescent="0.35">
      <c r="A41" s="296"/>
      <c r="B41" s="298"/>
      <c r="C41" s="298"/>
      <c r="D41" s="101" t="s">
        <v>97</v>
      </c>
      <c r="E41" s="193"/>
      <c r="F41" s="193"/>
      <c r="G41" s="193"/>
      <c r="H41" s="192"/>
      <c r="I41" s="192"/>
      <c r="J41" s="193"/>
      <c r="K41" s="193"/>
      <c r="L41" s="193"/>
      <c r="M41" s="103"/>
      <c r="N41" s="10"/>
      <c r="O41" s="10"/>
    </row>
    <row r="42" spans="1:15" ht="15" thickBot="1" x14ac:dyDescent="0.35">
      <c r="A42" s="296"/>
      <c r="B42" s="294"/>
      <c r="C42" s="294"/>
      <c r="D42" s="101" t="s">
        <v>99</v>
      </c>
      <c r="E42" s="193"/>
      <c r="F42" s="193"/>
      <c r="G42" s="193"/>
      <c r="H42" s="192"/>
      <c r="I42" s="192"/>
      <c r="J42" s="193"/>
      <c r="K42" s="193"/>
      <c r="L42" s="193"/>
      <c r="M42" s="103"/>
      <c r="N42" s="10"/>
      <c r="O42" s="10"/>
    </row>
    <row r="43" spans="1:15" ht="15" thickBot="1" x14ac:dyDescent="0.35">
      <c r="A43" s="296"/>
      <c r="B43" s="293" t="s">
        <v>119</v>
      </c>
      <c r="C43" s="293" t="s">
        <v>96</v>
      </c>
      <c r="D43" s="101" t="s">
        <v>96</v>
      </c>
      <c r="E43" s="193"/>
      <c r="F43" s="193"/>
      <c r="G43" s="193"/>
      <c r="H43" s="192"/>
      <c r="I43" s="192"/>
      <c r="J43" s="193"/>
      <c r="K43" s="193"/>
      <c r="L43" s="193"/>
      <c r="M43" s="10"/>
      <c r="N43" s="10"/>
      <c r="O43" s="10"/>
    </row>
    <row r="44" spans="1:15" ht="15" thickBot="1" x14ac:dyDescent="0.35">
      <c r="A44" s="296"/>
      <c r="B44" s="298"/>
      <c r="C44" s="298"/>
      <c r="D44" s="101" t="s">
        <v>97</v>
      </c>
      <c r="E44" s="193"/>
      <c r="F44" s="193"/>
      <c r="G44" s="193"/>
      <c r="H44" s="192"/>
      <c r="I44" s="192"/>
      <c r="J44" s="193"/>
      <c r="K44" s="193"/>
      <c r="L44" s="193"/>
      <c r="N44" s="10"/>
      <c r="O44" s="10"/>
    </row>
    <row r="45" spans="1:15" ht="15" thickBot="1" x14ac:dyDescent="0.35">
      <c r="A45" s="296"/>
      <c r="B45" s="294"/>
      <c r="C45" s="294"/>
      <c r="D45" s="101" t="s">
        <v>99</v>
      </c>
      <c r="E45" s="193"/>
      <c r="F45" s="193"/>
      <c r="G45" s="193"/>
      <c r="H45" s="192"/>
      <c r="I45" s="192"/>
      <c r="J45" s="193"/>
      <c r="K45" s="193"/>
      <c r="L45" s="193"/>
      <c r="N45" s="10"/>
      <c r="O45" s="10"/>
    </row>
    <row r="46" spans="1:15" ht="15" thickBot="1" x14ac:dyDescent="0.35">
      <c r="A46" s="296"/>
      <c r="B46" s="108" t="s">
        <v>120</v>
      </c>
      <c r="C46" s="108" t="s">
        <v>96</v>
      </c>
      <c r="D46" s="108" t="s">
        <v>96</v>
      </c>
      <c r="E46" s="193"/>
      <c r="F46" s="191"/>
      <c r="G46" s="191"/>
      <c r="H46" s="192"/>
      <c r="I46" s="192"/>
      <c r="J46" s="193"/>
      <c r="K46" s="193"/>
      <c r="L46" s="193"/>
      <c r="N46" s="10"/>
      <c r="O46" s="10"/>
    </row>
    <row r="47" spans="1:15" ht="15" thickBot="1" x14ac:dyDescent="0.35">
      <c r="A47" s="297"/>
      <c r="B47" s="101" t="s">
        <v>104</v>
      </c>
      <c r="C47" s="101" t="s">
        <v>96</v>
      </c>
      <c r="D47" s="101" t="s">
        <v>96</v>
      </c>
      <c r="E47" s="193"/>
      <c r="F47" s="193"/>
      <c r="G47" s="193"/>
      <c r="H47" s="192"/>
      <c r="I47" s="192"/>
      <c r="J47" s="193"/>
      <c r="K47" s="193"/>
      <c r="L47" s="193"/>
      <c r="N47" s="10"/>
      <c r="O47" s="10"/>
    </row>
    <row r="48" spans="1:15" ht="15.75" customHeight="1" thickBot="1" x14ac:dyDescent="0.35">
      <c r="A48" s="295" t="s">
        <v>121</v>
      </c>
      <c r="B48" s="293" t="s">
        <v>95</v>
      </c>
      <c r="C48" s="293" t="s">
        <v>96</v>
      </c>
      <c r="D48" s="101" t="s">
        <v>97</v>
      </c>
      <c r="E48" s="193"/>
      <c r="F48" s="193"/>
      <c r="G48" s="193"/>
      <c r="H48" s="192"/>
      <c r="I48" s="192"/>
      <c r="J48" s="193"/>
      <c r="K48" s="193"/>
      <c r="L48" s="193"/>
      <c r="N48" s="10"/>
      <c r="O48" s="10"/>
    </row>
    <row r="49" spans="1:15" ht="15" thickBot="1" x14ac:dyDescent="0.35">
      <c r="A49" s="296"/>
      <c r="B49" s="294"/>
      <c r="C49" s="294"/>
      <c r="D49" s="101" t="s">
        <v>99</v>
      </c>
      <c r="E49" s="193"/>
      <c r="F49" s="193"/>
      <c r="G49" s="193"/>
      <c r="H49" s="192"/>
      <c r="I49" s="192"/>
      <c r="J49" s="193"/>
      <c r="K49" s="193"/>
      <c r="L49" s="193"/>
      <c r="M49" s="103"/>
      <c r="N49" s="10"/>
      <c r="O49" s="10"/>
    </row>
    <row r="50" spans="1:15" ht="15" thickBot="1" x14ac:dyDescent="0.35">
      <c r="A50" s="296"/>
      <c r="B50" s="293" t="s">
        <v>100</v>
      </c>
      <c r="C50" s="293" t="s">
        <v>96</v>
      </c>
      <c r="D50" s="101" t="s">
        <v>97</v>
      </c>
      <c r="E50" s="193"/>
      <c r="F50" s="193"/>
      <c r="G50" s="193"/>
      <c r="H50" s="192"/>
      <c r="I50" s="192"/>
      <c r="J50" s="193"/>
      <c r="K50" s="193"/>
      <c r="L50" s="193"/>
      <c r="M50" s="103"/>
      <c r="N50" s="10"/>
      <c r="O50" s="10"/>
    </row>
    <row r="51" spans="1:15" ht="15" thickBot="1" x14ac:dyDescent="0.35">
      <c r="A51" s="296"/>
      <c r="B51" s="294"/>
      <c r="C51" s="294"/>
      <c r="D51" s="101" t="s">
        <v>99</v>
      </c>
      <c r="E51" s="193"/>
      <c r="F51" s="193"/>
      <c r="G51" s="193"/>
      <c r="H51" s="192"/>
      <c r="I51" s="192"/>
      <c r="J51" s="193"/>
      <c r="K51" s="193"/>
      <c r="L51" s="193"/>
      <c r="M51" s="104"/>
      <c r="N51" s="10"/>
      <c r="O51" s="10"/>
    </row>
    <row r="52" spans="1:15" ht="15" thickBot="1" x14ac:dyDescent="0.35">
      <c r="A52" s="296"/>
      <c r="B52" s="293" t="s">
        <v>22</v>
      </c>
      <c r="C52" s="293" t="s">
        <v>96</v>
      </c>
      <c r="D52" s="101" t="s">
        <v>96</v>
      </c>
      <c r="E52" s="193"/>
      <c r="F52" s="193"/>
      <c r="G52" s="193"/>
      <c r="H52" s="192"/>
      <c r="I52" s="192"/>
      <c r="J52" s="193"/>
      <c r="K52" s="193"/>
      <c r="L52" s="193"/>
      <c r="M52" s="10"/>
      <c r="N52" s="10"/>
      <c r="O52" s="10"/>
    </row>
    <row r="53" spans="1:15" ht="15" thickBot="1" x14ac:dyDescent="0.35">
      <c r="A53" s="296"/>
      <c r="B53" s="298"/>
      <c r="C53" s="298"/>
      <c r="D53" s="101" t="s">
        <v>97</v>
      </c>
      <c r="E53" s="193"/>
      <c r="F53" s="193"/>
      <c r="G53" s="193"/>
      <c r="H53" s="192"/>
      <c r="I53" s="192"/>
      <c r="J53" s="193"/>
      <c r="K53" s="193"/>
      <c r="L53" s="193"/>
      <c r="M53" s="103"/>
      <c r="N53" s="10"/>
      <c r="O53" s="10"/>
    </row>
    <row r="54" spans="1:15" ht="15" thickBot="1" x14ac:dyDescent="0.35">
      <c r="A54" s="296"/>
      <c r="B54" s="294"/>
      <c r="C54" s="294"/>
      <c r="D54" s="101" t="s">
        <v>99</v>
      </c>
      <c r="E54" s="193"/>
      <c r="F54" s="193"/>
      <c r="G54" s="193"/>
      <c r="H54" s="192"/>
      <c r="I54" s="192"/>
      <c r="J54" s="193"/>
      <c r="K54" s="193"/>
      <c r="L54" s="193"/>
      <c r="M54" s="103"/>
      <c r="N54" s="10"/>
      <c r="O54" s="10"/>
    </row>
    <row r="55" spans="1:15" ht="15" thickBot="1" x14ac:dyDescent="0.35">
      <c r="A55" s="296"/>
      <c r="B55" s="293" t="s">
        <v>119</v>
      </c>
      <c r="C55" s="293" t="s">
        <v>96</v>
      </c>
      <c r="D55" s="101" t="s">
        <v>96</v>
      </c>
      <c r="E55" s="193"/>
      <c r="F55" s="193"/>
      <c r="G55" s="193"/>
      <c r="H55" s="192"/>
      <c r="I55" s="192"/>
      <c r="J55" s="193"/>
      <c r="K55" s="193"/>
      <c r="L55" s="193"/>
      <c r="M55" s="103"/>
      <c r="N55" s="10"/>
      <c r="O55" s="10"/>
    </row>
    <row r="56" spans="1:15" ht="15" thickBot="1" x14ac:dyDescent="0.35">
      <c r="A56" s="296"/>
      <c r="B56" s="298"/>
      <c r="C56" s="298"/>
      <c r="D56" s="101" t="s">
        <v>97</v>
      </c>
      <c r="E56" s="193"/>
      <c r="F56" s="193"/>
      <c r="G56" s="193"/>
      <c r="H56" s="192"/>
      <c r="I56" s="192"/>
      <c r="J56" s="193"/>
      <c r="K56" s="193"/>
      <c r="L56" s="193"/>
      <c r="M56" s="10"/>
      <c r="N56" s="10"/>
      <c r="O56" s="10"/>
    </row>
    <row r="57" spans="1:15" ht="15" thickBot="1" x14ac:dyDescent="0.35">
      <c r="A57" s="296"/>
      <c r="B57" s="294"/>
      <c r="C57" s="294"/>
      <c r="D57" s="101" t="s">
        <v>99</v>
      </c>
      <c r="E57" s="193"/>
      <c r="F57" s="193"/>
      <c r="G57" s="193"/>
      <c r="H57" s="192"/>
      <c r="I57" s="192"/>
      <c r="J57" s="193"/>
      <c r="K57" s="193"/>
      <c r="L57" s="193"/>
      <c r="N57" s="10"/>
      <c r="O57" s="10"/>
    </row>
    <row r="58" spans="1:15" ht="15" thickBot="1" x14ac:dyDescent="0.35">
      <c r="A58" s="296"/>
      <c r="B58" s="101" t="s">
        <v>120</v>
      </c>
      <c r="C58" s="101" t="s">
        <v>96</v>
      </c>
      <c r="D58" s="101" t="s">
        <v>96</v>
      </c>
      <c r="E58" s="193"/>
      <c r="F58" s="193"/>
      <c r="G58" s="193"/>
      <c r="H58" s="192"/>
      <c r="I58" s="192"/>
      <c r="J58" s="193"/>
      <c r="K58" s="193"/>
      <c r="L58" s="193"/>
      <c r="N58" s="10"/>
      <c r="O58" s="10"/>
    </row>
    <row r="59" spans="1:15" ht="15" thickBot="1" x14ac:dyDescent="0.35">
      <c r="A59" s="296"/>
      <c r="B59" s="293" t="s">
        <v>102</v>
      </c>
      <c r="C59" s="299" t="s">
        <v>122</v>
      </c>
      <c r="D59" s="101" t="s">
        <v>97</v>
      </c>
      <c r="E59" s="193"/>
      <c r="F59" s="193"/>
      <c r="G59" s="193"/>
      <c r="H59" s="192"/>
      <c r="I59" s="192"/>
      <c r="J59" s="193"/>
      <c r="K59" s="193"/>
      <c r="L59" s="193"/>
      <c r="N59" s="10"/>
      <c r="O59" s="10"/>
    </row>
    <row r="60" spans="1:15" ht="15" thickBot="1" x14ac:dyDescent="0.35">
      <c r="A60" s="296"/>
      <c r="B60" s="298"/>
      <c r="C60" s="300"/>
      <c r="D60" s="101" t="s">
        <v>99</v>
      </c>
      <c r="E60" s="193"/>
      <c r="F60" s="193"/>
      <c r="G60" s="193"/>
      <c r="H60" s="192"/>
      <c r="I60" s="192"/>
      <c r="J60" s="193"/>
      <c r="K60" s="193"/>
      <c r="L60" s="193"/>
      <c r="N60" s="10"/>
      <c r="O60" s="10"/>
    </row>
    <row r="61" spans="1:15" ht="15" thickBot="1" x14ac:dyDescent="0.35">
      <c r="A61" s="296"/>
      <c r="B61" s="294"/>
      <c r="C61" s="301"/>
      <c r="D61" s="101" t="s">
        <v>96</v>
      </c>
      <c r="E61" s="193"/>
      <c r="F61" s="193"/>
      <c r="G61" s="193"/>
      <c r="H61" s="192"/>
      <c r="I61" s="192"/>
      <c r="J61" s="193"/>
      <c r="K61" s="193"/>
      <c r="L61" s="193"/>
      <c r="N61" s="10"/>
      <c r="O61" s="10"/>
    </row>
    <row r="62" spans="1:15" ht="15" thickBot="1" x14ac:dyDescent="0.35">
      <c r="A62" s="297"/>
      <c r="B62" s="101" t="s">
        <v>104</v>
      </c>
      <c r="C62" s="101" t="s">
        <v>96</v>
      </c>
      <c r="D62" s="101" t="s">
        <v>96</v>
      </c>
      <c r="E62" s="193"/>
      <c r="F62" s="193"/>
      <c r="G62" s="193"/>
      <c r="H62" s="192"/>
      <c r="I62" s="192"/>
      <c r="J62" s="193"/>
      <c r="K62" s="193"/>
      <c r="L62" s="193"/>
      <c r="N62" s="10"/>
      <c r="O62" s="10"/>
    </row>
    <row r="63" spans="1:15" ht="15" thickBot="1" x14ac:dyDescent="0.35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5" ht="15" thickBot="1" x14ac:dyDescent="0.35">
      <c r="A64" s="284" t="s">
        <v>123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6"/>
    </row>
    <row r="65" spans="1:17" ht="15.75" customHeight="1" thickBot="1" x14ac:dyDescent="0.35">
      <c r="A65" s="305" t="s">
        <v>75</v>
      </c>
      <c r="B65" s="305" t="s">
        <v>76</v>
      </c>
      <c r="C65" s="305" t="s">
        <v>124</v>
      </c>
      <c r="D65" s="305" t="s">
        <v>125</v>
      </c>
      <c r="E65" s="305" t="s">
        <v>78</v>
      </c>
      <c r="F65" s="308" t="s">
        <v>79</v>
      </c>
      <c r="G65" s="309"/>
      <c r="H65" s="309"/>
      <c r="I65" s="309"/>
      <c r="J65" s="310"/>
      <c r="K65" s="308" t="s">
        <v>126</v>
      </c>
      <c r="L65" s="309"/>
      <c r="M65" s="310"/>
    </row>
    <row r="66" spans="1:17" ht="15" thickBot="1" x14ac:dyDescent="0.35">
      <c r="A66" s="306"/>
      <c r="B66" s="306"/>
      <c r="C66" s="306"/>
      <c r="D66" s="306"/>
      <c r="E66" s="306"/>
      <c r="F66" s="302" t="s">
        <v>0</v>
      </c>
      <c r="G66" s="304"/>
      <c r="H66" s="302" t="s">
        <v>1</v>
      </c>
      <c r="I66" s="303"/>
      <c r="J66" s="304"/>
      <c r="K66" s="302" t="s">
        <v>0</v>
      </c>
      <c r="L66" s="304"/>
      <c r="M66" s="110" t="s">
        <v>1</v>
      </c>
    </row>
    <row r="67" spans="1:17" ht="15" thickBot="1" x14ac:dyDescent="0.35">
      <c r="A67" s="307"/>
      <c r="B67" s="307"/>
      <c r="C67" s="307"/>
      <c r="D67" s="307"/>
      <c r="E67" s="307"/>
      <c r="F67" s="111" t="s">
        <v>13</v>
      </c>
      <c r="G67" s="111" t="s">
        <v>88</v>
      </c>
      <c r="H67" s="112" t="s">
        <v>89</v>
      </c>
      <c r="I67" s="113" t="s">
        <v>90</v>
      </c>
      <c r="J67" s="114" t="s">
        <v>91</v>
      </c>
      <c r="K67" s="111" t="s">
        <v>13</v>
      </c>
      <c r="L67" s="111" t="s">
        <v>88</v>
      </c>
      <c r="M67" s="111" t="s">
        <v>88</v>
      </c>
      <c r="O67" s="103"/>
    </row>
    <row r="68" spans="1:17" ht="15" thickBot="1" x14ac:dyDescent="0.35">
      <c r="A68" s="295" t="s">
        <v>11</v>
      </c>
      <c r="B68" s="311" t="s">
        <v>127</v>
      </c>
      <c r="C68" s="311" t="s">
        <v>128</v>
      </c>
      <c r="D68" s="311" t="s">
        <v>128</v>
      </c>
      <c r="E68" s="115" t="s">
        <v>97</v>
      </c>
      <c r="F68" s="199">
        <v>0</v>
      </c>
      <c r="G68" s="193">
        <v>937.61</v>
      </c>
      <c r="H68" s="193">
        <v>484.48</v>
      </c>
      <c r="I68" s="192"/>
      <c r="J68" s="192"/>
      <c r="K68" s="193">
        <v>0</v>
      </c>
      <c r="L68" s="193">
        <v>918.51</v>
      </c>
      <c r="M68" s="193">
        <v>492.47</v>
      </c>
      <c r="O68" s="103"/>
      <c r="P68" s="10"/>
      <c r="Q68" s="116"/>
    </row>
    <row r="69" spans="1:17" ht="15" thickBot="1" x14ac:dyDescent="0.35">
      <c r="A69" s="296"/>
      <c r="B69" s="312"/>
      <c r="C69" s="312"/>
      <c r="D69" s="312"/>
      <c r="E69" s="115" t="s">
        <v>129</v>
      </c>
      <c r="F69" s="199">
        <v>0</v>
      </c>
      <c r="G69" s="193">
        <v>651.29</v>
      </c>
      <c r="H69" s="193">
        <v>305.79000000000002</v>
      </c>
      <c r="I69" s="192"/>
      <c r="J69" s="192"/>
      <c r="K69" s="193">
        <v>0</v>
      </c>
      <c r="L69" s="193">
        <v>634.94000000000005</v>
      </c>
      <c r="M69" s="193">
        <v>316.45999999999998</v>
      </c>
      <c r="O69" s="104"/>
      <c r="P69" s="10"/>
    </row>
    <row r="70" spans="1:17" ht="15" thickBot="1" x14ac:dyDescent="0.35">
      <c r="A70" s="296"/>
      <c r="B70" s="313"/>
      <c r="C70" s="313"/>
      <c r="D70" s="313"/>
      <c r="E70" s="115" t="s">
        <v>99</v>
      </c>
      <c r="F70" s="199">
        <v>0</v>
      </c>
      <c r="G70" s="193">
        <v>364.96</v>
      </c>
      <c r="H70" s="193">
        <v>305.79000000000002</v>
      </c>
      <c r="I70" s="192"/>
      <c r="J70" s="192"/>
      <c r="K70" s="193">
        <v>0</v>
      </c>
      <c r="L70" s="193">
        <v>351.38</v>
      </c>
      <c r="M70" s="193">
        <v>316.45999999999998</v>
      </c>
      <c r="O70" s="10"/>
      <c r="P70" s="10"/>
    </row>
    <row r="71" spans="1:17" ht="15" thickBot="1" x14ac:dyDescent="0.35">
      <c r="A71" s="296"/>
      <c r="B71" s="311" t="s">
        <v>120</v>
      </c>
      <c r="C71" s="311" t="s">
        <v>128</v>
      </c>
      <c r="D71" s="117" t="s">
        <v>128</v>
      </c>
      <c r="E71" s="115" t="s">
        <v>96</v>
      </c>
      <c r="F71" s="200">
        <v>0</v>
      </c>
      <c r="G71" s="193">
        <v>468.63</v>
      </c>
      <c r="H71" s="193">
        <v>320.68</v>
      </c>
      <c r="I71" s="192"/>
      <c r="J71" s="192"/>
      <c r="K71" s="191">
        <v>0</v>
      </c>
      <c r="L71" s="193">
        <v>454.05</v>
      </c>
      <c r="M71" s="193">
        <v>331.12</v>
      </c>
      <c r="O71" s="103"/>
      <c r="P71" s="10"/>
    </row>
    <row r="72" spans="1:17" ht="15" thickBot="1" x14ac:dyDescent="0.35">
      <c r="A72" s="296"/>
      <c r="B72" s="312"/>
      <c r="C72" s="312"/>
      <c r="D72" s="117" t="s">
        <v>130</v>
      </c>
      <c r="E72" s="115" t="s">
        <v>96</v>
      </c>
      <c r="F72" s="200">
        <v>0</v>
      </c>
      <c r="G72" s="193">
        <v>325.43</v>
      </c>
      <c r="H72" s="193">
        <v>282.45</v>
      </c>
      <c r="I72" s="192"/>
      <c r="J72" s="192"/>
      <c r="K72" s="191">
        <v>0</v>
      </c>
      <c r="L72" s="193"/>
      <c r="M72" s="193"/>
      <c r="O72" s="103"/>
      <c r="P72" s="10"/>
    </row>
    <row r="73" spans="1:17" ht="15" thickBot="1" x14ac:dyDescent="0.35">
      <c r="A73" s="297"/>
      <c r="B73" s="313"/>
      <c r="C73" s="313"/>
      <c r="D73" s="266" t="s">
        <v>244</v>
      </c>
      <c r="E73" s="115" t="s">
        <v>96</v>
      </c>
      <c r="F73" s="200"/>
      <c r="G73" s="193">
        <v>340.19</v>
      </c>
      <c r="H73" s="193">
        <v>296.66000000000003</v>
      </c>
      <c r="I73" s="192"/>
      <c r="J73" s="192"/>
      <c r="K73" s="191"/>
      <c r="L73" s="193"/>
      <c r="M73" s="193"/>
      <c r="O73" s="103"/>
      <c r="P73" s="10"/>
    </row>
    <row r="74" spans="1:17" ht="15" thickBot="1" x14ac:dyDescent="0.35">
      <c r="A74" s="295" t="s">
        <v>12</v>
      </c>
      <c r="B74" s="311" t="s">
        <v>127</v>
      </c>
      <c r="C74" s="311" t="s">
        <v>131</v>
      </c>
      <c r="D74" s="311" t="s">
        <v>96</v>
      </c>
      <c r="E74" s="115" t="s">
        <v>97</v>
      </c>
      <c r="F74" s="199">
        <v>0</v>
      </c>
      <c r="G74" s="193">
        <v>1061.03</v>
      </c>
      <c r="H74" s="193">
        <v>484.48</v>
      </c>
      <c r="I74" s="192"/>
      <c r="J74" s="192"/>
      <c r="K74" s="193">
        <v>0</v>
      </c>
      <c r="L74" s="193">
        <v>1040.73</v>
      </c>
      <c r="M74" s="193">
        <v>492.47</v>
      </c>
      <c r="O74" s="103"/>
      <c r="P74" s="10"/>
    </row>
    <row r="75" spans="1:17" ht="15" thickBot="1" x14ac:dyDescent="0.35">
      <c r="A75" s="296"/>
      <c r="B75" s="312"/>
      <c r="C75" s="312"/>
      <c r="D75" s="312"/>
      <c r="E75" s="115" t="s">
        <v>129</v>
      </c>
      <c r="F75" s="199">
        <v>0</v>
      </c>
      <c r="G75" s="193">
        <v>725.34</v>
      </c>
      <c r="H75" s="193">
        <v>305.79000000000002</v>
      </c>
      <c r="I75" s="192"/>
      <c r="J75" s="192"/>
      <c r="K75" s="193">
        <v>0</v>
      </c>
      <c r="L75" s="193">
        <v>708.28</v>
      </c>
      <c r="M75" s="193">
        <v>316.45999999999998</v>
      </c>
      <c r="O75" s="10"/>
      <c r="P75" s="10"/>
    </row>
    <row r="76" spans="1:17" ht="15" thickBot="1" x14ac:dyDescent="0.35">
      <c r="A76" s="296"/>
      <c r="B76" s="313"/>
      <c r="C76" s="313"/>
      <c r="D76" s="313"/>
      <c r="E76" s="115" t="s">
        <v>99</v>
      </c>
      <c r="F76" s="199">
        <v>0</v>
      </c>
      <c r="G76" s="193">
        <v>389.65</v>
      </c>
      <c r="H76" s="193">
        <v>305.79000000000002</v>
      </c>
      <c r="I76" s="192"/>
      <c r="J76" s="192"/>
      <c r="K76" s="193">
        <v>0</v>
      </c>
      <c r="L76" s="193">
        <v>375.82</v>
      </c>
      <c r="M76" s="193">
        <v>316.45999999999998</v>
      </c>
      <c r="O76" s="10"/>
      <c r="P76" s="10"/>
    </row>
    <row r="77" spans="1:17" ht="15.75" customHeight="1" thickBot="1" x14ac:dyDescent="0.35">
      <c r="A77" s="296"/>
      <c r="B77" s="117" t="s">
        <v>120</v>
      </c>
      <c r="C77" s="117" t="s">
        <v>131</v>
      </c>
      <c r="D77" s="117" t="s">
        <v>96</v>
      </c>
      <c r="E77" s="115" t="s">
        <v>96</v>
      </c>
      <c r="F77" s="199">
        <v>0</v>
      </c>
      <c r="G77" s="193">
        <v>468.63</v>
      </c>
      <c r="H77" s="193">
        <v>320.68</v>
      </c>
      <c r="I77" s="192"/>
      <c r="J77" s="192"/>
      <c r="K77" s="193">
        <v>0</v>
      </c>
      <c r="L77" s="193">
        <v>454.05</v>
      </c>
      <c r="M77" s="193">
        <v>331.12</v>
      </c>
      <c r="O77" s="10"/>
      <c r="P77" s="10"/>
    </row>
    <row r="78" spans="1:17" ht="15" thickBot="1" x14ac:dyDescent="0.35">
      <c r="A78" s="296"/>
      <c r="B78" s="311" t="s">
        <v>127</v>
      </c>
      <c r="C78" s="311" t="s">
        <v>131</v>
      </c>
      <c r="D78" s="311" t="s">
        <v>132</v>
      </c>
      <c r="E78" s="115" t="s">
        <v>97</v>
      </c>
      <c r="F78" s="199">
        <v>0</v>
      </c>
      <c r="G78" s="193">
        <v>1061.03</v>
      </c>
      <c r="H78" s="193">
        <v>484.48</v>
      </c>
      <c r="I78" s="192"/>
      <c r="J78" s="192"/>
      <c r="K78" s="193">
        <v>0</v>
      </c>
      <c r="L78" s="193">
        <v>1040.73</v>
      </c>
      <c r="M78" s="193">
        <v>492.47</v>
      </c>
      <c r="O78" s="10"/>
      <c r="P78" s="10"/>
    </row>
    <row r="79" spans="1:17" ht="15" thickBot="1" x14ac:dyDescent="0.35">
      <c r="A79" s="296"/>
      <c r="B79" s="312"/>
      <c r="C79" s="312"/>
      <c r="D79" s="312"/>
      <c r="E79" s="115" t="s">
        <v>129</v>
      </c>
      <c r="F79" s="199">
        <v>0</v>
      </c>
      <c r="G79" s="193">
        <v>725.34</v>
      </c>
      <c r="H79" s="193">
        <v>305.79000000000002</v>
      </c>
      <c r="I79" s="192"/>
      <c r="J79" s="192"/>
      <c r="K79" s="193">
        <v>0</v>
      </c>
      <c r="L79" s="193">
        <v>708.28</v>
      </c>
      <c r="M79" s="193">
        <v>316.45999999999998</v>
      </c>
      <c r="O79" s="10"/>
      <c r="P79" s="10"/>
    </row>
    <row r="80" spans="1:17" ht="15" thickBot="1" x14ac:dyDescent="0.35">
      <c r="A80" s="296"/>
      <c r="B80" s="313"/>
      <c r="C80" s="313"/>
      <c r="D80" s="313"/>
      <c r="E80" s="115" t="s">
        <v>99</v>
      </c>
      <c r="F80" s="199">
        <v>0</v>
      </c>
      <c r="G80" s="193">
        <v>389.65</v>
      </c>
      <c r="H80" s="193">
        <v>305.79000000000002</v>
      </c>
      <c r="I80" s="192"/>
      <c r="J80" s="192"/>
      <c r="K80" s="193">
        <v>0</v>
      </c>
      <c r="L80" s="193">
        <v>375.82</v>
      </c>
      <c r="M80" s="193">
        <v>316.45999999999998</v>
      </c>
      <c r="O80" s="10"/>
      <c r="P80" s="10"/>
    </row>
    <row r="81" spans="1:16" ht="15.75" customHeight="1" thickBot="1" x14ac:dyDescent="0.35">
      <c r="A81" s="296"/>
      <c r="B81" s="117" t="s">
        <v>120</v>
      </c>
      <c r="C81" s="117" t="s">
        <v>131</v>
      </c>
      <c r="D81" s="117" t="s">
        <v>132</v>
      </c>
      <c r="E81" s="115" t="s">
        <v>96</v>
      </c>
      <c r="F81" s="199">
        <v>0</v>
      </c>
      <c r="G81" s="193">
        <v>468.63</v>
      </c>
      <c r="H81" s="193">
        <v>320.68</v>
      </c>
      <c r="I81" s="192"/>
      <c r="J81" s="192"/>
      <c r="K81" s="193">
        <v>0</v>
      </c>
      <c r="L81" s="193">
        <v>454.05</v>
      </c>
      <c r="M81" s="193">
        <v>331.12</v>
      </c>
      <c r="O81" s="103"/>
      <c r="P81" s="10"/>
    </row>
    <row r="82" spans="1:16" ht="15" thickBot="1" x14ac:dyDescent="0.35">
      <c r="A82" s="296"/>
      <c r="B82" s="311" t="s">
        <v>127</v>
      </c>
      <c r="C82" s="311" t="s">
        <v>131</v>
      </c>
      <c r="D82" s="311" t="s">
        <v>133</v>
      </c>
      <c r="E82" s="115" t="s">
        <v>97</v>
      </c>
      <c r="F82" s="199">
        <v>0</v>
      </c>
      <c r="G82" s="193">
        <v>1061.03</v>
      </c>
      <c r="H82" s="193">
        <v>484.48</v>
      </c>
      <c r="I82" s="192"/>
      <c r="J82" s="192"/>
      <c r="K82" s="193">
        <v>0</v>
      </c>
      <c r="L82" s="193">
        <v>1040.73</v>
      </c>
      <c r="M82" s="193">
        <v>492.47</v>
      </c>
      <c r="O82" s="103"/>
      <c r="P82" s="10"/>
    </row>
    <row r="83" spans="1:16" ht="15" thickBot="1" x14ac:dyDescent="0.35">
      <c r="A83" s="296"/>
      <c r="B83" s="312"/>
      <c r="C83" s="312"/>
      <c r="D83" s="312"/>
      <c r="E83" s="115" t="s">
        <v>129</v>
      </c>
      <c r="F83" s="199">
        <v>0</v>
      </c>
      <c r="G83" s="193">
        <v>725.34</v>
      </c>
      <c r="H83" s="193">
        <v>305.79000000000002</v>
      </c>
      <c r="I83" s="192"/>
      <c r="J83" s="192"/>
      <c r="K83" s="193">
        <v>0</v>
      </c>
      <c r="L83" s="193">
        <v>708.28</v>
      </c>
      <c r="M83" s="193">
        <v>316.45999999999998</v>
      </c>
      <c r="O83" s="104"/>
      <c r="P83" s="10"/>
    </row>
    <row r="84" spans="1:16" ht="15" thickBot="1" x14ac:dyDescent="0.35">
      <c r="A84" s="296"/>
      <c r="B84" s="313"/>
      <c r="C84" s="313"/>
      <c r="D84" s="313"/>
      <c r="E84" s="115" t="s">
        <v>99</v>
      </c>
      <c r="F84" s="199">
        <v>0</v>
      </c>
      <c r="G84" s="193">
        <v>389.65</v>
      </c>
      <c r="H84" s="193">
        <v>305.79000000000002</v>
      </c>
      <c r="I84" s="192"/>
      <c r="J84" s="192"/>
      <c r="K84" s="193">
        <v>0</v>
      </c>
      <c r="L84" s="193">
        <v>375.82</v>
      </c>
      <c r="M84" s="193">
        <v>316.45999999999998</v>
      </c>
      <c r="O84" s="10"/>
      <c r="P84" s="10"/>
    </row>
    <row r="85" spans="1:16" ht="21" thickBot="1" x14ac:dyDescent="0.35">
      <c r="A85" s="297"/>
      <c r="B85" s="117" t="s">
        <v>120</v>
      </c>
      <c r="C85" s="117" t="s">
        <v>131</v>
      </c>
      <c r="D85" s="117" t="s">
        <v>133</v>
      </c>
      <c r="E85" s="115" t="s">
        <v>96</v>
      </c>
      <c r="F85" s="199">
        <v>0</v>
      </c>
      <c r="G85" s="193">
        <v>468.63</v>
      </c>
      <c r="H85" s="193">
        <v>320.68</v>
      </c>
      <c r="I85" s="192"/>
      <c r="J85" s="192"/>
      <c r="K85" s="193">
        <v>0</v>
      </c>
      <c r="L85" s="193">
        <v>454.05</v>
      </c>
      <c r="M85" s="193">
        <v>331.12</v>
      </c>
      <c r="O85" s="103"/>
      <c r="P85" s="10"/>
    </row>
    <row r="86" spans="1:16" ht="15" thickBot="1" x14ac:dyDescent="0.35">
      <c r="A86" s="295" t="s">
        <v>10</v>
      </c>
      <c r="B86" s="311" t="s">
        <v>127</v>
      </c>
      <c r="C86" s="311" t="s">
        <v>96</v>
      </c>
      <c r="D86" s="311" t="s">
        <v>96</v>
      </c>
      <c r="E86" s="115" t="s">
        <v>97</v>
      </c>
      <c r="F86" s="199">
        <v>0</v>
      </c>
      <c r="G86" s="193">
        <v>1061.03</v>
      </c>
      <c r="H86" s="193">
        <v>484.48</v>
      </c>
      <c r="I86" s="192"/>
      <c r="J86" s="192"/>
      <c r="K86" s="193">
        <v>0</v>
      </c>
      <c r="L86" s="193">
        <v>1040.73</v>
      </c>
      <c r="M86" s="193">
        <v>492.47</v>
      </c>
      <c r="O86" s="103"/>
      <c r="P86" s="10"/>
    </row>
    <row r="87" spans="1:16" ht="15" thickBot="1" x14ac:dyDescent="0.35">
      <c r="A87" s="296"/>
      <c r="B87" s="312"/>
      <c r="C87" s="312"/>
      <c r="D87" s="312"/>
      <c r="E87" s="115" t="s">
        <v>129</v>
      </c>
      <c r="F87" s="199">
        <v>0</v>
      </c>
      <c r="G87" s="193">
        <v>725.34</v>
      </c>
      <c r="H87" s="193">
        <v>305.79000000000002</v>
      </c>
      <c r="I87" s="192"/>
      <c r="J87" s="192"/>
      <c r="K87" s="193">
        <v>0</v>
      </c>
      <c r="L87" s="193">
        <v>708.28</v>
      </c>
      <c r="M87" s="193">
        <v>316.45999999999998</v>
      </c>
      <c r="O87" s="103"/>
      <c r="P87" s="10"/>
    </row>
    <row r="88" spans="1:16" ht="15" thickBot="1" x14ac:dyDescent="0.35">
      <c r="A88" s="296"/>
      <c r="B88" s="313"/>
      <c r="C88" s="313"/>
      <c r="D88" s="313"/>
      <c r="E88" s="115" t="s">
        <v>99</v>
      </c>
      <c r="F88" s="199">
        <v>0</v>
      </c>
      <c r="G88" s="193">
        <v>389.65</v>
      </c>
      <c r="H88" s="193">
        <v>305.79000000000002</v>
      </c>
      <c r="I88" s="192"/>
      <c r="J88" s="192"/>
      <c r="K88" s="193">
        <v>0</v>
      </c>
      <c r="L88" s="193">
        <v>375.82</v>
      </c>
      <c r="M88" s="193">
        <v>316.45999999999998</v>
      </c>
      <c r="O88" s="10"/>
      <c r="P88" s="10"/>
    </row>
    <row r="89" spans="1:16" ht="15" thickBot="1" x14ac:dyDescent="0.35">
      <c r="A89" s="297"/>
      <c r="B89" s="117" t="s">
        <v>120</v>
      </c>
      <c r="C89" s="117" t="s">
        <v>96</v>
      </c>
      <c r="D89" s="117" t="s">
        <v>96</v>
      </c>
      <c r="E89" s="115" t="s">
        <v>96</v>
      </c>
      <c r="F89" s="199">
        <v>0</v>
      </c>
      <c r="G89" s="193">
        <v>468.63</v>
      </c>
      <c r="H89" s="193">
        <v>320.68</v>
      </c>
      <c r="I89" s="192"/>
      <c r="J89" s="192"/>
      <c r="K89" s="193">
        <v>0</v>
      </c>
      <c r="L89" s="193">
        <v>454.05</v>
      </c>
      <c r="M89" s="193">
        <v>331.12</v>
      </c>
      <c r="O89" s="10"/>
      <c r="P89" s="10"/>
    </row>
    <row r="90" spans="1:16" ht="21" thickBot="1" x14ac:dyDescent="0.35">
      <c r="A90" s="295" t="s">
        <v>134</v>
      </c>
      <c r="B90" s="311" t="s">
        <v>120</v>
      </c>
      <c r="C90" s="311" t="s">
        <v>135</v>
      </c>
      <c r="D90" s="117" t="s">
        <v>136</v>
      </c>
      <c r="E90" s="115" t="s">
        <v>96</v>
      </c>
      <c r="F90" s="199">
        <v>0</v>
      </c>
      <c r="G90" s="193">
        <v>257.75</v>
      </c>
      <c r="H90" s="193">
        <v>176.38</v>
      </c>
      <c r="I90" s="192"/>
      <c r="J90" s="192"/>
      <c r="K90" s="193">
        <v>0</v>
      </c>
      <c r="L90" s="193">
        <v>249.73</v>
      </c>
      <c r="M90" s="193">
        <v>182.12</v>
      </c>
      <c r="O90" s="10"/>
      <c r="P90" s="10"/>
    </row>
    <row r="91" spans="1:16" ht="21" thickBot="1" x14ac:dyDescent="0.35">
      <c r="A91" s="297"/>
      <c r="B91" s="313"/>
      <c r="C91" s="313"/>
      <c r="D91" s="117" t="s">
        <v>137</v>
      </c>
      <c r="E91" s="115" t="s">
        <v>96</v>
      </c>
      <c r="F91" s="199">
        <v>0</v>
      </c>
      <c r="G91" s="193">
        <v>281.18</v>
      </c>
      <c r="H91" s="193">
        <v>192.41</v>
      </c>
      <c r="I91" s="192"/>
      <c r="J91" s="192"/>
      <c r="K91" s="193">
        <v>0</v>
      </c>
      <c r="L91" s="193">
        <v>272.43</v>
      </c>
      <c r="M91" s="193">
        <v>198.67</v>
      </c>
      <c r="O91" s="10"/>
      <c r="P91" s="10"/>
    </row>
  </sheetData>
  <autoFilter ref="B1:B91" xr:uid="{00000000-0009-0000-0000-000001000000}"/>
  <customSheetViews>
    <customSheetView guid="{93A7E07A-AC2D-4310-B7ED-B74DACBA50A7}" scale="90" showAutoFilter="1" state="hidden" topLeftCell="A6">
      <selection activeCell="E9" sqref="E9"/>
      <pageMargins left="0.511811024" right="0.511811024" top="0.78740157499999996" bottom="0.78740157499999996" header="0.31496062000000002" footer="0.31496062000000002"/>
      <pageSetup paperSize="9" orientation="portrait" r:id="rId1"/>
      <autoFilter ref="B1:B91" xr:uid="{3BC09C2B-1C70-4EEC-834E-935F0229ECC3}"/>
    </customSheetView>
    <customSheetView guid="{EB662AE4-4B22-40EC-8355-9AD94D059B97}" scale="90" showAutoFilter="1" state="hidden" topLeftCell="A6">
      <selection activeCell="E9" sqref="E9"/>
      <pageMargins left="0.511811024" right="0.511811024" top="0.78740157499999996" bottom="0.78740157499999996" header="0.31496062000000002" footer="0.31496062000000002"/>
      <pageSetup paperSize="9" orientation="portrait" r:id="rId2"/>
      <autoFilter ref="B1:B91" xr:uid="{8EA3CD13-03DD-4354-8DEC-EA8C808C7329}"/>
    </customSheetView>
    <customSheetView guid="{E99E9347-E83C-4BCD-9209-A3E8998220A9}" scale="90" showAutoFilter="1" state="hidden">
      <selection sqref="A1:L1"/>
      <pageMargins left="0.511811024" right="0.511811024" top="0.78740157499999996" bottom="0.78740157499999996" header="0.31496062000000002" footer="0.31496062000000002"/>
      <pageSetup paperSize="9" orientation="portrait" r:id="rId3"/>
      <autoFilter ref="B1:B168" xr:uid="{4D8DE5F0-B5BF-44AD-9B72-66549C04BA63}"/>
    </customSheetView>
    <customSheetView guid="{A8592FA0-1011-4F02-BFB0-BB1C65ED9311}" scale="90" showAutoFilter="1" state="hidden" topLeftCell="A6">
      <selection activeCell="E9" sqref="E9"/>
      <pageMargins left="0.511811024" right="0.511811024" top="0.78740157499999996" bottom="0.78740157499999996" header="0.31496062000000002" footer="0.31496062000000002"/>
      <pageSetup paperSize="9" orientation="portrait" r:id="rId4"/>
      <autoFilter ref="B1:B91" xr:uid="{BB0852E9-21C6-411B-8332-0FBBCB8722A7}"/>
    </customSheetView>
  </customSheetViews>
  <mergeCells count="82">
    <mergeCell ref="A86:A89"/>
    <mergeCell ref="B86:B88"/>
    <mergeCell ref="C86:C88"/>
    <mergeCell ref="D86:D88"/>
    <mergeCell ref="A90:A91"/>
    <mergeCell ref="B90:B91"/>
    <mergeCell ref="C90:C91"/>
    <mergeCell ref="A68:A73"/>
    <mergeCell ref="B71:B73"/>
    <mergeCell ref="C71:C73"/>
    <mergeCell ref="D82:D84"/>
    <mergeCell ref="B68:B70"/>
    <mergeCell ref="C68:C70"/>
    <mergeCell ref="D68:D70"/>
    <mergeCell ref="A74:A85"/>
    <mergeCell ref="B74:B76"/>
    <mergeCell ref="C74:C76"/>
    <mergeCell ref="D74:D76"/>
    <mergeCell ref="B78:B80"/>
    <mergeCell ref="C78:C80"/>
    <mergeCell ref="D78:D80"/>
    <mergeCell ref="B82:B84"/>
    <mergeCell ref="C82:C84"/>
    <mergeCell ref="H66:J66"/>
    <mergeCell ref="A64:M64"/>
    <mergeCell ref="A65:A67"/>
    <mergeCell ref="B65:B67"/>
    <mergeCell ref="C65:C67"/>
    <mergeCell ref="D65:D67"/>
    <mergeCell ref="E65:E67"/>
    <mergeCell ref="F65:J65"/>
    <mergeCell ref="K65:M65"/>
    <mergeCell ref="F66:G66"/>
    <mergeCell ref="K66:L66"/>
    <mergeCell ref="A36:A47"/>
    <mergeCell ref="B36:B37"/>
    <mergeCell ref="C36:C37"/>
    <mergeCell ref="B38:B39"/>
    <mergeCell ref="C38:C39"/>
    <mergeCell ref="B40:B42"/>
    <mergeCell ref="C40:C42"/>
    <mergeCell ref="B43:B45"/>
    <mergeCell ref="C43:C45"/>
    <mergeCell ref="C52:C54"/>
    <mergeCell ref="B55:B57"/>
    <mergeCell ref="C55:C57"/>
    <mergeCell ref="C59:C61"/>
    <mergeCell ref="A48:A62"/>
    <mergeCell ref="B48:B49"/>
    <mergeCell ref="C48:C49"/>
    <mergeCell ref="B50:B51"/>
    <mergeCell ref="C50:C51"/>
    <mergeCell ref="B52:B54"/>
    <mergeCell ref="B59:B61"/>
    <mergeCell ref="A28:A35"/>
    <mergeCell ref="B28:B29"/>
    <mergeCell ref="C28:C29"/>
    <mergeCell ref="B30:B31"/>
    <mergeCell ref="C30:C31"/>
    <mergeCell ref="B32:B34"/>
    <mergeCell ref="C32:C34"/>
    <mergeCell ref="B5:B6"/>
    <mergeCell ref="C5:C6"/>
    <mergeCell ref="B7:B8"/>
    <mergeCell ref="C7:C8"/>
    <mergeCell ref="A9:A27"/>
    <mergeCell ref="B9:B10"/>
    <mergeCell ref="C9:C10"/>
    <mergeCell ref="B11:B12"/>
    <mergeCell ref="C11:C12"/>
    <mergeCell ref="B13:B15"/>
    <mergeCell ref="C13:C15"/>
    <mergeCell ref="B16:B27"/>
    <mergeCell ref="A1:L1"/>
    <mergeCell ref="A2:A4"/>
    <mergeCell ref="B2:B4"/>
    <mergeCell ref="C2:C4"/>
    <mergeCell ref="E2:I2"/>
    <mergeCell ref="J2:L2"/>
    <mergeCell ref="E3:F3"/>
    <mergeCell ref="G3:I3"/>
    <mergeCell ref="J3:K3"/>
  </mergeCell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3"/>
  <sheetViews>
    <sheetView topLeftCell="A58" zoomScale="90" zoomScaleNormal="90" workbookViewId="0">
      <selection activeCell="E76" sqref="A76:XFD76"/>
    </sheetView>
  </sheetViews>
  <sheetFormatPr defaultColWidth="15" defaultRowHeight="14.4" x14ac:dyDescent="0.3"/>
  <cols>
    <col min="1" max="1" width="35.44140625" style="9" bestFit="1" customWidth="1"/>
    <col min="2" max="2" width="16" style="9" bestFit="1" customWidth="1"/>
    <col min="3" max="3" width="17.44140625" style="9" bestFit="1" customWidth="1"/>
    <col min="4" max="4" width="17.6640625" style="9" bestFit="1" customWidth="1"/>
    <col min="5" max="5" width="12.6640625" style="9" bestFit="1" customWidth="1"/>
    <col min="6" max="6" width="8.44140625" style="9" bestFit="1" customWidth="1"/>
    <col min="7" max="7" width="12" style="9" bestFit="1" customWidth="1"/>
    <col min="8" max="8" width="12.109375" style="9" bestFit="1" customWidth="1"/>
    <col min="9" max="9" width="12.44140625" style="9" bestFit="1" customWidth="1"/>
    <col min="10" max="10" width="12.33203125" style="9" bestFit="1" customWidth="1"/>
    <col min="11" max="11" width="8.44140625" style="9" bestFit="1" customWidth="1"/>
    <col min="12" max="12" width="7.6640625" style="9" bestFit="1" customWidth="1"/>
    <col min="13" max="13" width="7.33203125" bestFit="1" customWidth="1"/>
    <col min="14" max="14" width="9" bestFit="1" customWidth="1"/>
    <col min="15" max="15" width="4" bestFit="1" customWidth="1"/>
    <col min="16" max="16" width="4.88671875" bestFit="1" customWidth="1"/>
    <col min="17" max="17" width="5.44140625" bestFit="1" customWidth="1"/>
  </cols>
  <sheetData>
    <row r="1" spans="1:17" ht="15" thickBot="1" x14ac:dyDescent="0.35">
      <c r="A1" s="284" t="s">
        <v>74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6"/>
    </row>
    <row r="2" spans="1:17" ht="15.75" customHeight="1" thickBot="1" x14ac:dyDescent="0.35">
      <c r="A2" s="287" t="s">
        <v>75</v>
      </c>
      <c r="B2" s="287" t="s">
        <v>76</v>
      </c>
      <c r="C2" s="287" t="s">
        <v>77</v>
      </c>
      <c r="D2" s="147" t="s">
        <v>78</v>
      </c>
      <c r="E2" s="290" t="s">
        <v>79</v>
      </c>
      <c r="F2" s="291"/>
      <c r="G2" s="291"/>
      <c r="H2" s="291"/>
      <c r="I2" s="292"/>
      <c r="J2" s="290" t="s">
        <v>80</v>
      </c>
      <c r="K2" s="291"/>
      <c r="L2" s="292"/>
      <c r="N2" s="90" t="s">
        <v>81</v>
      </c>
      <c r="O2" s="90" t="s">
        <v>82</v>
      </c>
      <c r="P2" s="90" t="s">
        <v>83</v>
      </c>
      <c r="Q2" s="90" t="s">
        <v>84</v>
      </c>
    </row>
    <row r="3" spans="1:17" ht="15" thickBot="1" x14ac:dyDescent="0.35">
      <c r="A3" s="288"/>
      <c r="B3" s="288"/>
      <c r="C3" s="288"/>
      <c r="D3" s="91"/>
      <c r="E3" s="290" t="s">
        <v>0</v>
      </c>
      <c r="F3" s="292"/>
      <c r="G3" s="290" t="s">
        <v>21</v>
      </c>
      <c r="H3" s="291"/>
      <c r="I3" s="292"/>
      <c r="J3" s="290" t="s">
        <v>0</v>
      </c>
      <c r="K3" s="292"/>
      <c r="L3" s="91" t="s">
        <v>1</v>
      </c>
      <c r="N3" s="92" t="s">
        <v>85</v>
      </c>
      <c r="O3" s="93" t="s">
        <v>86</v>
      </c>
      <c r="P3" s="93" t="s">
        <v>87</v>
      </c>
      <c r="Q3" s="94">
        <v>2026</v>
      </c>
    </row>
    <row r="4" spans="1:17" ht="15" thickBot="1" x14ac:dyDescent="0.35">
      <c r="A4" s="289"/>
      <c r="B4" s="289"/>
      <c r="C4" s="289"/>
      <c r="D4" s="91"/>
      <c r="E4" s="91" t="s">
        <v>13</v>
      </c>
      <c r="F4" s="91" t="s">
        <v>88</v>
      </c>
      <c r="G4" s="95" t="s">
        <v>89</v>
      </c>
      <c r="H4" s="96" t="s">
        <v>90</v>
      </c>
      <c r="I4" s="97" t="s">
        <v>91</v>
      </c>
      <c r="J4" s="91" t="s">
        <v>13</v>
      </c>
      <c r="K4" s="91" t="s">
        <v>88</v>
      </c>
      <c r="L4" s="91" t="s">
        <v>88</v>
      </c>
      <c r="N4" s="92" t="s">
        <v>92</v>
      </c>
      <c r="O4" s="98" t="s">
        <v>93</v>
      </c>
      <c r="P4" s="98" t="s">
        <v>94</v>
      </c>
      <c r="Q4" s="99">
        <v>9999</v>
      </c>
    </row>
    <row r="5" spans="1:17" ht="15" thickBot="1" x14ac:dyDescent="0.35">
      <c r="A5" s="100"/>
      <c r="B5" s="293" t="s">
        <v>95</v>
      </c>
      <c r="C5" s="293" t="s">
        <v>96</v>
      </c>
      <c r="D5" s="101" t="s">
        <v>97</v>
      </c>
      <c r="E5" s="102"/>
      <c r="F5" s="102"/>
      <c r="G5" s="102"/>
      <c r="H5" s="102"/>
      <c r="I5" s="102"/>
      <c r="J5" s="102"/>
      <c r="K5" s="102"/>
      <c r="L5" s="102"/>
      <c r="M5" s="103"/>
      <c r="N5" s="10"/>
      <c r="O5" s="10"/>
    </row>
    <row r="6" spans="1:17" ht="15" thickBot="1" x14ac:dyDescent="0.35">
      <c r="A6" s="100" t="s">
        <v>98</v>
      </c>
      <c r="B6" s="294"/>
      <c r="C6" s="294"/>
      <c r="D6" s="101" t="s">
        <v>99</v>
      </c>
      <c r="E6" s="102"/>
      <c r="F6" s="102"/>
      <c r="G6" s="102"/>
      <c r="H6" s="102"/>
      <c r="I6" s="102"/>
      <c r="J6" s="102"/>
      <c r="K6" s="102"/>
      <c r="L6" s="102"/>
      <c r="M6" s="103"/>
      <c r="N6" s="10"/>
      <c r="O6" s="10"/>
    </row>
    <row r="7" spans="1:17" ht="15" thickBot="1" x14ac:dyDescent="0.35">
      <c r="A7" s="100"/>
      <c r="B7" s="293" t="s">
        <v>100</v>
      </c>
      <c r="C7" s="293" t="s">
        <v>96</v>
      </c>
      <c r="D7" s="101" t="s">
        <v>97</v>
      </c>
      <c r="E7" s="102"/>
      <c r="F7" s="102"/>
      <c r="G7" s="102"/>
      <c r="H7" s="102"/>
      <c r="I7" s="102"/>
      <c r="J7" s="102"/>
      <c r="K7" s="102"/>
      <c r="L7" s="102"/>
      <c r="M7" s="104"/>
      <c r="N7" s="10"/>
      <c r="O7" s="10"/>
    </row>
    <row r="8" spans="1:17" ht="15" thickBot="1" x14ac:dyDescent="0.35">
      <c r="A8" s="100"/>
      <c r="B8" s="294"/>
      <c r="C8" s="294"/>
      <c r="D8" s="101" t="s">
        <v>99</v>
      </c>
      <c r="E8" s="102"/>
      <c r="F8" s="102"/>
      <c r="G8" s="102"/>
      <c r="H8" s="102"/>
      <c r="I8" s="102"/>
      <c r="J8" s="102"/>
      <c r="K8" s="102"/>
      <c r="L8" s="102"/>
      <c r="M8" s="10"/>
      <c r="N8" s="10"/>
      <c r="O8" s="10"/>
    </row>
    <row r="9" spans="1:17" ht="15.75" customHeight="1" thickBot="1" x14ac:dyDescent="0.35">
      <c r="A9" s="295" t="s">
        <v>101</v>
      </c>
      <c r="B9" s="293" t="s">
        <v>95</v>
      </c>
      <c r="C9" s="293" t="s">
        <v>96</v>
      </c>
      <c r="D9" s="101" t="s">
        <v>97</v>
      </c>
      <c r="E9" s="191"/>
      <c r="F9" s="191"/>
      <c r="G9" s="191"/>
      <c r="H9" s="192"/>
      <c r="I9" s="192"/>
      <c r="J9" s="191"/>
      <c r="K9" s="191"/>
      <c r="L9" s="191"/>
      <c r="M9" s="103"/>
      <c r="N9" s="10"/>
      <c r="O9" s="10"/>
    </row>
    <row r="10" spans="1:17" ht="15" thickBot="1" x14ac:dyDescent="0.35">
      <c r="A10" s="296"/>
      <c r="B10" s="294"/>
      <c r="C10" s="294"/>
      <c r="D10" s="101" t="s">
        <v>99</v>
      </c>
      <c r="E10" s="191"/>
      <c r="F10" s="191"/>
      <c r="G10" s="191"/>
      <c r="H10" s="192"/>
      <c r="I10" s="192"/>
      <c r="J10" s="191"/>
      <c r="K10" s="191"/>
      <c r="L10" s="191"/>
      <c r="M10" s="103"/>
      <c r="N10" s="105"/>
      <c r="O10" s="105"/>
    </row>
    <row r="11" spans="1:17" ht="15" thickBot="1" x14ac:dyDescent="0.35">
      <c r="A11" s="296"/>
      <c r="B11" s="293" t="s">
        <v>100</v>
      </c>
      <c r="C11" s="293" t="s">
        <v>96</v>
      </c>
      <c r="D11" s="101" t="s">
        <v>97</v>
      </c>
      <c r="E11" s="191"/>
      <c r="F11" s="191"/>
      <c r="G11" s="191"/>
      <c r="H11" s="192"/>
      <c r="I11" s="192"/>
      <c r="J11" s="191"/>
      <c r="K11" s="191"/>
      <c r="L11" s="191"/>
      <c r="M11" s="103"/>
      <c r="N11" s="10"/>
      <c r="O11" s="10"/>
    </row>
    <row r="12" spans="1:17" ht="15" thickBot="1" x14ac:dyDescent="0.35">
      <c r="A12" s="296"/>
      <c r="B12" s="294"/>
      <c r="C12" s="294"/>
      <c r="D12" s="101" t="s">
        <v>99</v>
      </c>
      <c r="E12" s="191"/>
      <c r="F12" s="191"/>
      <c r="G12" s="191"/>
      <c r="H12" s="192"/>
      <c r="I12" s="192"/>
      <c r="J12" s="191"/>
      <c r="K12" s="191"/>
      <c r="L12" s="191"/>
      <c r="M12" s="10"/>
    </row>
    <row r="13" spans="1:17" ht="15" thickBot="1" x14ac:dyDescent="0.35">
      <c r="A13" s="296"/>
      <c r="B13" s="293" t="s">
        <v>102</v>
      </c>
      <c r="C13" s="293" t="s">
        <v>103</v>
      </c>
      <c r="D13" s="101" t="s">
        <v>97</v>
      </c>
      <c r="E13" s="193"/>
      <c r="F13" s="193"/>
      <c r="G13" s="193"/>
      <c r="H13" s="192"/>
      <c r="I13" s="192"/>
      <c r="J13" s="193"/>
      <c r="K13" s="193"/>
      <c r="L13" s="193"/>
    </row>
    <row r="14" spans="1:17" ht="15" thickBot="1" x14ac:dyDescent="0.35">
      <c r="A14" s="296"/>
      <c r="B14" s="298"/>
      <c r="C14" s="298"/>
      <c r="D14" s="101" t="s">
        <v>99</v>
      </c>
      <c r="E14" s="193"/>
      <c r="F14" s="193"/>
      <c r="G14" s="193"/>
      <c r="H14" s="192"/>
      <c r="I14" s="192"/>
      <c r="J14" s="193"/>
      <c r="K14" s="193"/>
      <c r="L14" s="193"/>
    </row>
    <row r="15" spans="1:17" ht="15" thickBot="1" x14ac:dyDescent="0.35">
      <c r="A15" s="296"/>
      <c r="B15" s="294"/>
      <c r="C15" s="294"/>
      <c r="D15" s="101" t="s">
        <v>96</v>
      </c>
      <c r="E15" s="193"/>
      <c r="F15" s="193"/>
      <c r="G15" s="193"/>
      <c r="H15" s="192"/>
      <c r="I15" s="192"/>
      <c r="J15" s="193"/>
      <c r="K15" s="193"/>
      <c r="L15" s="193"/>
      <c r="M15" s="106"/>
    </row>
    <row r="16" spans="1:17" ht="15" thickBot="1" x14ac:dyDescent="0.35">
      <c r="A16" s="296"/>
      <c r="B16" s="293" t="s">
        <v>104</v>
      </c>
      <c r="C16" s="107" t="s">
        <v>105</v>
      </c>
      <c r="D16" s="101" t="s">
        <v>96</v>
      </c>
      <c r="E16" s="194"/>
      <c r="F16" s="191"/>
      <c r="G16" s="191"/>
      <c r="H16" s="192"/>
      <c r="I16" s="192"/>
      <c r="J16" s="194"/>
      <c r="K16" s="191"/>
      <c r="L16" s="195"/>
      <c r="M16" s="106"/>
      <c r="N16" s="10"/>
    </row>
    <row r="17" spans="1:15" ht="15" thickBot="1" x14ac:dyDescent="0.35">
      <c r="A17" s="296"/>
      <c r="B17" s="298"/>
      <c r="C17" s="107" t="s">
        <v>106</v>
      </c>
      <c r="D17" s="101" t="s">
        <v>96</v>
      </c>
      <c r="E17" s="194"/>
      <c r="F17" s="191"/>
      <c r="G17" s="191"/>
      <c r="H17" s="192"/>
      <c r="I17" s="192"/>
      <c r="J17" s="193"/>
      <c r="K17" s="191"/>
      <c r="L17" s="191"/>
      <c r="M17" s="10"/>
      <c r="N17" s="10"/>
      <c r="O17" s="10"/>
    </row>
    <row r="18" spans="1:15" ht="15" thickBot="1" x14ac:dyDescent="0.35">
      <c r="A18" s="296"/>
      <c r="B18" s="298"/>
      <c r="C18" s="107" t="s">
        <v>107</v>
      </c>
      <c r="D18" s="101" t="s">
        <v>96</v>
      </c>
      <c r="E18" s="194"/>
      <c r="F18" s="191"/>
      <c r="G18" s="191"/>
      <c r="H18" s="192"/>
      <c r="I18" s="192"/>
      <c r="J18" s="194"/>
      <c r="K18" s="191"/>
      <c r="L18" s="191"/>
      <c r="N18" s="10"/>
      <c r="O18" s="10"/>
    </row>
    <row r="19" spans="1:15" ht="15" thickBot="1" x14ac:dyDescent="0.35">
      <c r="A19" s="296"/>
      <c r="B19" s="298"/>
      <c r="C19" s="107" t="s">
        <v>108</v>
      </c>
      <c r="D19" s="101" t="s">
        <v>96</v>
      </c>
      <c r="E19" s="193"/>
      <c r="F19" s="191"/>
      <c r="G19" s="191"/>
      <c r="H19" s="192"/>
      <c r="I19" s="192"/>
      <c r="J19" s="194"/>
      <c r="K19" s="191"/>
      <c r="L19" s="191"/>
      <c r="N19" s="10"/>
      <c r="O19" s="10"/>
    </row>
    <row r="20" spans="1:15" ht="15" thickBot="1" x14ac:dyDescent="0.35">
      <c r="A20" s="296"/>
      <c r="B20" s="298"/>
      <c r="C20" s="107" t="s">
        <v>109</v>
      </c>
      <c r="D20" s="101" t="s">
        <v>96</v>
      </c>
      <c r="E20" s="193"/>
      <c r="F20" s="191"/>
      <c r="G20" s="191"/>
      <c r="H20" s="192"/>
      <c r="I20" s="192"/>
      <c r="J20" s="194"/>
      <c r="K20" s="191"/>
      <c r="L20" s="191"/>
      <c r="N20" s="10"/>
      <c r="O20" s="10"/>
    </row>
    <row r="21" spans="1:15" ht="15" thickBot="1" x14ac:dyDescent="0.35">
      <c r="A21" s="296"/>
      <c r="B21" s="298"/>
      <c r="C21" s="107" t="s">
        <v>110</v>
      </c>
      <c r="D21" s="101" t="s">
        <v>96</v>
      </c>
      <c r="E21" s="193"/>
      <c r="F21" s="191"/>
      <c r="G21" s="191"/>
      <c r="H21" s="192"/>
      <c r="I21" s="192"/>
      <c r="J21" s="194"/>
      <c r="K21" s="191"/>
      <c r="L21" s="191"/>
      <c r="N21" s="10"/>
      <c r="O21" s="10"/>
    </row>
    <row r="22" spans="1:15" ht="15" thickBot="1" x14ac:dyDescent="0.35">
      <c r="A22" s="296"/>
      <c r="B22" s="298"/>
      <c r="C22" s="107" t="s">
        <v>111</v>
      </c>
      <c r="D22" s="101" t="s">
        <v>96</v>
      </c>
      <c r="E22" s="193"/>
      <c r="F22" s="191"/>
      <c r="G22" s="191"/>
      <c r="H22" s="192"/>
      <c r="I22" s="192"/>
      <c r="J22" s="194"/>
      <c r="K22" s="191"/>
      <c r="L22" s="191"/>
      <c r="N22" s="10"/>
      <c r="O22" s="10"/>
    </row>
    <row r="23" spans="1:15" ht="15" thickBot="1" x14ac:dyDescent="0.35">
      <c r="A23" s="296"/>
      <c r="B23" s="298"/>
      <c r="C23" s="107" t="s">
        <v>112</v>
      </c>
      <c r="D23" s="101" t="s">
        <v>96</v>
      </c>
      <c r="E23" s="193"/>
      <c r="F23" s="191"/>
      <c r="G23" s="191"/>
      <c r="H23" s="192"/>
      <c r="I23" s="192"/>
      <c r="J23" s="194"/>
      <c r="K23" s="191"/>
      <c r="L23" s="191"/>
      <c r="N23" s="10"/>
      <c r="O23" s="10"/>
    </row>
    <row r="24" spans="1:15" ht="15" thickBot="1" x14ac:dyDescent="0.35">
      <c r="A24" s="296"/>
      <c r="B24" s="298"/>
      <c r="C24" s="107" t="s">
        <v>113</v>
      </c>
      <c r="D24" s="101" t="s">
        <v>96</v>
      </c>
      <c r="E24" s="194"/>
      <c r="F24" s="191"/>
      <c r="G24" s="191"/>
      <c r="H24" s="192"/>
      <c r="I24" s="192"/>
      <c r="J24" s="194"/>
      <c r="K24" s="191"/>
      <c r="L24" s="191"/>
      <c r="N24" s="10"/>
      <c r="O24" s="10"/>
    </row>
    <row r="25" spans="1:15" ht="15" thickBot="1" x14ac:dyDescent="0.35">
      <c r="A25" s="296"/>
      <c r="B25" s="298"/>
      <c r="C25" s="107" t="s">
        <v>114</v>
      </c>
      <c r="D25" s="101" t="s">
        <v>96</v>
      </c>
      <c r="E25" s="194"/>
      <c r="F25" s="191"/>
      <c r="G25" s="191"/>
      <c r="H25" s="192"/>
      <c r="I25" s="192"/>
      <c r="J25" s="194"/>
      <c r="K25" s="191"/>
      <c r="L25" s="191"/>
      <c r="N25" s="10"/>
      <c r="O25" s="10"/>
    </row>
    <row r="26" spans="1:15" ht="15" thickBot="1" x14ac:dyDescent="0.35">
      <c r="A26" s="296"/>
      <c r="B26" s="298"/>
      <c r="C26" s="107" t="s">
        <v>188</v>
      </c>
      <c r="D26" s="101" t="s">
        <v>96</v>
      </c>
      <c r="E26" s="193"/>
      <c r="F26" s="191"/>
      <c r="G26" s="191"/>
      <c r="H26" s="192"/>
      <c r="I26" s="192"/>
      <c r="J26" s="194"/>
      <c r="K26" s="191"/>
      <c r="L26" s="191"/>
      <c r="N26" s="10"/>
      <c r="O26" s="10"/>
    </row>
    <row r="27" spans="1:15" ht="15" thickBot="1" x14ac:dyDescent="0.35">
      <c r="A27" s="296"/>
      <c r="B27" s="298"/>
      <c r="C27" s="107" t="s">
        <v>115</v>
      </c>
      <c r="D27" s="101" t="s">
        <v>96</v>
      </c>
      <c r="E27" s="194"/>
      <c r="F27" s="191"/>
      <c r="G27" s="191"/>
      <c r="H27" s="192"/>
      <c r="I27" s="192"/>
      <c r="J27" s="194"/>
      <c r="K27" s="191"/>
      <c r="L27" s="191"/>
      <c r="N27" s="10"/>
      <c r="O27" s="10"/>
    </row>
    <row r="28" spans="1:15" ht="15" thickBot="1" x14ac:dyDescent="0.35">
      <c r="A28" s="296"/>
      <c r="B28" s="298"/>
      <c r="C28" s="107" t="s">
        <v>189</v>
      </c>
      <c r="D28" s="101" t="s">
        <v>96</v>
      </c>
      <c r="E28" s="194"/>
      <c r="F28" s="191"/>
      <c r="G28" s="191"/>
      <c r="H28" s="192"/>
      <c r="I28" s="192"/>
      <c r="J28" s="194"/>
      <c r="K28" s="191"/>
      <c r="L28" s="191"/>
      <c r="N28" s="10"/>
      <c r="O28" s="10"/>
    </row>
    <row r="29" spans="1:15" ht="15" thickBot="1" x14ac:dyDescent="0.35">
      <c r="A29" s="297"/>
      <c r="B29" s="294"/>
      <c r="C29" s="107" t="s">
        <v>116</v>
      </c>
      <c r="D29" s="101" t="s">
        <v>96</v>
      </c>
      <c r="E29" s="194"/>
      <c r="F29" s="191"/>
      <c r="G29" s="191"/>
      <c r="H29" s="192"/>
      <c r="I29" s="192"/>
      <c r="J29" s="194"/>
      <c r="K29" s="191"/>
      <c r="L29" s="191"/>
      <c r="N29" s="10"/>
      <c r="O29" s="10"/>
    </row>
    <row r="30" spans="1:15" ht="15.75" customHeight="1" thickBot="1" x14ac:dyDescent="0.35">
      <c r="A30" s="295" t="s">
        <v>117</v>
      </c>
      <c r="B30" s="293" t="s">
        <v>95</v>
      </c>
      <c r="C30" s="293" t="s">
        <v>96</v>
      </c>
      <c r="D30" s="101" t="s">
        <v>97</v>
      </c>
      <c r="E30" s="193"/>
      <c r="F30" s="193"/>
      <c r="G30" s="193"/>
      <c r="H30" s="192"/>
      <c r="I30" s="192"/>
      <c r="J30" s="193"/>
      <c r="K30" s="193"/>
      <c r="L30" s="193"/>
      <c r="N30" s="10"/>
      <c r="O30" s="10"/>
    </row>
    <row r="31" spans="1:15" ht="15" thickBot="1" x14ac:dyDescent="0.35">
      <c r="A31" s="296"/>
      <c r="B31" s="294"/>
      <c r="C31" s="294"/>
      <c r="D31" s="101" t="s">
        <v>99</v>
      </c>
      <c r="E31" s="193"/>
      <c r="F31" s="193"/>
      <c r="G31" s="193"/>
      <c r="H31" s="192"/>
      <c r="I31" s="192"/>
      <c r="J31" s="193"/>
      <c r="K31" s="193"/>
      <c r="L31" s="193"/>
      <c r="N31" s="10"/>
      <c r="O31" s="10"/>
    </row>
    <row r="32" spans="1:15" ht="15" thickBot="1" x14ac:dyDescent="0.35">
      <c r="A32" s="296"/>
      <c r="B32" s="293" t="s">
        <v>100</v>
      </c>
      <c r="C32" s="293" t="s">
        <v>96</v>
      </c>
      <c r="D32" s="101" t="s">
        <v>97</v>
      </c>
      <c r="E32" s="193"/>
      <c r="F32" s="193"/>
      <c r="G32" s="191"/>
      <c r="H32" s="192"/>
      <c r="I32" s="192"/>
      <c r="J32" s="193"/>
      <c r="K32" s="193"/>
      <c r="L32" s="191"/>
      <c r="N32" s="10"/>
      <c r="O32" s="10"/>
    </row>
    <row r="33" spans="1:15" ht="15" thickBot="1" x14ac:dyDescent="0.35">
      <c r="A33" s="296"/>
      <c r="B33" s="294"/>
      <c r="C33" s="294"/>
      <c r="D33" s="101" t="s">
        <v>99</v>
      </c>
      <c r="E33" s="193"/>
      <c r="F33" s="193"/>
      <c r="G33" s="191"/>
      <c r="H33" s="192"/>
      <c r="I33" s="192"/>
      <c r="J33" s="193"/>
      <c r="K33" s="193"/>
      <c r="L33" s="191"/>
      <c r="N33" s="10"/>
      <c r="O33" s="10"/>
    </row>
    <row r="34" spans="1:15" ht="15" thickBot="1" x14ac:dyDescent="0.35">
      <c r="A34" s="296"/>
      <c r="B34" s="293" t="s">
        <v>102</v>
      </c>
      <c r="C34" s="293"/>
      <c r="D34" s="101" t="s">
        <v>97</v>
      </c>
      <c r="E34" s="193"/>
      <c r="F34" s="193"/>
      <c r="G34" s="193"/>
      <c r="H34" s="192"/>
      <c r="I34" s="192"/>
      <c r="J34" s="193"/>
      <c r="K34" s="193"/>
      <c r="L34" s="193"/>
      <c r="N34" s="10"/>
      <c r="O34" s="10"/>
    </row>
    <row r="35" spans="1:15" ht="15" thickBot="1" x14ac:dyDescent="0.35">
      <c r="A35" s="296"/>
      <c r="B35" s="298"/>
      <c r="C35" s="298"/>
      <c r="D35" s="101" t="s">
        <v>99</v>
      </c>
      <c r="E35" s="193"/>
      <c r="F35" s="193"/>
      <c r="G35" s="193"/>
      <c r="H35" s="192"/>
      <c r="I35" s="192"/>
      <c r="J35" s="193"/>
      <c r="K35" s="193"/>
      <c r="L35" s="193"/>
      <c r="N35" s="10"/>
      <c r="O35" s="10"/>
    </row>
    <row r="36" spans="1:15" ht="15" thickBot="1" x14ac:dyDescent="0.35">
      <c r="A36" s="296"/>
      <c r="B36" s="294"/>
      <c r="C36" s="294"/>
      <c r="D36" s="101" t="s">
        <v>96</v>
      </c>
      <c r="E36" s="193"/>
      <c r="F36" s="193"/>
      <c r="G36" s="193"/>
      <c r="H36" s="192"/>
      <c r="I36" s="192"/>
      <c r="J36" s="193"/>
      <c r="K36" s="193"/>
      <c r="L36" s="193"/>
      <c r="N36" s="10"/>
      <c r="O36" s="10"/>
    </row>
    <row r="37" spans="1:15" ht="15" thickBot="1" x14ac:dyDescent="0.35">
      <c r="A37" s="297"/>
      <c r="B37" s="101" t="s">
        <v>104</v>
      </c>
      <c r="C37" s="101" t="s">
        <v>96</v>
      </c>
      <c r="D37" s="101" t="s">
        <v>96</v>
      </c>
      <c r="E37" s="193"/>
      <c r="F37" s="193"/>
      <c r="G37" s="193"/>
      <c r="H37" s="192"/>
      <c r="I37" s="192"/>
      <c r="J37" s="193"/>
      <c r="K37" s="193"/>
      <c r="L37" s="193"/>
      <c r="N37" s="10"/>
      <c r="O37" s="10"/>
    </row>
    <row r="38" spans="1:15" ht="15.75" customHeight="1" thickBot="1" x14ac:dyDescent="0.35">
      <c r="A38" s="295" t="s">
        <v>118</v>
      </c>
      <c r="B38" s="293" t="s">
        <v>95</v>
      </c>
      <c r="C38" s="293" t="s">
        <v>96</v>
      </c>
      <c r="D38" s="101" t="s">
        <v>97</v>
      </c>
      <c r="E38" s="193"/>
      <c r="F38" s="193"/>
      <c r="G38" s="193"/>
      <c r="H38" s="192"/>
      <c r="I38" s="192"/>
      <c r="J38" s="193"/>
      <c r="K38" s="193"/>
      <c r="L38" s="193"/>
      <c r="M38" s="103"/>
      <c r="N38" s="10"/>
      <c r="O38" s="10"/>
    </row>
    <row r="39" spans="1:15" ht="15" thickBot="1" x14ac:dyDescent="0.35">
      <c r="A39" s="296"/>
      <c r="B39" s="294"/>
      <c r="C39" s="294"/>
      <c r="D39" s="101" t="s">
        <v>99</v>
      </c>
      <c r="E39" s="193"/>
      <c r="F39" s="193"/>
      <c r="G39" s="193"/>
      <c r="H39" s="192"/>
      <c r="I39" s="192"/>
      <c r="J39" s="193"/>
      <c r="K39" s="193"/>
      <c r="L39" s="193"/>
      <c r="M39" s="103"/>
      <c r="N39" s="10"/>
      <c r="O39" s="10"/>
    </row>
    <row r="40" spans="1:15" ht="15" thickBot="1" x14ac:dyDescent="0.35">
      <c r="A40" s="296"/>
      <c r="B40" s="293" t="s">
        <v>100</v>
      </c>
      <c r="C40" s="293" t="s">
        <v>96</v>
      </c>
      <c r="D40" s="101" t="s">
        <v>97</v>
      </c>
      <c r="E40" s="193"/>
      <c r="F40" s="193"/>
      <c r="G40" s="193"/>
      <c r="H40" s="192"/>
      <c r="I40" s="192"/>
      <c r="J40" s="193"/>
      <c r="K40" s="193"/>
      <c r="L40" s="193"/>
      <c r="M40" s="104"/>
      <c r="N40" s="10"/>
      <c r="O40" s="10"/>
    </row>
    <row r="41" spans="1:15" ht="15" thickBot="1" x14ac:dyDescent="0.35">
      <c r="A41" s="296"/>
      <c r="B41" s="294"/>
      <c r="C41" s="294"/>
      <c r="D41" s="101" t="s">
        <v>99</v>
      </c>
      <c r="E41" s="193"/>
      <c r="F41" s="193"/>
      <c r="G41" s="193"/>
      <c r="H41" s="192"/>
      <c r="I41" s="192"/>
      <c r="J41" s="193"/>
      <c r="K41" s="193"/>
      <c r="L41" s="193"/>
      <c r="M41" s="10"/>
      <c r="N41" s="10"/>
      <c r="O41" s="10"/>
    </row>
    <row r="42" spans="1:15" ht="15" thickBot="1" x14ac:dyDescent="0.35">
      <c r="A42" s="296"/>
      <c r="B42" s="293" t="s">
        <v>22</v>
      </c>
      <c r="C42" s="293" t="s">
        <v>96</v>
      </c>
      <c r="D42" s="101" t="s">
        <v>96</v>
      </c>
      <c r="E42" s="193"/>
      <c r="F42" s="193"/>
      <c r="G42" s="193"/>
      <c r="H42" s="192"/>
      <c r="I42" s="192"/>
      <c r="J42" s="193"/>
      <c r="K42" s="193"/>
      <c r="L42" s="193"/>
      <c r="M42" s="103"/>
      <c r="N42" s="10"/>
      <c r="O42" s="10"/>
    </row>
    <row r="43" spans="1:15" ht="15" thickBot="1" x14ac:dyDescent="0.35">
      <c r="A43" s="296"/>
      <c r="B43" s="298"/>
      <c r="C43" s="298"/>
      <c r="D43" s="101" t="s">
        <v>97</v>
      </c>
      <c r="E43" s="193"/>
      <c r="F43" s="193"/>
      <c r="G43" s="193"/>
      <c r="H43" s="192"/>
      <c r="I43" s="192"/>
      <c r="J43" s="193"/>
      <c r="K43" s="193"/>
      <c r="L43" s="193"/>
      <c r="M43" s="103"/>
      <c r="N43" s="10"/>
      <c r="O43" s="10"/>
    </row>
    <row r="44" spans="1:15" ht="15" thickBot="1" x14ac:dyDescent="0.35">
      <c r="A44" s="296"/>
      <c r="B44" s="294"/>
      <c r="C44" s="294"/>
      <c r="D44" s="101" t="s">
        <v>99</v>
      </c>
      <c r="E44" s="193"/>
      <c r="F44" s="193"/>
      <c r="G44" s="193"/>
      <c r="H44" s="192"/>
      <c r="I44" s="192"/>
      <c r="J44" s="193"/>
      <c r="K44" s="193"/>
      <c r="L44" s="193"/>
      <c r="M44" s="103"/>
      <c r="N44" s="10"/>
      <c r="O44" s="10"/>
    </row>
    <row r="45" spans="1:15" ht="15" thickBot="1" x14ac:dyDescent="0.35">
      <c r="A45" s="296"/>
      <c r="B45" s="293" t="s">
        <v>119</v>
      </c>
      <c r="C45" s="293" t="s">
        <v>96</v>
      </c>
      <c r="D45" s="101" t="s">
        <v>96</v>
      </c>
      <c r="E45" s="193"/>
      <c r="F45" s="193"/>
      <c r="G45" s="193"/>
      <c r="H45" s="192"/>
      <c r="I45" s="192"/>
      <c r="J45" s="193"/>
      <c r="K45" s="193"/>
      <c r="L45" s="193"/>
      <c r="M45" s="10"/>
      <c r="N45" s="10"/>
      <c r="O45" s="10"/>
    </row>
    <row r="46" spans="1:15" ht="15" thickBot="1" x14ac:dyDescent="0.35">
      <c r="A46" s="296"/>
      <c r="B46" s="298"/>
      <c r="C46" s="298"/>
      <c r="D46" s="101" t="s">
        <v>97</v>
      </c>
      <c r="E46" s="193"/>
      <c r="F46" s="193"/>
      <c r="G46" s="193"/>
      <c r="H46" s="192"/>
      <c r="I46" s="192"/>
      <c r="J46" s="193"/>
      <c r="K46" s="193"/>
      <c r="L46" s="193"/>
      <c r="N46" s="10"/>
      <c r="O46" s="10"/>
    </row>
    <row r="47" spans="1:15" ht="15" thickBot="1" x14ac:dyDescent="0.35">
      <c r="A47" s="296"/>
      <c r="B47" s="294"/>
      <c r="C47" s="294"/>
      <c r="D47" s="101" t="s">
        <v>99</v>
      </c>
      <c r="E47" s="193"/>
      <c r="F47" s="193"/>
      <c r="G47" s="193"/>
      <c r="H47" s="192"/>
      <c r="I47" s="192"/>
      <c r="J47" s="193"/>
      <c r="K47" s="193"/>
      <c r="L47" s="193"/>
      <c r="N47" s="10"/>
      <c r="O47" s="10"/>
    </row>
    <row r="48" spans="1:15" ht="15" thickBot="1" x14ac:dyDescent="0.35">
      <c r="A48" s="296"/>
      <c r="B48" s="108" t="s">
        <v>120</v>
      </c>
      <c r="C48" s="108" t="s">
        <v>96</v>
      </c>
      <c r="D48" s="108" t="s">
        <v>96</v>
      </c>
      <c r="E48" s="193"/>
      <c r="F48" s="191"/>
      <c r="G48" s="191"/>
      <c r="H48" s="192"/>
      <c r="I48" s="192"/>
      <c r="J48" s="193"/>
      <c r="K48" s="193"/>
      <c r="L48" s="193"/>
      <c r="N48" s="10"/>
      <c r="O48" s="10"/>
    </row>
    <row r="49" spans="1:15" ht="15" thickBot="1" x14ac:dyDescent="0.35">
      <c r="A49" s="297"/>
      <c r="B49" s="101" t="s">
        <v>104</v>
      </c>
      <c r="C49" s="101" t="s">
        <v>96</v>
      </c>
      <c r="D49" s="101" t="s">
        <v>96</v>
      </c>
      <c r="E49" s="193"/>
      <c r="F49" s="193"/>
      <c r="G49" s="193"/>
      <c r="H49" s="192"/>
      <c r="I49" s="192"/>
      <c r="J49" s="193"/>
      <c r="K49" s="193"/>
      <c r="L49" s="193"/>
      <c r="N49" s="10"/>
      <c r="O49" s="10"/>
    </row>
    <row r="50" spans="1:15" ht="15.75" customHeight="1" thickBot="1" x14ac:dyDescent="0.35">
      <c r="A50" s="295" t="s">
        <v>121</v>
      </c>
      <c r="B50" s="293" t="s">
        <v>95</v>
      </c>
      <c r="C50" s="293" t="s">
        <v>96</v>
      </c>
      <c r="D50" s="101" t="s">
        <v>97</v>
      </c>
      <c r="E50" s="193"/>
      <c r="F50" s="193"/>
      <c r="G50" s="193"/>
      <c r="H50" s="192"/>
      <c r="I50" s="192"/>
      <c r="J50" s="193"/>
      <c r="K50" s="193"/>
      <c r="L50" s="193"/>
      <c r="N50" s="10"/>
      <c r="O50" s="10"/>
    </row>
    <row r="51" spans="1:15" ht="15" thickBot="1" x14ac:dyDescent="0.35">
      <c r="A51" s="296"/>
      <c r="B51" s="294"/>
      <c r="C51" s="294"/>
      <c r="D51" s="101" t="s">
        <v>99</v>
      </c>
      <c r="E51" s="193"/>
      <c r="F51" s="193"/>
      <c r="G51" s="193"/>
      <c r="H51" s="192"/>
      <c r="I51" s="192"/>
      <c r="J51" s="193"/>
      <c r="K51" s="193"/>
      <c r="L51" s="193"/>
      <c r="M51" s="103"/>
      <c r="N51" s="10"/>
      <c r="O51" s="10"/>
    </row>
    <row r="52" spans="1:15" ht="15" thickBot="1" x14ac:dyDescent="0.35">
      <c r="A52" s="296"/>
      <c r="B52" s="293" t="s">
        <v>100</v>
      </c>
      <c r="C52" s="293" t="s">
        <v>96</v>
      </c>
      <c r="D52" s="101" t="s">
        <v>97</v>
      </c>
      <c r="E52" s="193"/>
      <c r="F52" s="193"/>
      <c r="G52" s="193"/>
      <c r="H52" s="192"/>
      <c r="I52" s="192"/>
      <c r="J52" s="193"/>
      <c r="K52" s="193"/>
      <c r="L52" s="193"/>
      <c r="M52" s="103"/>
      <c r="N52" s="10"/>
      <c r="O52" s="10"/>
    </row>
    <row r="53" spans="1:15" ht="15" thickBot="1" x14ac:dyDescent="0.35">
      <c r="A53" s="296"/>
      <c r="B53" s="294"/>
      <c r="C53" s="294"/>
      <c r="D53" s="101" t="s">
        <v>99</v>
      </c>
      <c r="E53" s="193"/>
      <c r="F53" s="193"/>
      <c r="G53" s="193"/>
      <c r="H53" s="192"/>
      <c r="I53" s="192"/>
      <c r="J53" s="193"/>
      <c r="K53" s="193"/>
      <c r="L53" s="193"/>
      <c r="M53" s="104"/>
      <c r="N53" s="10"/>
      <c r="O53" s="10"/>
    </row>
    <row r="54" spans="1:15" ht="15" thickBot="1" x14ac:dyDescent="0.35">
      <c r="A54" s="296"/>
      <c r="B54" s="293" t="s">
        <v>22</v>
      </c>
      <c r="C54" s="293" t="s">
        <v>96</v>
      </c>
      <c r="D54" s="101" t="s">
        <v>96</v>
      </c>
      <c r="E54" s="193"/>
      <c r="F54" s="193"/>
      <c r="G54" s="193"/>
      <c r="H54" s="192"/>
      <c r="I54" s="192"/>
      <c r="J54" s="193"/>
      <c r="K54" s="193"/>
      <c r="L54" s="193"/>
      <c r="M54" s="10"/>
      <c r="N54" s="10"/>
      <c r="O54" s="10"/>
    </row>
    <row r="55" spans="1:15" ht="15" thickBot="1" x14ac:dyDescent="0.35">
      <c r="A55" s="296"/>
      <c r="B55" s="298"/>
      <c r="C55" s="298"/>
      <c r="D55" s="101" t="s">
        <v>97</v>
      </c>
      <c r="E55" s="193"/>
      <c r="F55" s="193"/>
      <c r="G55" s="193"/>
      <c r="H55" s="192"/>
      <c r="I55" s="192"/>
      <c r="J55" s="193"/>
      <c r="K55" s="193"/>
      <c r="L55" s="193"/>
      <c r="M55" s="103"/>
      <c r="N55" s="10"/>
      <c r="O55" s="10"/>
    </row>
    <row r="56" spans="1:15" ht="15" thickBot="1" x14ac:dyDescent="0.35">
      <c r="A56" s="296"/>
      <c r="B56" s="294"/>
      <c r="C56" s="294"/>
      <c r="D56" s="101" t="s">
        <v>99</v>
      </c>
      <c r="E56" s="193"/>
      <c r="F56" s="193"/>
      <c r="G56" s="193"/>
      <c r="H56" s="192"/>
      <c r="I56" s="192"/>
      <c r="J56" s="193"/>
      <c r="K56" s="193"/>
      <c r="L56" s="193"/>
      <c r="M56" s="103"/>
      <c r="N56" s="10"/>
      <c r="O56" s="10"/>
    </row>
    <row r="57" spans="1:15" ht="15" thickBot="1" x14ac:dyDescent="0.35">
      <c r="A57" s="296"/>
      <c r="B57" s="293" t="s">
        <v>119</v>
      </c>
      <c r="C57" s="293" t="s">
        <v>96</v>
      </c>
      <c r="D57" s="101" t="s">
        <v>96</v>
      </c>
      <c r="E57" s="193"/>
      <c r="F57" s="193"/>
      <c r="G57" s="193"/>
      <c r="H57" s="192"/>
      <c r="I57" s="192"/>
      <c r="J57" s="193"/>
      <c r="K57" s="193"/>
      <c r="L57" s="193"/>
      <c r="M57" s="103"/>
      <c r="N57" s="10"/>
      <c r="O57" s="10"/>
    </row>
    <row r="58" spans="1:15" ht="15" thickBot="1" x14ac:dyDescent="0.35">
      <c r="A58" s="296"/>
      <c r="B58" s="298"/>
      <c r="C58" s="298"/>
      <c r="D58" s="101" t="s">
        <v>97</v>
      </c>
      <c r="E58" s="193"/>
      <c r="F58" s="193"/>
      <c r="G58" s="193"/>
      <c r="H58" s="192"/>
      <c r="I58" s="192"/>
      <c r="J58" s="193"/>
      <c r="K58" s="193"/>
      <c r="L58" s="193"/>
      <c r="M58" s="10"/>
      <c r="N58" s="10"/>
      <c r="O58" s="10"/>
    </row>
    <row r="59" spans="1:15" ht="15" thickBot="1" x14ac:dyDescent="0.35">
      <c r="A59" s="296"/>
      <c r="B59" s="294"/>
      <c r="C59" s="294"/>
      <c r="D59" s="101" t="s">
        <v>99</v>
      </c>
      <c r="E59" s="193"/>
      <c r="F59" s="193"/>
      <c r="G59" s="193"/>
      <c r="H59" s="192"/>
      <c r="I59" s="192"/>
      <c r="J59" s="193"/>
      <c r="K59" s="193"/>
      <c r="L59" s="193"/>
      <c r="N59" s="10"/>
      <c r="O59" s="10"/>
    </row>
    <row r="60" spans="1:15" ht="15" thickBot="1" x14ac:dyDescent="0.35">
      <c r="A60" s="296"/>
      <c r="B60" s="101" t="s">
        <v>120</v>
      </c>
      <c r="C60" s="101" t="s">
        <v>96</v>
      </c>
      <c r="D60" s="101" t="s">
        <v>96</v>
      </c>
      <c r="E60" s="193"/>
      <c r="F60" s="193"/>
      <c r="G60" s="193"/>
      <c r="H60" s="192"/>
      <c r="I60" s="192"/>
      <c r="J60" s="193"/>
      <c r="K60" s="193"/>
      <c r="L60" s="193"/>
      <c r="N60" s="10"/>
      <c r="O60" s="10"/>
    </row>
    <row r="61" spans="1:15" ht="15" thickBot="1" x14ac:dyDescent="0.35">
      <c r="A61" s="296"/>
      <c r="B61" s="293" t="s">
        <v>102</v>
      </c>
      <c r="C61" s="299" t="s">
        <v>122</v>
      </c>
      <c r="D61" s="101" t="s">
        <v>97</v>
      </c>
      <c r="E61" s="193"/>
      <c r="F61" s="193"/>
      <c r="G61" s="193"/>
      <c r="H61" s="192"/>
      <c r="I61" s="192"/>
      <c r="J61" s="193"/>
      <c r="K61" s="193"/>
      <c r="L61" s="193"/>
      <c r="N61" s="10"/>
      <c r="O61" s="10"/>
    </row>
    <row r="62" spans="1:15" ht="15" thickBot="1" x14ac:dyDescent="0.35">
      <c r="A62" s="296"/>
      <c r="B62" s="298"/>
      <c r="C62" s="300"/>
      <c r="D62" s="101" t="s">
        <v>99</v>
      </c>
      <c r="E62" s="193"/>
      <c r="F62" s="193"/>
      <c r="G62" s="193"/>
      <c r="H62" s="192"/>
      <c r="I62" s="192"/>
      <c r="J62" s="193"/>
      <c r="K62" s="193"/>
      <c r="L62" s="193"/>
      <c r="N62" s="10"/>
      <c r="O62" s="10"/>
    </row>
    <row r="63" spans="1:15" ht="15" thickBot="1" x14ac:dyDescent="0.35">
      <c r="A63" s="296"/>
      <c r="B63" s="294"/>
      <c r="C63" s="301"/>
      <c r="D63" s="101" t="s">
        <v>96</v>
      </c>
      <c r="E63" s="193"/>
      <c r="F63" s="193"/>
      <c r="G63" s="193"/>
      <c r="H63" s="192"/>
      <c r="I63" s="192"/>
      <c r="J63" s="193"/>
      <c r="K63" s="193"/>
      <c r="L63" s="193"/>
      <c r="N63" s="10"/>
      <c r="O63" s="10"/>
    </row>
    <row r="64" spans="1:15" ht="15" thickBot="1" x14ac:dyDescent="0.35">
      <c r="A64" s="297"/>
      <c r="B64" s="101" t="s">
        <v>104</v>
      </c>
      <c r="C64" s="101" t="s">
        <v>96</v>
      </c>
      <c r="D64" s="101" t="s">
        <v>96</v>
      </c>
      <c r="E64" s="193"/>
      <c r="F64" s="193"/>
      <c r="G64" s="193"/>
      <c r="H64" s="192"/>
      <c r="I64" s="192"/>
      <c r="J64" s="193"/>
      <c r="K64" s="193"/>
      <c r="L64" s="193"/>
      <c r="N64" s="10"/>
      <c r="O64" s="10"/>
    </row>
    <row r="65" spans="1:17" ht="15" thickBot="1" x14ac:dyDescent="0.3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</row>
    <row r="66" spans="1:17" ht="15" thickBot="1" x14ac:dyDescent="0.35">
      <c r="A66" s="284" t="s">
        <v>123</v>
      </c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6"/>
    </row>
    <row r="67" spans="1:17" ht="15.75" customHeight="1" thickBot="1" x14ac:dyDescent="0.35">
      <c r="A67" s="305" t="s">
        <v>75</v>
      </c>
      <c r="B67" s="305" t="s">
        <v>76</v>
      </c>
      <c r="C67" s="305" t="s">
        <v>124</v>
      </c>
      <c r="D67" s="305" t="s">
        <v>125</v>
      </c>
      <c r="E67" s="305" t="s">
        <v>78</v>
      </c>
      <c r="F67" s="308" t="s">
        <v>79</v>
      </c>
      <c r="G67" s="309"/>
      <c r="H67" s="309"/>
      <c r="I67" s="309"/>
      <c r="J67" s="310"/>
      <c r="K67" s="308" t="s">
        <v>126</v>
      </c>
      <c r="L67" s="309"/>
      <c r="M67" s="310"/>
    </row>
    <row r="68" spans="1:17" ht="15" thickBot="1" x14ac:dyDescent="0.35">
      <c r="A68" s="306"/>
      <c r="B68" s="306"/>
      <c r="C68" s="306"/>
      <c r="D68" s="306"/>
      <c r="E68" s="306"/>
      <c r="F68" s="302" t="s">
        <v>0</v>
      </c>
      <c r="G68" s="304"/>
      <c r="H68" s="302" t="s">
        <v>1</v>
      </c>
      <c r="I68" s="303"/>
      <c r="J68" s="304"/>
      <c r="K68" s="302" t="s">
        <v>0</v>
      </c>
      <c r="L68" s="304"/>
      <c r="M68" s="110" t="s">
        <v>1</v>
      </c>
    </row>
    <row r="69" spans="1:17" ht="15" thickBot="1" x14ac:dyDescent="0.35">
      <c r="A69" s="307"/>
      <c r="B69" s="307"/>
      <c r="C69" s="307"/>
      <c r="D69" s="307"/>
      <c r="E69" s="307"/>
      <c r="F69" s="111" t="s">
        <v>13</v>
      </c>
      <c r="G69" s="111" t="s">
        <v>88</v>
      </c>
      <c r="H69" s="112" t="s">
        <v>89</v>
      </c>
      <c r="I69" s="113" t="s">
        <v>90</v>
      </c>
      <c r="J69" s="114" t="s">
        <v>91</v>
      </c>
      <c r="K69" s="111" t="s">
        <v>13</v>
      </c>
      <c r="L69" s="111" t="s">
        <v>88</v>
      </c>
      <c r="M69" s="111" t="s">
        <v>88</v>
      </c>
      <c r="O69" s="103"/>
    </row>
    <row r="70" spans="1:17" ht="15" thickBot="1" x14ac:dyDescent="0.35">
      <c r="A70" s="295" t="s">
        <v>11</v>
      </c>
      <c r="B70" s="311" t="s">
        <v>127</v>
      </c>
      <c r="C70" s="311" t="s">
        <v>128</v>
      </c>
      <c r="D70" s="311" t="s">
        <v>128</v>
      </c>
      <c r="E70" s="115" t="s">
        <v>97</v>
      </c>
      <c r="F70" s="199">
        <v>0</v>
      </c>
      <c r="G70" s="193">
        <v>999.02</v>
      </c>
      <c r="H70" s="193">
        <v>516.91</v>
      </c>
      <c r="I70" s="192"/>
      <c r="J70" s="192"/>
      <c r="K70" s="193">
        <v>0</v>
      </c>
      <c r="L70" s="193">
        <v>956.95</v>
      </c>
      <c r="M70" s="193">
        <v>478.38</v>
      </c>
      <c r="O70" s="103"/>
      <c r="P70" s="10"/>
      <c r="Q70" s="116"/>
    </row>
    <row r="71" spans="1:17" ht="15" thickBot="1" x14ac:dyDescent="0.35">
      <c r="A71" s="296"/>
      <c r="B71" s="312"/>
      <c r="C71" s="312"/>
      <c r="D71" s="312"/>
      <c r="E71" s="115" t="s">
        <v>129</v>
      </c>
      <c r="F71" s="199">
        <v>0</v>
      </c>
      <c r="G71" s="193">
        <v>698.21</v>
      </c>
      <c r="H71" s="193">
        <v>321.07</v>
      </c>
      <c r="I71" s="192"/>
      <c r="J71" s="192"/>
      <c r="K71" s="193">
        <v>0</v>
      </c>
      <c r="L71" s="193">
        <v>662.46</v>
      </c>
      <c r="M71" s="193">
        <v>299.92</v>
      </c>
      <c r="O71" s="104"/>
      <c r="P71" s="10"/>
    </row>
    <row r="72" spans="1:17" ht="15" thickBot="1" x14ac:dyDescent="0.35">
      <c r="A72" s="296"/>
      <c r="B72" s="313"/>
      <c r="C72" s="313"/>
      <c r="D72" s="313"/>
      <c r="E72" s="115" t="s">
        <v>99</v>
      </c>
      <c r="F72" s="199">
        <v>0</v>
      </c>
      <c r="G72" s="193">
        <v>397.41</v>
      </c>
      <c r="H72" s="193">
        <v>321.07</v>
      </c>
      <c r="I72" s="192"/>
      <c r="J72" s="192"/>
      <c r="K72" s="193">
        <v>0</v>
      </c>
      <c r="L72" s="193">
        <v>367.97</v>
      </c>
      <c r="M72" s="193">
        <v>299.92</v>
      </c>
      <c r="O72" s="10"/>
      <c r="P72" s="10"/>
    </row>
    <row r="73" spans="1:17" ht="15" thickBot="1" x14ac:dyDescent="0.35">
      <c r="A73" s="296"/>
      <c r="B73" s="311" t="s">
        <v>120</v>
      </c>
      <c r="C73" s="311" t="s">
        <v>128</v>
      </c>
      <c r="D73" s="117" t="s">
        <v>128</v>
      </c>
      <c r="E73" s="115" t="s">
        <v>96</v>
      </c>
      <c r="F73" s="200">
        <v>0</v>
      </c>
      <c r="G73" s="193">
        <v>506.32</v>
      </c>
      <c r="H73" s="193">
        <v>337.39</v>
      </c>
      <c r="I73" s="192"/>
      <c r="J73" s="192"/>
      <c r="K73" s="191">
        <v>0</v>
      </c>
      <c r="L73" s="193">
        <v>474.59</v>
      </c>
      <c r="M73" s="193">
        <v>314.79000000000002</v>
      </c>
      <c r="O73" s="103"/>
      <c r="P73" s="10"/>
    </row>
    <row r="74" spans="1:17" ht="15" thickBot="1" x14ac:dyDescent="0.35">
      <c r="A74" s="296"/>
      <c r="B74" s="312"/>
      <c r="C74" s="312"/>
      <c r="D74" s="117" t="s">
        <v>130</v>
      </c>
      <c r="E74" s="115" t="s">
        <v>96</v>
      </c>
      <c r="F74" s="200">
        <v>0</v>
      </c>
      <c r="G74" s="193">
        <v>348.95</v>
      </c>
      <c r="H74" s="193">
        <v>325.32</v>
      </c>
      <c r="I74" s="192"/>
      <c r="J74" s="192"/>
      <c r="K74" s="191">
        <v>0</v>
      </c>
      <c r="L74" s="193">
        <v>334.57</v>
      </c>
      <c r="M74" s="193">
        <v>303.57</v>
      </c>
      <c r="O74" s="103"/>
      <c r="P74" s="10"/>
    </row>
    <row r="75" spans="1:17" ht="15" thickBot="1" x14ac:dyDescent="0.35">
      <c r="A75" s="297"/>
      <c r="B75" s="313"/>
      <c r="C75" s="313"/>
      <c r="D75" s="266" t="s">
        <v>244</v>
      </c>
      <c r="E75" s="115" t="s">
        <v>96</v>
      </c>
      <c r="F75" s="200">
        <v>0</v>
      </c>
      <c r="G75" s="193">
        <v>356.42</v>
      </c>
      <c r="H75" s="193">
        <v>337.59</v>
      </c>
      <c r="I75" s="192"/>
      <c r="J75" s="192"/>
      <c r="K75" s="191"/>
      <c r="L75" s="193">
        <v>343.39</v>
      </c>
      <c r="M75" s="193">
        <v>314.79000000000002</v>
      </c>
      <c r="O75" s="103"/>
      <c r="P75" s="10"/>
    </row>
    <row r="76" spans="1:17" ht="15" thickBot="1" x14ac:dyDescent="0.35">
      <c r="A76" s="295" t="s">
        <v>12</v>
      </c>
      <c r="B76" s="311" t="s">
        <v>127</v>
      </c>
      <c r="C76" s="311" t="s">
        <v>131</v>
      </c>
      <c r="D76" s="311" t="s">
        <v>96</v>
      </c>
      <c r="E76" s="115" t="s">
        <v>97</v>
      </c>
      <c r="F76" s="199">
        <v>0</v>
      </c>
      <c r="G76" s="193">
        <v>1128.67</v>
      </c>
      <c r="H76" s="193">
        <v>516.91</v>
      </c>
      <c r="I76" s="192"/>
      <c r="J76" s="192"/>
      <c r="K76" s="193">
        <v>0</v>
      </c>
      <c r="L76" s="193">
        <v>1083.8800000000001</v>
      </c>
      <c r="M76" s="193">
        <v>478.38</v>
      </c>
      <c r="O76" s="103"/>
      <c r="P76" s="10"/>
    </row>
    <row r="77" spans="1:17" ht="15" thickBot="1" x14ac:dyDescent="0.35">
      <c r="A77" s="296"/>
      <c r="B77" s="312"/>
      <c r="C77" s="312"/>
      <c r="D77" s="312"/>
      <c r="E77" s="115" t="s">
        <v>129</v>
      </c>
      <c r="F77" s="199">
        <v>0</v>
      </c>
      <c r="G77" s="193">
        <v>776.01</v>
      </c>
      <c r="H77" s="193">
        <v>321.07</v>
      </c>
      <c r="I77" s="192"/>
      <c r="J77" s="192"/>
      <c r="K77" s="193">
        <v>0</v>
      </c>
      <c r="L77" s="193">
        <v>738.62</v>
      </c>
      <c r="M77" s="193">
        <v>299.92</v>
      </c>
      <c r="O77" s="10"/>
      <c r="P77" s="10"/>
    </row>
    <row r="78" spans="1:17" ht="15" thickBot="1" x14ac:dyDescent="0.35">
      <c r="A78" s="296"/>
      <c r="B78" s="313"/>
      <c r="C78" s="313"/>
      <c r="D78" s="313"/>
      <c r="E78" s="115" t="s">
        <v>99</v>
      </c>
      <c r="F78" s="199">
        <v>0</v>
      </c>
      <c r="G78" s="193">
        <v>423.34</v>
      </c>
      <c r="H78" s="193">
        <v>321.07</v>
      </c>
      <c r="I78" s="192"/>
      <c r="J78" s="192"/>
      <c r="K78" s="193">
        <v>0</v>
      </c>
      <c r="L78" s="193">
        <v>393.35</v>
      </c>
      <c r="M78" s="193">
        <v>299.92</v>
      </c>
      <c r="O78" s="10"/>
      <c r="P78" s="10"/>
    </row>
    <row r="79" spans="1:17" ht="15.75" customHeight="1" thickBot="1" x14ac:dyDescent="0.35">
      <c r="A79" s="296"/>
      <c r="B79" s="117" t="s">
        <v>120</v>
      </c>
      <c r="C79" s="117" t="s">
        <v>131</v>
      </c>
      <c r="D79" s="117" t="s">
        <v>96</v>
      </c>
      <c r="E79" s="115" t="s">
        <v>96</v>
      </c>
      <c r="F79" s="199">
        <v>0</v>
      </c>
      <c r="G79" s="193">
        <v>506.32</v>
      </c>
      <c r="H79" s="193">
        <v>337.39</v>
      </c>
      <c r="I79" s="192"/>
      <c r="J79" s="192"/>
      <c r="K79" s="193">
        <v>0</v>
      </c>
      <c r="L79" s="193">
        <v>474.59</v>
      </c>
      <c r="M79" s="193">
        <v>314.79000000000002</v>
      </c>
      <c r="O79" s="10"/>
      <c r="P79" s="10"/>
    </row>
    <row r="80" spans="1:17" ht="15" thickBot="1" x14ac:dyDescent="0.35">
      <c r="A80" s="296"/>
      <c r="B80" s="311" t="s">
        <v>127</v>
      </c>
      <c r="C80" s="311" t="s">
        <v>131</v>
      </c>
      <c r="D80" s="311" t="s">
        <v>132</v>
      </c>
      <c r="E80" s="115" t="s">
        <v>97</v>
      </c>
      <c r="F80" s="199">
        <v>0</v>
      </c>
      <c r="G80" s="193">
        <v>1128.67</v>
      </c>
      <c r="H80" s="193">
        <v>516.91</v>
      </c>
      <c r="I80" s="192"/>
      <c r="J80" s="192"/>
      <c r="K80" s="193">
        <v>0</v>
      </c>
      <c r="L80" s="193">
        <v>1083.8800000000001</v>
      </c>
      <c r="M80" s="193">
        <v>478.38</v>
      </c>
      <c r="O80" s="10"/>
      <c r="P80" s="10"/>
    </row>
    <row r="81" spans="1:16" ht="15" thickBot="1" x14ac:dyDescent="0.35">
      <c r="A81" s="296"/>
      <c r="B81" s="312"/>
      <c r="C81" s="312"/>
      <c r="D81" s="312"/>
      <c r="E81" s="115" t="s">
        <v>129</v>
      </c>
      <c r="F81" s="199">
        <v>0</v>
      </c>
      <c r="G81" s="193">
        <v>776.01</v>
      </c>
      <c r="H81" s="193">
        <v>321.07</v>
      </c>
      <c r="I81" s="192"/>
      <c r="J81" s="192"/>
      <c r="K81" s="193">
        <v>0</v>
      </c>
      <c r="L81" s="193">
        <v>738.62</v>
      </c>
      <c r="M81" s="193">
        <v>299.92</v>
      </c>
      <c r="O81" s="10"/>
      <c r="P81" s="10"/>
    </row>
    <row r="82" spans="1:16" ht="15" thickBot="1" x14ac:dyDescent="0.35">
      <c r="A82" s="296"/>
      <c r="B82" s="313"/>
      <c r="C82" s="313"/>
      <c r="D82" s="313"/>
      <c r="E82" s="115" t="s">
        <v>99</v>
      </c>
      <c r="F82" s="199">
        <v>0</v>
      </c>
      <c r="G82" s="193">
        <v>423.34</v>
      </c>
      <c r="H82" s="193">
        <v>321.07</v>
      </c>
      <c r="I82" s="192"/>
      <c r="J82" s="192"/>
      <c r="K82" s="193">
        <v>0</v>
      </c>
      <c r="L82" s="193">
        <v>393.35</v>
      </c>
      <c r="M82" s="193">
        <v>299.92</v>
      </c>
      <c r="O82" s="10"/>
      <c r="P82" s="10"/>
    </row>
    <row r="83" spans="1:16" ht="15.75" customHeight="1" thickBot="1" x14ac:dyDescent="0.35">
      <c r="A83" s="296"/>
      <c r="B83" s="117" t="s">
        <v>120</v>
      </c>
      <c r="C83" s="117" t="s">
        <v>131</v>
      </c>
      <c r="D83" s="117" t="s">
        <v>132</v>
      </c>
      <c r="E83" s="115" t="s">
        <v>96</v>
      </c>
      <c r="F83" s="199">
        <v>0</v>
      </c>
      <c r="G83" s="193">
        <v>506.32</v>
      </c>
      <c r="H83" s="193">
        <v>337.39</v>
      </c>
      <c r="I83" s="192"/>
      <c r="J83" s="192"/>
      <c r="K83" s="193">
        <v>0</v>
      </c>
      <c r="L83" s="193">
        <v>474.59</v>
      </c>
      <c r="M83" s="193">
        <v>314.79000000000002</v>
      </c>
      <c r="O83" s="103"/>
      <c r="P83" s="10"/>
    </row>
    <row r="84" spans="1:16" ht="15" thickBot="1" x14ac:dyDescent="0.35">
      <c r="A84" s="296"/>
      <c r="B84" s="311" t="s">
        <v>127</v>
      </c>
      <c r="C84" s="311" t="s">
        <v>131</v>
      </c>
      <c r="D84" s="311" t="s">
        <v>133</v>
      </c>
      <c r="E84" s="115" t="s">
        <v>97</v>
      </c>
      <c r="F84" s="199">
        <v>0</v>
      </c>
      <c r="G84" s="193">
        <v>1128.67</v>
      </c>
      <c r="H84" s="193">
        <v>516.91</v>
      </c>
      <c r="I84" s="192"/>
      <c r="J84" s="192"/>
      <c r="K84" s="193">
        <v>0</v>
      </c>
      <c r="L84" s="193">
        <v>1083.8800000000001</v>
      </c>
      <c r="M84" s="193">
        <v>478.38</v>
      </c>
      <c r="O84" s="103"/>
      <c r="P84" s="10"/>
    </row>
    <row r="85" spans="1:16" ht="15" thickBot="1" x14ac:dyDescent="0.35">
      <c r="A85" s="296"/>
      <c r="B85" s="312"/>
      <c r="C85" s="312"/>
      <c r="D85" s="312"/>
      <c r="E85" s="115" t="s">
        <v>129</v>
      </c>
      <c r="F85" s="199">
        <v>0</v>
      </c>
      <c r="G85" s="193">
        <v>776.01</v>
      </c>
      <c r="H85" s="193">
        <v>321.07</v>
      </c>
      <c r="I85" s="192"/>
      <c r="J85" s="192"/>
      <c r="K85" s="193">
        <v>0</v>
      </c>
      <c r="L85" s="193">
        <v>738.62</v>
      </c>
      <c r="M85" s="193">
        <v>299.92</v>
      </c>
      <c r="O85" s="104"/>
      <c r="P85" s="10"/>
    </row>
    <row r="86" spans="1:16" ht="15" thickBot="1" x14ac:dyDescent="0.35">
      <c r="A86" s="296"/>
      <c r="B86" s="313"/>
      <c r="C86" s="313"/>
      <c r="D86" s="313"/>
      <c r="E86" s="115" t="s">
        <v>99</v>
      </c>
      <c r="F86" s="199">
        <v>0</v>
      </c>
      <c r="G86" s="193">
        <v>423.34</v>
      </c>
      <c r="H86" s="193">
        <v>321.07</v>
      </c>
      <c r="I86" s="192"/>
      <c r="J86" s="192"/>
      <c r="K86" s="193">
        <v>0</v>
      </c>
      <c r="L86" s="193">
        <v>393.35</v>
      </c>
      <c r="M86" s="193">
        <v>299.92</v>
      </c>
      <c r="O86" s="10"/>
      <c r="P86" s="10"/>
    </row>
    <row r="87" spans="1:16" ht="21" thickBot="1" x14ac:dyDescent="0.35">
      <c r="A87" s="297"/>
      <c r="B87" s="117" t="s">
        <v>120</v>
      </c>
      <c r="C87" s="117" t="s">
        <v>131</v>
      </c>
      <c r="D87" s="117" t="s">
        <v>133</v>
      </c>
      <c r="E87" s="115" t="s">
        <v>96</v>
      </c>
      <c r="F87" s="199">
        <v>0</v>
      </c>
      <c r="G87" s="193">
        <v>506.32</v>
      </c>
      <c r="H87" s="193">
        <v>337.39</v>
      </c>
      <c r="I87" s="192"/>
      <c r="J87" s="192"/>
      <c r="K87" s="193">
        <v>0</v>
      </c>
      <c r="L87" s="193">
        <v>474.59</v>
      </c>
      <c r="M87" s="193">
        <v>314.79000000000002</v>
      </c>
      <c r="O87" s="103"/>
      <c r="P87" s="10"/>
    </row>
    <row r="88" spans="1:16" ht="15" thickBot="1" x14ac:dyDescent="0.35">
      <c r="A88" s="295" t="s">
        <v>10</v>
      </c>
      <c r="B88" s="311" t="s">
        <v>127</v>
      </c>
      <c r="C88" s="311" t="s">
        <v>96</v>
      </c>
      <c r="D88" s="311" t="s">
        <v>96</v>
      </c>
      <c r="E88" s="115" t="s">
        <v>97</v>
      </c>
      <c r="F88" s="199">
        <v>0</v>
      </c>
      <c r="G88" s="193">
        <v>1128.67</v>
      </c>
      <c r="H88" s="193">
        <v>516.91</v>
      </c>
      <c r="I88" s="192"/>
      <c r="J88" s="192"/>
      <c r="K88" s="193">
        <v>0</v>
      </c>
      <c r="L88" s="193">
        <v>1083.8800000000001</v>
      </c>
      <c r="M88" s="193">
        <v>478.38</v>
      </c>
      <c r="O88" s="103"/>
      <c r="P88" s="10"/>
    </row>
    <row r="89" spans="1:16" ht="15" thickBot="1" x14ac:dyDescent="0.35">
      <c r="A89" s="296"/>
      <c r="B89" s="312"/>
      <c r="C89" s="312"/>
      <c r="D89" s="312"/>
      <c r="E89" s="115" t="s">
        <v>129</v>
      </c>
      <c r="F89" s="199">
        <v>0</v>
      </c>
      <c r="G89" s="193">
        <v>776.01</v>
      </c>
      <c r="H89" s="193">
        <v>321.07</v>
      </c>
      <c r="I89" s="192"/>
      <c r="J89" s="192"/>
      <c r="K89" s="193">
        <v>0</v>
      </c>
      <c r="L89" s="193">
        <v>738.62</v>
      </c>
      <c r="M89" s="193">
        <v>299.92</v>
      </c>
      <c r="O89" s="103"/>
      <c r="P89" s="10"/>
    </row>
    <row r="90" spans="1:16" ht="15" thickBot="1" x14ac:dyDescent="0.35">
      <c r="A90" s="296"/>
      <c r="B90" s="313"/>
      <c r="C90" s="313"/>
      <c r="D90" s="313"/>
      <c r="E90" s="115" t="s">
        <v>99</v>
      </c>
      <c r="F90" s="199">
        <v>0</v>
      </c>
      <c r="G90" s="193">
        <v>423.34</v>
      </c>
      <c r="H90" s="193">
        <v>321.07</v>
      </c>
      <c r="I90" s="192"/>
      <c r="J90" s="192"/>
      <c r="K90" s="193">
        <v>0</v>
      </c>
      <c r="L90" s="193">
        <v>393.35</v>
      </c>
      <c r="M90" s="193">
        <v>299.92</v>
      </c>
      <c r="O90" s="10"/>
      <c r="P90" s="10"/>
    </row>
    <row r="91" spans="1:16" ht="15" thickBot="1" x14ac:dyDescent="0.35">
      <c r="A91" s="297"/>
      <c r="B91" s="117" t="s">
        <v>120</v>
      </c>
      <c r="C91" s="117" t="s">
        <v>96</v>
      </c>
      <c r="D91" s="117" t="s">
        <v>96</v>
      </c>
      <c r="E91" s="115" t="s">
        <v>96</v>
      </c>
      <c r="F91" s="199">
        <v>0</v>
      </c>
      <c r="G91" s="193">
        <v>506.32</v>
      </c>
      <c r="H91" s="193">
        <v>337.39</v>
      </c>
      <c r="I91" s="192"/>
      <c r="J91" s="192"/>
      <c r="K91" s="193">
        <v>0</v>
      </c>
      <c r="L91" s="193">
        <v>474.59</v>
      </c>
      <c r="M91" s="193">
        <v>314.79000000000002</v>
      </c>
      <c r="O91" s="10"/>
      <c r="P91" s="10"/>
    </row>
    <row r="92" spans="1:16" ht="21" thickBot="1" x14ac:dyDescent="0.35">
      <c r="A92" s="295" t="s">
        <v>134</v>
      </c>
      <c r="B92" s="311" t="s">
        <v>120</v>
      </c>
      <c r="C92" s="311" t="s">
        <v>135</v>
      </c>
      <c r="D92" s="117" t="s">
        <v>136</v>
      </c>
      <c r="E92" s="115" t="s">
        <v>96</v>
      </c>
      <c r="F92" s="199">
        <v>0</v>
      </c>
      <c r="G92" s="193">
        <v>278.48</v>
      </c>
      <c r="H92" s="193">
        <v>185.56</v>
      </c>
      <c r="I92" s="192"/>
      <c r="J92" s="192"/>
      <c r="K92" s="193">
        <v>0</v>
      </c>
      <c r="L92" s="193">
        <v>261.02999999999997</v>
      </c>
      <c r="M92" s="193">
        <v>173.13</v>
      </c>
      <c r="O92" s="10"/>
      <c r="P92" s="10"/>
    </row>
    <row r="93" spans="1:16" ht="21" thickBot="1" x14ac:dyDescent="0.35">
      <c r="A93" s="297"/>
      <c r="B93" s="313"/>
      <c r="C93" s="313"/>
      <c r="D93" s="117" t="s">
        <v>137</v>
      </c>
      <c r="E93" s="115" t="s">
        <v>96</v>
      </c>
      <c r="F93" s="199">
        <v>0</v>
      </c>
      <c r="G93" s="193">
        <v>303.79000000000002</v>
      </c>
      <c r="H93" s="193">
        <v>202.43</v>
      </c>
      <c r="I93" s="192"/>
      <c r="J93" s="192"/>
      <c r="K93" s="193">
        <v>0</v>
      </c>
      <c r="L93" s="193">
        <v>284.76</v>
      </c>
      <c r="M93" s="193">
        <v>188.87</v>
      </c>
      <c r="O93" s="10"/>
      <c r="P93" s="10"/>
    </row>
  </sheetData>
  <autoFilter ref="B1:B93" xr:uid="{00000000-0009-0000-0000-000002000000}"/>
  <customSheetViews>
    <customSheetView guid="{93A7E07A-AC2D-4310-B7ED-B74DACBA50A7}" scale="90" showAutoFilter="1" state="hidden">
      <selection activeCell="D99" sqref="D99"/>
      <pageMargins left="0.511811024" right="0.511811024" top="0.78740157499999996" bottom="0.78740157499999996" header="0.31496062000000002" footer="0.31496062000000002"/>
      <pageSetup paperSize="9" orientation="portrait" r:id="rId1"/>
      <autoFilter ref="B1:B93" xr:uid="{FF9C6679-5DEB-43B2-81FE-65A05EC254C5}"/>
    </customSheetView>
    <customSheetView guid="{EB662AE4-4B22-40EC-8355-9AD94D059B97}" scale="90" showAutoFilter="1" state="hidden">
      <selection activeCell="D99" sqref="D99"/>
      <pageMargins left="0.511811024" right="0.511811024" top="0.78740157499999996" bottom="0.78740157499999996" header="0.31496062000000002" footer="0.31496062000000002"/>
      <pageSetup paperSize="9" orientation="portrait" r:id="rId2"/>
      <autoFilter ref="B1:B93" xr:uid="{F7E3B5A3-025E-4186-9F3F-6A6D2BC6E7C1}"/>
    </customSheetView>
    <customSheetView guid="{E99E9347-E83C-4BCD-9209-A3E8998220A9}" scale="90" showAutoFilter="1" state="hidden">
      <selection activeCell="F68" sqref="F68:M90"/>
      <pageMargins left="0.511811024" right="0.511811024" top="0.78740157499999996" bottom="0.78740157499999996" header="0.31496062000000002" footer="0.31496062000000002"/>
      <pageSetup paperSize="9" orientation="portrait" r:id="rId3"/>
      <autoFilter ref="B1:B91" xr:uid="{0D6BE623-34C8-4529-B1E4-75C7F155195E}"/>
    </customSheetView>
    <customSheetView guid="{A8592FA0-1011-4F02-BFB0-BB1C65ED9311}" scale="90" showAutoFilter="1" state="hidden">
      <selection activeCell="D99" sqref="D99"/>
      <pageMargins left="0.511811024" right="0.511811024" top="0.78740157499999996" bottom="0.78740157499999996" header="0.31496062000000002" footer="0.31496062000000002"/>
      <pageSetup paperSize="9" orientation="portrait" r:id="rId4"/>
      <autoFilter ref="B1:B93" xr:uid="{82DFCB45-E07A-478F-BC82-BA9E51A8D8A6}"/>
    </customSheetView>
  </customSheetViews>
  <mergeCells count="82">
    <mergeCell ref="D88:D90"/>
    <mergeCell ref="A92:A93"/>
    <mergeCell ref="B92:B93"/>
    <mergeCell ref="C92:C93"/>
    <mergeCell ref="B84:B86"/>
    <mergeCell ref="C84:C86"/>
    <mergeCell ref="A88:A91"/>
    <mergeCell ref="B88:B90"/>
    <mergeCell ref="C88:C90"/>
    <mergeCell ref="D84:D86"/>
    <mergeCell ref="A76:A87"/>
    <mergeCell ref="F67:J67"/>
    <mergeCell ref="K67:M67"/>
    <mergeCell ref="C76:C78"/>
    <mergeCell ref="D76:D78"/>
    <mergeCell ref="B80:B82"/>
    <mergeCell ref="C80:C82"/>
    <mergeCell ref="D80:D82"/>
    <mergeCell ref="F68:G68"/>
    <mergeCell ref="B76:B78"/>
    <mergeCell ref="H68:J68"/>
    <mergeCell ref="K68:L68"/>
    <mergeCell ref="B70:B72"/>
    <mergeCell ref="C70:C72"/>
    <mergeCell ref="D70:D72"/>
    <mergeCell ref="D67:D69"/>
    <mergeCell ref="E67:E69"/>
    <mergeCell ref="C50:C51"/>
    <mergeCell ref="B52:B53"/>
    <mergeCell ref="C52:C53"/>
    <mergeCell ref="B54:B56"/>
    <mergeCell ref="A66:M66"/>
    <mergeCell ref="C54:C56"/>
    <mergeCell ref="B57:B59"/>
    <mergeCell ref="C57:C59"/>
    <mergeCell ref="B61:B63"/>
    <mergeCell ref="C61:C63"/>
    <mergeCell ref="A50:A64"/>
    <mergeCell ref="B50:B51"/>
    <mergeCell ref="A70:A75"/>
    <mergeCell ref="B73:B75"/>
    <mergeCell ref="C73:C75"/>
    <mergeCell ref="A67:A69"/>
    <mergeCell ref="B67:B69"/>
    <mergeCell ref="C67:C69"/>
    <mergeCell ref="A38:A49"/>
    <mergeCell ref="B38:B39"/>
    <mergeCell ref="C38:C39"/>
    <mergeCell ref="B40:B41"/>
    <mergeCell ref="C40:C41"/>
    <mergeCell ref="B42:B44"/>
    <mergeCell ref="C42:C44"/>
    <mergeCell ref="B45:B47"/>
    <mergeCell ref="C45:C47"/>
    <mergeCell ref="A30:A37"/>
    <mergeCell ref="B30:B31"/>
    <mergeCell ref="C30:C31"/>
    <mergeCell ref="B32:B33"/>
    <mergeCell ref="C32:C33"/>
    <mergeCell ref="B34:B36"/>
    <mergeCell ref="C34:C36"/>
    <mergeCell ref="B5:B6"/>
    <mergeCell ref="C5:C6"/>
    <mergeCell ref="B7:B8"/>
    <mergeCell ref="C7:C8"/>
    <mergeCell ref="A9:A29"/>
    <mergeCell ref="B9:B10"/>
    <mergeCell ref="C9:C10"/>
    <mergeCell ref="B11:B12"/>
    <mergeCell ref="C11:C12"/>
    <mergeCell ref="B13:B15"/>
    <mergeCell ref="C13:C15"/>
    <mergeCell ref="B16:B29"/>
    <mergeCell ref="A1:L1"/>
    <mergeCell ref="A2:A4"/>
    <mergeCell ref="B2:B4"/>
    <mergeCell ref="C2:C4"/>
    <mergeCell ref="E2:I2"/>
    <mergeCell ref="J2:L2"/>
    <mergeCell ref="E3:F3"/>
    <mergeCell ref="G3:I3"/>
    <mergeCell ref="J3:K3"/>
  </mergeCells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5"/>
  <sheetViews>
    <sheetView showGridLines="0" zoomScale="85" zoomScaleNormal="85" workbookViewId="0">
      <selection activeCell="D41" sqref="D41"/>
    </sheetView>
  </sheetViews>
  <sheetFormatPr defaultColWidth="9.109375" defaultRowHeight="14.4" x14ac:dyDescent="0.3"/>
  <cols>
    <col min="1" max="1" width="5.44140625" style="14" customWidth="1"/>
    <col min="2" max="2" width="30" style="14" bestFit="1" customWidth="1"/>
    <col min="3" max="10" width="12.6640625" style="14" customWidth="1"/>
    <col min="11" max="12" width="14.33203125" style="14" customWidth="1"/>
    <col min="13" max="16" width="12.6640625" style="14" customWidth="1"/>
    <col min="17" max="17" width="14.33203125" style="14" bestFit="1" customWidth="1"/>
    <col min="18" max="18" width="12.109375" style="14" bestFit="1" customWidth="1"/>
    <col min="19" max="19" width="13.109375" style="14" bestFit="1" customWidth="1"/>
    <col min="20" max="20" width="11.33203125" style="14" bestFit="1" customWidth="1"/>
    <col min="21" max="21" width="16" style="14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26" width="11.33203125" style="14" bestFit="1" customWidth="1"/>
    <col min="27" max="16384" width="9.109375" style="14"/>
  </cols>
  <sheetData>
    <row r="1" spans="1:26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6" ht="18" x14ac:dyDescent="0.3">
      <c r="A2" s="14" t="s">
        <v>14</v>
      </c>
      <c r="B2" s="17" t="s">
        <v>24</v>
      </c>
      <c r="E2" s="18" t="s">
        <v>15</v>
      </c>
      <c r="F2" s="19"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6" x14ac:dyDescent="0.3">
      <c r="M3" s="20" t="s">
        <v>22</v>
      </c>
      <c r="N3" s="165">
        <v>0</v>
      </c>
    </row>
    <row r="4" spans="1:26" ht="15" customHeight="1" x14ac:dyDescent="0.3">
      <c r="B4" s="275" t="s">
        <v>68</v>
      </c>
      <c r="C4" s="279" t="s">
        <v>238</v>
      </c>
      <c r="D4" s="280"/>
      <c r="E4" s="281"/>
      <c r="F4" s="277" t="s">
        <v>239</v>
      </c>
      <c r="G4" s="277"/>
      <c r="H4" s="277"/>
      <c r="I4" s="278" t="s">
        <v>69</v>
      </c>
      <c r="J4" s="278"/>
      <c r="K4" s="278"/>
      <c r="M4" s="21" t="s">
        <v>16</v>
      </c>
      <c r="N4" s="22"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  <c r="X4" s="279" t="s">
        <v>69</v>
      </c>
      <c r="Y4" s="280"/>
      <c r="Z4" s="281"/>
    </row>
    <row r="5" spans="1:26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  <c r="Z5"/>
    </row>
    <row r="6" spans="1:26" x14ac:dyDescent="0.3">
      <c r="B6" s="27" t="s">
        <v>138</v>
      </c>
      <c r="C6" s="28">
        <f>'TABELA DE TARIFAS ANTIGAS'!G68/1000</f>
        <v>0.93761000000000005</v>
      </c>
      <c r="D6" s="28">
        <f>'TABELA DE TARIFAS ANTIGAS'!H68/1000</f>
        <v>0.48448000000000002</v>
      </c>
      <c r="E6" s="28">
        <f t="shared" ref="E6:E8" si="0">C6+D6</f>
        <v>1.4220900000000001</v>
      </c>
      <c r="F6" s="28">
        <f>'TABELA DE TARIFAS NOVAS'!G70/1000</f>
        <v>0.99902000000000002</v>
      </c>
      <c r="G6" s="28">
        <f>'TABELA DE TARIFAS NOVAS'!H70/1000</f>
        <v>0.51690999999999998</v>
      </c>
      <c r="H6" s="28">
        <f t="shared" ref="H6:H9" si="1">F6+G6</f>
        <v>1.51593</v>
      </c>
      <c r="I6" s="28">
        <f t="shared" ref="I6:J9" si="2">((C6*$C$15)+(F6*$D$15))/($D$15+$C$15)</f>
        <v>0.96626800000000002</v>
      </c>
      <c r="J6" s="28">
        <f t="shared" si="2"/>
        <v>0.499614</v>
      </c>
      <c r="K6" s="29">
        <f t="shared" ref="K6:K9" si="3">I6+J6</f>
        <v>1.4658820000000001</v>
      </c>
      <c r="M6" s="7" t="s">
        <v>37</v>
      </c>
      <c r="N6" s="8">
        <v>7.8770000000000007E-2</v>
      </c>
      <c r="Q6" s="27" t="str">
        <f>B6</f>
        <v>B1 Ponta</v>
      </c>
      <c r="R6" s="28">
        <f>'FIO B'!H7/1000</f>
        <v>0.59110909360219488</v>
      </c>
      <c r="S6"/>
      <c r="T6"/>
      <c r="U6" s="28">
        <f>'FIO B'!K7/1000</f>
        <v>0.60653961736718698</v>
      </c>
      <c r="V6"/>
      <c r="W6"/>
      <c r="X6" s="28">
        <f>((R6*$C$15)+(U6*$D$15))/($D$15+$C$15)</f>
        <v>0.59831000469252449</v>
      </c>
      <c r="Y6"/>
      <c r="Z6"/>
    </row>
    <row r="7" spans="1:26" customFormat="1" x14ac:dyDescent="0.3">
      <c r="B7" s="27" t="s">
        <v>139</v>
      </c>
      <c r="C7" s="28">
        <f>'TABELA DE TARIFAS ANTIGAS'!G70/1000</f>
        <v>0.36496000000000001</v>
      </c>
      <c r="D7" s="28">
        <f>'TABELA DE TARIFAS ANTIGAS'!H70/1000</f>
        <v>0.30579000000000001</v>
      </c>
      <c r="E7" s="28">
        <f t="shared" si="0"/>
        <v>0.67074999999999996</v>
      </c>
      <c r="F7" s="28">
        <f>'TABELA DE TARIFAS NOVAS'!G72/1000</f>
        <v>0.39741000000000004</v>
      </c>
      <c r="G7" s="28">
        <f>'TABELA DE TARIFAS NOVAS'!H72/1000</f>
        <v>0.32106999999999997</v>
      </c>
      <c r="H7" s="28">
        <f t="shared" si="1"/>
        <v>0.71848000000000001</v>
      </c>
      <c r="I7" s="28">
        <f t="shared" si="2"/>
        <v>0.3801033333333334</v>
      </c>
      <c r="J7" s="28">
        <f t="shared" si="2"/>
        <v>0.31292066666666668</v>
      </c>
      <c r="K7" s="29">
        <f t="shared" si="3"/>
        <v>0.69302400000000008</v>
      </c>
      <c r="M7" s="20" t="s">
        <v>149</v>
      </c>
      <c r="N7" s="142">
        <v>0.14199999999999999</v>
      </c>
      <c r="Q7" s="27" t="str">
        <f t="shared" ref="Q7:Q8" si="4">B7</f>
        <v>B1 Fora Ponta</v>
      </c>
      <c r="R7" s="28">
        <f>'FIO B'!H9/1000</f>
        <v>0.1182217986142293</v>
      </c>
      <c r="U7" s="28">
        <f>'FIO B'!K9/1000</f>
        <v>0.12130790284236799</v>
      </c>
      <c r="X7" s="28">
        <f>((R7*$C$15)+(U7*$D$15))/($D$15+$C$15)</f>
        <v>0.11966198058736068</v>
      </c>
    </row>
    <row r="8" spans="1:26" customFormat="1" x14ac:dyDescent="0.3">
      <c r="B8" s="27" t="s">
        <v>140</v>
      </c>
      <c r="C8" s="28">
        <f>'TABELA DE TARIFAS ANTIGAS'!G69/1000</f>
        <v>0.65128999999999992</v>
      </c>
      <c r="D8" s="28">
        <f>'TABELA DE TARIFAS ANTIGAS'!H69/1000</f>
        <v>0.30579000000000001</v>
      </c>
      <c r="E8" s="28">
        <f t="shared" si="0"/>
        <v>0.95707999999999993</v>
      </c>
      <c r="F8" s="28">
        <f>'TABELA DE TARIFAS NOVAS'!G71/1000</f>
        <v>0.69821</v>
      </c>
      <c r="G8" s="28">
        <f>'TABELA DE TARIFAS NOVAS'!H71/1000</f>
        <v>0.32106999999999997</v>
      </c>
      <c r="H8" s="28">
        <f t="shared" si="1"/>
        <v>1.01928</v>
      </c>
      <c r="I8" s="28">
        <f t="shared" si="2"/>
        <v>0.67318599999999995</v>
      </c>
      <c r="J8" s="28">
        <f t="shared" si="2"/>
        <v>0.31292066666666668</v>
      </c>
      <c r="K8" s="29">
        <f t="shared" si="3"/>
        <v>0.98610666666666669</v>
      </c>
      <c r="Q8" s="27" t="str">
        <f t="shared" si="4"/>
        <v>B1 Interm.</v>
      </c>
      <c r="R8" s="28">
        <f>'FIO B'!H8/1000</f>
        <v>0.35466549637373629</v>
      </c>
      <c r="U8" s="28">
        <f>'FIO B'!K8/1000</f>
        <v>0.36392381168245103</v>
      </c>
      <c r="X8" s="28">
        <f>((R8*$C$15)+(U8*$D$15))/($D$15+$C$15)</f>
        <v>0.35898604351780322</v>
      </c>
    </row>
    <row r="9" spans="1:26" customFormat="1" x14ac:dyDescent="0.3">
      <c r="B9" s="184" t="s">
        <v>182</v>
      </c>
      <c r="C9" s="29">
        <v>1.8774721494831901E-4</v>
      </c>
      <c r="D9" s="29">
        <v>-4.4031307414479802E-3</v>
      </c>
      <c r="E9" s="29">
        <v>3.6054083865702689E-3</v>
      </c>
      <c r="F9" s="29">
        <f>T13</f>
        <v>1.84189231569235E-4</v>
      </c>
      <c r="G9" s="29">
        <f>U13</f>
        <v>-5.3182974871251499E-4</v>
      </c>
      <c r="H9" s="29">
        <f t="shared" si="1"/>
        <v>-3.4764051714327999E-4</v>
      </c>
      <c r="I9" s="28">
        <f t="shared" si="2"/>
        <v>1.8608682270474647E-4</v>
      </c>
      <c r="J9" s="28">
        <f t="shared" si="2"/>
        <v>-2.5965236115047629E-3</v>
      </c>
      <c r="K9" s="29">
        <f t="shared" si="3"/>
        <v>-2.4104367888000164E-3</v>
      </c>
    </row>
    <row r="10" spans="1:26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  <c r="Z10" s="16"/>
    </row>
    <row r="11" spans="1:26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f>EOMONTH(B15,0)+1</f>
        <v>46235</v>
      </c>
      <c r="P11" s="173" t="s">
        <v>179</v>
      </c>
      <c r="Q11" s="174"/>
      <c r="R11" s="175"/>
      <c r="S11" s="175"/>
      <c r="T11" s="176"/>
      <c r="U11" s="176"/>
    </row>
    <row r="12" spans="1:26" x14ac:dyDescent="0.3">
      <c r="B12" s="34" t="s">
        <v>34</v>
      </c>
      <c r="C12" s="141">
        <v>99019</v>
      </c>
      <c r="E12" s="16"/>
      <c r="F12" s="16"/>
      <c r="G12" s="16"/>
      <c r="H12" s="35">
        <f>E15</f>
        <v>46254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v>0</v>
      </c>
    </row>
    <row r="13" spans="1:26" x14ac:dyDescent="0.3">
      <c r="B13" s="36"/>
      <c r="H13" s="37"/>
      <c r="K13" s="20" t="s">
        <v>16</v>
      </c>
      <c r="L13" s="20" t="s">
        <v>16</v>
      </c>
      <c r="P13" s="181" t="s">
        <v>181</v>
      </c>
      <c r="Q13" s="182"/>
      <c r="R13" s="183"/>
      <c r="S13" s="183"/>
      <c r="T13" s="197">
        <f>0.184189231569235/1000</f>
        <v>1.84189231569235E-4</v>
      </c>
      <c r="U13" s="196">
        <f>-0.531829748712515/1000</f>
        <v>-5.3182974871251499E-4</v>
      </c>
    </row>
    <row r="14" spans="1:26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6" x14ac:dyDescent="0.3">
      <c r="B15" s="40">
        <v>46224</v>
      </c>
      <c r="C15" s="41">
        <f>IF((F2-B15-1)&lt;0,0,(F2-B15-1))</f>
        <v>16</v>
      </c>
      <c r="D15" s="41">
        <f>E15-F2+1</f>
        <v>14</v>
      </c>
      <c r="E15" s="40">
        <v>46254</v>
      </c>
      <c r="F15" s="42"/>
      <c r="G15" s="42"/>
      <c r="H15" s="43"/>
      <c r="J15" s="44">
        <f>B15</f>
        <v>46224</v>
      </c>
      <c r="K15" s="45">
        <f>IF((M11-J15-1)&lt;0,0,(M11-J15-1))</f>
        <v>10</v>
      </c>
      <c r="L15" s="45">
        <f>M15-M11+1</f>
        <v>20</v>
      </c>
      <c r="M15" s="44">
        <f>E15</f>
        <v>46254</v>
      </c>
      <c r="O15" s="256" t="s">
        <v>151</v>
      </c>
      <c r="P15" s="257"/>
      <c r="Q15" s="258">
        <v>1025310387</v>
      </c>
    </row>
    <row r="16" spans="1:26" s="16" customFormat="1" x14ac:dyDescent="0.3">
      <c r="F16" s="42"/>
      <c r="G16" s="42"/>
      <c r="Q16" s="236"/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15</v>
      </c>
      <c r="E19" s="208">
        <f>IFERROR((ROUND(D19*K19,2)+ROUND(G19,2)+ROUND(J19,2))/ROUND(D19,4),0)</f>
        <v>1.24</v>
      </c>
      <c r="F19" s="209">
        <f>ROUND(D19*E19,2)</f>
        <v>18.600000000000001</v>
      </c>
      <c r="G19" s="209">
        <f>((D19*K19)/(1-$N$19-$N$20))*($N$19+$N$20)</f>
        <v>0.95308646914632855</v>
      </c>
      <c r="H19" s="210">
        <f>ROUND((D19*K19)/(1-$N$19-$N$20)/(1-$I$19),8)</f>
        <v>18.61097165</v>
      </c>
      <c r="I19" s="211">
        <v>0.17</v>
      </c>
      <c r="J19" s="210">
        <f>H19*$I$19</f>
        <v>3.1638651805000002</v>
      </c>
      <c r="K19" s="208">
        <f>IF(AND($B$15&lt;$F$2,$E$15&lt;$F$2),C6,IF($B$15&lt;$F$2,I6,F6))</f>
        <v>0.96626800000000002</v>
      </c>
      <c r="L19" s="47" t="s">
        <v>27</v>
      </c>
      <c r="M19" s="209">
        <f>D61</f>
        <v>173.59053607588191</v>
      </c>
      <c r="N19" s="212">
        <v>1.0999999999999999E-2</v>
      </c>
      <c r="O19" s="213">
        <f>ROUND(M19*N19,2)</f>
        <v>1.91</v>
      </c>
      <c r="P19" s="16"/>
      <c r="Q19" s="16"/>
      <c r="R19" s="230"/>
      <c r="S19" s="231"/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11</v>
      </c>
      <c r="E20" s="208">
        <f t="shared" ref="E20:E24" si="5">IFERROR((ROUND(D20*K20,2)+ROUND(G20,2)+ROUND(J20,2))/ROUND(D20,4),0)</f>
        <v>0.86545454545454537</v>
      </c>
      <c r="F20" s="209">
        <f t="shared" ref="F20:F21" si="6">ROUND(D20*E20,2)</f>
        <v>9.52</v>
      </c>
      <c r="G20" s="209">
        <f>((D20*K20)/(1-$N$19-$N$20))*($N$19+$N$20)</f>
        <v>0.4869352426729191</v>
      </c>
      <c r="H20" s="210">
        <f>ROUND((D20*K20)/(1-$N$19-$N$20)/(1-$I$19),8)</f>
        <v>9.5084111399999998</v>
      </c>
      <c r="I20" s="211">
        <f>I19</f>
        <v>0.17</v>
      </c>
      <c r="J20" s="210">
        <f t="shared" ref="J20:J21" si="7">H20*$I$19</f>
        <v>1.6164298938000001</v>
      </c>
      <c r="K20" s="208">
        <f>IF(AND($B$15&lt;$F$2,$E$15&lt;$F$2),C8,IF($B$15&lt;$F$2,I8,F8))</f>
        <v>0.67318599999999995</v>
      </c>
      <c r="L20" s="47" t="s">
        <v>19</v>
      </c>
      <c r="M20" s="209">
        <f>M19</f>
        <v>173.59053607588191</v>
      </c>
      <c r="N20" s="212">
        <v>5.0700000000000002E-2</v>
      </c>
      <c r="O20" s="213">
        <f>ROUND(M20*N20,2)</f>
        <v>8.8000000000000007</v>
      </c>
      <c r="P20" s="16"/>
      <c r="Q20" s="16"/>
      <c r="R20" s="230"/>
      <c r="S20" s="231"/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182</v>
      </c>
      <c r="E21" s="208">
        <f t="shared" si="5"/>
        <v>0.48807692307692307</v>
      </c>
      <c r="F21" s="209">
        <f t="shared" si="6"/>
        <v>88.83</v>
      </c>
      <c r="G21" s="209">
        <f>((D21*K21)/(1-$N$19-$N$20))*($N$19+$N$20)</f>
        <v>4.5490060442644502</v>
      </c>
      <c r="H21" s="210">
        <f>ROUND((D21*K21)/(1-$N$19-$N$20)/(1-$I$19),8)</f>
        <v>88.828690010000003</v>
      </c>
      <c r="I21" s="211">
        <f>I19</f>
        <v>0.17</v>
      </c>
      <c r="J21" s="210">
        <f t="shared" si="7"/>
        <v>15.100877301700001</v>
      </c>
      <c r="K21" s="208">
        <f>IF(AND($B$15&lt;$F$2,$E$15&lt;$F$2),C7,IF($B$15&lt;$F$2,I7,F7))</f>
        <v>0.3801033333333334</v>
      </c>
      <c r="L21" s="226"/>
      <c r="M21" s="227"/>
      <c r="N21" s="228"/>
      <c r="O21" s="229"/>
      <c r="P21" s="16"/>
      <c r="Q21" s="16"/>
      <c r="R21" s="230"/>
      <c r="S21" s="231"/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15</v>
      </c>
      <c r="E22" s="208">
        <f t="shared" si="5"/>
        <v>0.64133333333333342</v>
      </c>
      <c r="F22" s="209">
        <f t="shared" ref="F22:F28" si="8">ROUND(D22*E22,2)</f>
        <v>9.6199999999999992</v>
      </c>
      <c r="G22" s="209">
        <f>((D22*K22)/(1-$N$19-$N$20))*($N$19+$N$20)</f>
        <v>0.492798419482042</v>
      </c>
      <c r="H22" s="210">
        <f>(D22*K22)/(1-$N$19-$N$20)/(1-$I$19)</f>
        <v>9.6229017102193275</v>
      </c>
      <c r="I22" s="205"/>
      <c r="J22" s="210">
        <f t="shared" ref="J22:J28" si="9">H22*$I$19</f>
        <v>1.6358932907372858</v>
      </c>
      <c r="K22" s="208">
        <f>IF(AND($B$15&lt;$F$2,$E$15&lt;$F$2),D6,IF($B$15&lt;$F$2,J6,G6))</f>
        <v>0.499614</v>
      </c>
      <c r="L22" s="226"/>
      <c r="M22" s="227"/>
      <c r="N22" s="228"/>
      <c r="O22" s="229"/>
      <c r="P22" s="16"/>
      <c r="Q22" s="16"/>
      <c r="R22" s="144" t="s">
        <v>155</v>
      </c>
      <c r="S22" s="144" t="s">
        <v>156</v>
      </c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11</v>
      </c>
      <c r="E23" s="208">
        <f t="shared" si="5"/>
        <v>0.4018181818181818</v>
      </c>
      <c r="F23" s="209">
        <f t="shared" ref="F23:F24" si="10">ROUND(D23*E23,2)</f>
        <v>4.42</v>
      </c>
      <c r="G23" s="209">
        <f t="shared" ref="G23:G24" si="11">((D23*K23)/(1-$N$19-$N$20))*($N$19+$N$20)</f>
        <v>0.22634472606486913</v>
      </c>
      <c r="H23" s="210">
        <f t="shared" ref="H23:H24" si="12">(D23*K23)/(1-$N$19-$N$20)/(1-$I$19)</f>
        <v>4.4198458546966304</v>
      </c>
      <c r="I23" s="205"/>
      <c r="J23" s="210">
        <f t="shared" ref="J23:J24" si="13">H23*$I$19</f>
        <v>0.75137379529842718</v>
      </c>
      <c r="K23" s="208">
        <f>IF(AND($B$15&lt;$F$2,$E$15&lt;$F$2),D8,IF($B$15&lt;$F$2,J8,G8))</f>
        <v>0.31292066666666668</v>
      </c>
      <c r="L23" s="226"/>
      <c r="M23" s="227"/>
      <c r="N23" s="228"/>
      <c r="O23" s="229"/>
      <c r="P23" s="16"/>
      <c r="Q23" s="16"/>
      <c r="R23" s="150">
        <f>IF(AND($B$15&lt;$F$2,$E$15&lt;$F$2),R6,IF($B$15&lt;$F$2,X6,U6))</f>
        <v>0.59831000469252449</v>
      </c>
      <c r="S23" s="151">
        <f>D47*R23</f>
        <v>8.9746500703878667</v>
      </c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182</v>
      </c>
      <c r="E24" s="208">
        <f t="shared" si="5"/>
        <v>0.40175824175824176</v>
      </c>
      <c r="F24" s="209">
        <f t="shared" si="10"/>
        <v>73.12</v>
      </c>
      <c r="G24" s="209">
        <f t="shared" si="11"/>
        <v>3.7449763767096527</v>
      </c>
      <c r="H24" s="210">
        <f t="shared" si="12"/>
        <v>73.128358686798791</v>
      </c>
      <c r="I24" s="205"/>
      <c r="J24" s="210">
        <f t="shared" si="13"/>
        <v>12.431820976755795</v>
      </c>
      <c r="K24" s="208">
        <f>IF(AND($B$15&lt;$F$2,$E$15&lt;$F$2),D7,IF($B$15&lt;$F$2,J7,G7))</f>
        <v>0.31292066666666668</v>
      </c>
      <c r="L24" s="226"/>
      <c r="M24" s="227"/>
      <c r="N24" s="228"/>
      <c r="O24" s="229"/>
      <c r="P24" s="16"/>
      <c r="Q24" s="16"/>
      <c r="R24" s="150">
        <f>IF(AND($B$15&lt;$F$2,$E$15&lt;$F$2),R7,IF($B$15&lt;$F$2,X7,U7))</f>
        <v>0.11966198058736068</v>
      </c>
      <c r="S24" s="151">
        <f>D48*R24</f>
        <v>21.778480466899644</v>
      </c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IF($K$13=M4,(($D$19+$D$20+$D$21)*($K$15)/($K$15+$L$15)),0)+IF($L$13=M4,(($D$19+$D$20+$D$21)*($L$15)/($K$15+$L$15)),0)</f>
        <v>208</v>
      </c>
      <c r="E25" s="208">
        <f>IFERROR( (ROUND(D25*K25,2)+ROUND(G25,2)+ROUND(J25,2))/ROUND(D25,4), N4)</f>
        <v>2.4230769230769229E-2</v>
      </c>
      <c r="F25" s="209">
        <f t="shared" si="8"/>
        <v>5.04</v>
      </c>
      <c r="G25" s="209">
        <f>((D25*K25)/(1-$N$19-$N$20))*($N$19+$N$20)</f>
        <v>0.25782091015666631</v>
      </c>
      <c r="H25" s="210">
        <f>(D25*K25)/(1-$N$19-$N$20)/(1-$I$19)</f>
        <v>5.0344830242851399</v>
      </c>
      <c r="I25" s="205"/>
      <c r="J25" s="210">
        <f t="shared" si="9"/>
        <v>0.85586211412847391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150">
        <f>IF(AND($B$15&lt;$F$2,$E$15&lt;$F$2),R8,IF($B$15&lt;$F$2,X8,U8))</f>
        <v>0.35898604351780322</v>
      </c>
      <c r="S25" s="151">
        <f>D49*R25</f>
        <v>3.9488464786958355</v>
      </c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 t="shared" ref="D26:D28" si="14">IF($K$13=M5,(($D$19+$D$20+$D$21)*($K$15)/($K$15+$L$15)),0)+IF($L$13=M5,(($D$19+$D$20+$D$21)*($L$15)/($K$15+$L$15)),0)</f>
        <v>0</v>
      </c>
      <c r="E26" s="208">
        <f>K26/(1-$N$19-$N$20)/(1-$I$19)</f>
        <v>5.7306921386922526E-2</v>
      </c>
      <c r="F26" s="209">
        <f t="shared" si="8"/>
        <v>0</v>
      </c>
      <c r="G26" s="209">
        <f>((D26*K26)/(1-$N$19-$N$20))*($N$19+$N$20)</f>
        <v>0</v>
      </c>
      <c r="H26" s="210">
        <f>(D26*K26)/(1-$N$19-$N$20)/(1-$I$19)</f>
        <v>0</v>
      </c>
      <c r="I26" s="205"/>
      <c r="J26" s="210">
        <f t="shared" si="9"/>
        <v>0</v>
      </c>
      <c r="K26" s="208">
        <f>N5</f>
        <v>4.4630000000000003E-2</v>
      </c>
      <c r="O26" s="62"/>
      <c r="P26" s="16"/>
      <c r="Q26" s="16"/>
      <c r="S26" s="152">
        <f>SUM(S23:S25)</f>
        <v>34.701977015983346</v>
      </c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 t="shared" si="14"/>
        <v>0</v>
      </c>
      <c r="E27" s="208">
        <f>K27/(1-$N$19-$N$20)/(1-$I$19)</f>
        <v>0.10114421236047248</v>
      </c>
      <c r="F27" s="209">
        <f t="shared" si="8"/>
        <v>0</v>
      </c>
      <c r="G27" s="209">
        <f>((D27*K27)/(1-$N$19-$N$20))*($N$19+$N$20)</f>
        <v>0</v>
      </c>
      <c r="H27" s="210">
        <f>(D27*K27)/(1-$N$19-$N$20)/(1-$I$19)</f>
        <v>0</v>
      </c>
      <c r="I27" s="205"/>
      <c r="J27" s="210">
        <f t="shared" si="9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 t="shared" si="14"/>
        <v>0</v>
      </c>
      <c r="E28" s="208">
        <f>K28/(1-$N$19-$N$20)/(1-$I$19)</f>
        <v>0.18233436784546261</v>
      </c>
      <c r="F28" s="209">
        <f t="shared" si="8"/>
        <v>0</v>
      </c>
      <c r="G28" s="209">
        <f>((D28*K28)/(1-$N$19-$N$20))*($N$19+$N$20)</f>
        <v>0</v>
      </c>
      <c r="H28" s="210">
        <f>(D28*K28)/(1-$N$19-$N$20)/(1-$I$19)</f>
        <v>0</v>
      </c>
      <c r="I28" s="205"/>
      <c r="J28" s="210">
        <f t="shared" si="9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207</v>
      </c>
      <c r="C29" s="205"/>
      <c r="D29" s="214"/>
      <c r="E29" s="205"/>
      <c r="F29" s="217">
        <v>4.54</v>
      </c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206</v>
      </c>
      <c r="C30" s="205"/>
      <c r="D30" s="214"/>
      <c r="E30" s="205"/>
      <c r="F30" s="217">
        <v>0.49</v>
      </c>
      <c r="G30" s="205"/>
      <c r="H30" s="205"/>
      <c r="I30" s="205"/>
      <c r="J30" s="205"/>
      <c r="K30" s="205"/>
      <c r="O30" s="62"/>
      <c r="P30" s="16"/>
      <c r="Q30" s="16"/>
      <c r="R30"/>
      <c r="S30" s="235"/>
      <c r="T30" s="16"/>
      <c r="U30" s="16"/>
      <c r="V30" s="16"/>
    </row>
    <row r="31" spans="2:22" x14ac:dyDescent="0.3">
      <c r="B31" s="205" t="s">
        <v>232</v>
      </c>
      <c r="C31" s="205"/>
      <c r="D31" s="214"/>
      <c r="E31" s="205"/>
      <c r="F31" s="217">
        <v>3.38</v>
      </c>
      <c r="G31" s="205"/>
      <c r="H31" s="205"/>
      <c r="I31" s="205"/>
      <c r="J31" s="205"/>
      <c r="K31" s="205"/>
      <c r="O31" s="62"/>
      <c r="P31" s="16"/>
      <c r="Q31" s="16"/>
      <c r="R31" s="16"/>
      <c r="S31" s="235"/>
      <c r="T31" s="16"/>
      <c r="U31" s="16"/>
      <c r="V31" s="16"/>
    </row>
    <row r="32" spans="2:22" x14ac:dyDescent="0.3">
      <c r="B32" s="205" t="s">
        <v>231</v>
      </c>
      <c r="C32" s="205"/>
      <c r="D32" s="214"/>
      <c r="E32" s="205"/>
      <c r="F32" s="217">
        <v>0.31</v>
      </c>
      <c r="G32" s="205"/>
      <c r="H32" s="205"/>
      <c r="I32" s="205"/>
      <c r="J32" s="205"/>
      <c r="K32" s="205"/>
      <c r="O32" s="62"/>
      <c r="S32" s="216"/>
    </row>
    <row r="33" spans="2:21" x14ac:dyDescent="0.3">
      <c r="B33" s="205" t="s">
        <v>208</v>
      </c>
      <c r="C33" s="205"/>
      <c r="D33" s="214"/>
      <c r="E33" s="205"/>
      <c r="F33" s="217">
        <v>45.66</v>
      </c>
      <c r="G33" s="205"/>
      <c r="H33" s="205"/>
      <c r="I33" s="205"/>
      <c r="J33" s="205"/>
      <c r="K33" s="205"/>
      <c r="O33" s="62"/>
    </row>
    <row r="34" spans="2:21" x14ac:dyDescent="0.3">
      <c r="B34" s="205"/>
      <c r="C34" s="205"/>
      <c r="D34" s="214"/>
      <c r="E34" s="205"/>
      <c r="F34" s="205"/>
      <c r="G34" s="205"/>
      <c r="H34" s="205"/>
      <c r="I34" s="205"/>
      <c r="J34" s="205"/>
      <c r="K34" s="205"/>
      <c r="O34" s="62"/>
    </row>
    <row r="35" spans="2:21" x14ac:dyDescent="0.3">
      <c r="B35" s="205"/>
      <c r="C35" s="205"/>
      <c r="D35" s="214"/>
      <c r="E35" s="205"/>
      <c r="F35" s="205"/>
      <c r="G35" s="205"/>
      <c r="H35" s="205"/>
      <c r="I35" s="205"/>
      <c r="J35" s="205"/>
      <c r="K35" s="205"/>
      <c r="O35" s="62"/>
    </row>
    <row r="36" spans="2:21" x14ac:dyDescent="0.3">
      <c r="B36" s="218" t="s">
        <v>209</v>
      </c>
      <c r="C36" s="215"/>
      <c r="D36" s="219"/>
      <c r="E36" s="215"/>
      <c r="F36" s="220">
        <f>SUM(F19:F35)</f>
        <v>263.52999999999997</v>
      </c>
      <c r="G36" s="221">
        <f>SUM(G19:G35)</f>
        <v>10.710968188496928</v>
      </c>
      <c r="H36" s="222">
        <f>SUM(H19:H35)</f>
        <v>209.1536620759999</v>
      </c>
      <c r="I36" s="215"/>
      <c r="J36" s="222">
        <f>SUM(J19:J35)</f>
        <v>35.556122552919987</v>
      </c>
      <c r="K36" s="215"/>
      <c r="L36" s="68"/>
      <c r="M36" s="68"/>
      <c r="N36" s="68"/>
      <c r="O36" s="79"/>
    </row>
    <row r="38" spans="2:21" x14ac:dyDescent="0.3">
      <c r="B38" s="223" t="s">
        <v>210</v>
      </c>
      <c r="C38" s="224">
        <f>D19+D20+D21</f>
        <v>208</v>
      </c>
      <c r="D38" s="225">
        <f>IF(AND($B$15&lt;$F$2,$E$15&lt;$F$2),C9,IF($B$15&lt;$F$2,I9,F9))</f>
        <v>1.8608682270474647E-4</v>
      </c>
      <c r="E38" s="225">
        <f>IF(AND($B$15&lt;$F$2,$E$15&lt;$F$2),D9,IF($B$15&lt;$F$2,J9,G9))</f>
        <v>-2.5965236115047629E-3</v>
      </c>
      <c r="F38" s="223">
        <f>C38*(D38+E38)</f>
        <v>-0.50137085207040344</v>
      </c>
    </row>
    <row r="43" spans="2:21" x14ac:dyDescent="0.3">
      <c r="B43" s="271" t="s">
        <v>170</v>
      </c>
      <c r="C43" s="272"/>
      <c r="D43" s="272"/>
      <c r="E43" s="272"/>
      <c r="F43" s="272"/>
      <c r="G43" s="272"/>
      <c r="H43" s="273"/>
      <c r="I43" s="16"/>
      <c r="J43" s="140"/>
      <c r="K43" s="16"/>
      <c r="L43" s="16"/>
      <c r="M43" s="16"/>
      <c r="N43" s="16"/>
      <c r="O43" s="16"/>
      <c r="P43" s="16"/>
    </row>
    <row r="44" spans="2:21" x14ac:dyDescent="0.3">
      <c r="B44" s="36"/>
      <c r="D44" s="46" t="s">
        <v>8</v>
      </c>
      <c r="E44" s="46" t="s">
        <v>0</v>
      </c>
      <c r="F44" s="46" t="s">
        <v>1</v>
      </c>
      <c r="G44" s="46" t="s">
        <v>42</v>
      </c>
      <c r="H44" s="47" t="s">
        <v>9</v>
      </c>
      <c r="I44" s="16"/>
      <c r="J44" s="140" t="s">
        <v>151</v>
      </c>
      <c r="K44" s="16"/>
      <c r="L44" s="166">
        <f>Q15</f>
        <v>1025310387</v>
      </c>
      <c r="M44" s="16"/>
      <c r="N44" s="16"/>
      <c r="O44" s="16"/>
      <c r="P44" s="16"/>
    </row>
    <row r="45" spans="2:21" x14ac:dyDescent="0.3">
      <c r="B45" s="48" t="s">
        <v>73</v>
      </c>
      <c r="C45" s="49"/>
      <c r="D45" s="50"/>
      <c r="E45" s="50"/>
      <c r="F45" s="50"/>
      <c r="G45" s="50"/>
      <c r="H45" s="51">
        <f>SUM(H47:H55)+SUM(H61:H63)</f>
        <v>209.14522418780953</v>
      </c>
      <c r="I45" s="16"/>
      <c r="J45" s="16"/>
      <c r="K45" s="16"/>
      <c r="L45" s="16"/>
      <c r="M45" s="16"/>
      <c r="N45" s="16"/>
      <c r="O45" s="16"/>
      <c r="P45" s="16"/>
    </row>
    <row r="46" spans="2:21" x14ac:dyDescent="0.3">
      <c r="B46" s="36"/>
      <c r="D46" s="46"/>
      <c r="E46" s="46"/>
      <c r="F46" s="46"/>
      <c r="G46" s="46"/>
      <c r="H46" s="52"/>
      <c r="I46" s="16"/>
      <c r="J46"/>
      <c r="K46"/>
      <c r="L46"/>
      <c r="M46" s="16"/>
      <c r="N46" s="16"/>
      <c r="O46" s="16"/>
      <c r="P46" s="16"/>
    </row>
    <row r="47" spans="2:21" x14ac:dyDescent="0.3">
      <c r="B47" s="36" t="s">
        <v>6</v>
      </c>
      <c r="D47" s="53">
        <f>D19</f>
        <v>15</v>
      </c>
      <c r="E47" s="54">
        <f t="shared" ref="E47:F49" si="15">IF(AND($B$15&lt;$F$2,$E$15&lt;$F$2),C6,IF($B$15&lt;$F$2,I6,F6))</f>
        <v>0.96626800000000002</v>
      </c>
      <c r="F47" s="55">
        <f t="shared" si="15"/>
        <v>0.499614</v>
      </c>
      <c r="G47" s="54">
        <f>E47+F47</f>
        <v>1.4658820000000001</v>
      </c>
      <c r="H47" s="56">
        <f>ROUND((D47*E47),2)+ROUND((D47*F47),2)</f>
        <v>21.98</v>
      </c>
      <c r="I47" s="16"/>
      <c r="J47"/>
      <c r="K47"/>
      <c r="L47"/>
      <c r="M47" s="16"/>
      <c r="N47" s="16"/>
      <c r="O47" s="16"/>
      <c r="P47" s="16"/>
      <c r="U47" s="164">
        <f>D47*E47</f>
        <v>14.494020000000001</v>
      </c>
    </row>
    <row r="48" spans="2:21" x14ac:dyDescent="0.3">
      <c r="B48" s="36" t="s">
        <v>7</v>
      </c>
      <c r="D48" s="53">
        <f>D21</f>
        <v>182</v>
      </c>
      <c r="E48" s="54">
        <f t="shared" si="15"/>
        <v>0.3801033333333334</v>
      </c>
      <c r="F48" s="55">
        <f t="shared" si="15"/>
        <v>0.31292066666666668</v>
      </c>
      <c r="G48" s="54">
        <f t="shared" ref="G48:G49" si="16">E48+F48</f>
        <v>0.69302400000000008</v>
      </c>
      <c r="H48" s="56">
        <f t="shared" ref="H48:H49" si="17">ROUND((D48*E48),2)+ROUND((D48*F48),2)</f>
        <v>126.13000000000001</v>
      </c>
      <c r="I48" s="16"/>
      <c r="J48" s="16"/>
      <c r="K48" s="16"/>
      <c r="L48" s="57"/>
      <c r="M48" s="16"/>
      <c r="N48" s="16"/>
      <c r="O48" s="16"/>
      <c r="P48" s="16"/>
      <c r="U48" s="164">
        <f t="shared" ref="U48:U49" si="18">D48*E48</f>
        <v>69.178806666666674</v>
      </c>
    </row>
    <row r="49" spans="2:21" x14ac:dyDescent="0.3">
      <c r="B49" s="36" t="s">
        <v>141</v>
      </c>
      <c r="D49" s="53">
        <f>D20</f>
        <v>11</v>
      </c>
      <c r="E49" s="54">
        <f t="shared" si="15"/>
        <v>0.67318599999999995</v>
      </c>
      <c r="F49" s="55">
        <f t="shared" si="15"/>
        <v>0.31292066666666668</v>
      </c>
      <c r="G49" s="54">
        <f t="shared" si="16"/>
        <v>0.98610666666666669</v>
      </c>
      <c r="H49" s="56">
        <f t="shared" si="17"/>
        <v>10.85</v>
      </c>
      <c r="I49" s="16"/>
      <c r="J49" s="16"/>
      <c r="K49" s="16"/>
      <c r="L49" s="57"/>
      <c r="M49" s="16"/>
      <c r="N49" s="16"/>
      <c r="O49" s="16"/>
      <c r="P49" s="16"/>
      <c r="U49" s="164">
        <f t="shared" si="18"/>
        <v>7.4050459999999996</v>
      </c>
    </row>
    <row r="50" spans="2:21" x14ac:dyDescent="0.3">
      <c r="B50" s="36"/>
      <c r="D50" s="58"/>
      <c r="E50" s="59"/>
      <c r="F50" s="60"/>
      <c r="G50" s="60"/>
      <c r="H50" s="56"/>
      <c r="I50" s="16"/>
      <c r="J50" s="16"/>
      <c r="K50" s="16"/>
      <c r="L50" s="16"/>
      <c r="M50" s="16"/>
      <c r="N50" s="16"/>
      <c r="O50" s="16"/>
      <c r="P50" s="16"/>
      <c r="U50" s="164">
        <f>SUM(U47:U49)</f>
        <v>91.077872666666678</v>
      </c>
    </row>
    <row r="51" spans="2:21" x14ac:dyDescent="0.3">
      <c r="B51" s="36"/>
      <c r="D51" s="61"/>
      <c r="H51" s="62"/>
      <c r="I51" s="16"/>
      <c r="J51" s="16"/>
      <c r="K51" s="16"/>
      <c r="L51" s="16"/>
      <c r="M51" s="16"/>
      <c r="N51" s="16"/>
      <c r="O51" s="16"/>
      <c r="P51" s="16"/>
    </row>
    <row r="52" spans="2:21" x14ac:dyDescent="0.3">
      <c r="B52" s="36" t="s">
        <v>38</v>
      </c>
      <c r="D52" s="63">
        <f>IF($K$13=M4,((D47+D48+D49)*(K15)/(K15+L15)),0)+IF($L$13=M4,((D47+D48+D49)*(L15)/(K15+L15)),0)</f>
        <v>208</v>
      </c>
      <c r="F52" s="64">
        <f>N4</f>
        <v>1.8849999999999999E-2</v>
      </c>
      <c r="G52" s="64"/>
      <c r="H52" s="56">
        <f>ROUND(D52*(E52+F52),2)</f>
        <v>3.92</v>
      </c>
      <c r="I52" s="16"/>
      <c r="J52" s="16"/>
      <c r="K52" s="16"/>
      <c r="L52" s="16"/>
      <c r="M52" s="16"/>
      <c r="N52" s="16"/>
      <c r="O52" s="16"/>
      <c r="P52" s="16"/>
    </row>
    <row r="53" spans="2:21" x14ac:dyDescent="0.3">
      <c r="B53" s="36" t="s">
        <v>39</v>
      </c>
      <c r="D53" s="63">
        <f>IF($K$13=M5,((D47+D48+D49)*(K15)/(K15+L15)),0)+IF($L$13=M5,((D47+D48+D49)*(L15)/(K15+L15)),0)</f>
        <v>0</v>
      </c>
      <c r="F53" s="64">
        <f>N5</f>
        <v>4.4630000000000003E-2</v>
      </c>
      <c r="G53" s="64"/>
      <c r="H53" s="56">
        <f>ROUND(D53*(E53+F53),2)</f>
        <v>0</v>
      </c>
      <c r="I53" s="16"/>
      <c r="J53" s="16"/>
      <c r="K53" s="16"/>
      <c r="L53" s="16"/>
      <c r="M53" s="16"/>
      <c r="N53" s="16"/>
      <c r="O53" s="16"/>
      <c r="P53" s="16"/>
    </row>
    <row r="54" spans="2:21" x14ac:dyDescent="0.3">
      <c r="B54" s="36" t="s">
        <v>40</v>
      </c>
      <c r="D54" s="63">
        <f>IF($K$13=M6,((D47+D48+D49)*(K15)/(K15+L15)),0)+IF($L$13=M6,((D47+D48+D49)*(L15)/(K15+L15)),0)</f>
        <v>0</v>
      </c>
      <c r="F54" s="64">
        <f>N6</f>
        <v>7.8770000000000007E-2</v>
      </c>
      <c r="G54" s="64"/>
      <c r="H54" s="56">
        <f>ROUND(D54*(E54+F54),2)</f>
        <v>0</v>
      </c>
      <c r="I54" s="16"/>
      <c r="J54" s="16"/>
      <c r="K54" s="16"/>
      <c r="L54" s="16"/>
      <c r="M54" s="16"/>
      <c r="N54" s="16"/>
      <c r="O54" s="16"/>
      <c r="P54" s="16"/>
    </row>
    <row r="55" spans="2:21" x14ac:dyDescent="0.3">
      <c r="B55" s="36" t="s">
        <v>150</v>
      </c>
      <c r="D55" s="63">
        <f>IF($K$13=M7,((D47+D48+D49)*(K15)/(K15+L15)),0)+IF($L$13=M7,((D47+D48+D49)*(L15)/(K15+L15)),0)</f>
        <v>0</v>
      </c>
      <c r="F55" s="64">
        <f>N7</f>
        <v>0.14199999999999999</v>
      </c>
      <c r="G55" s="64"/>
      <c r="H55" s="56">
        <f>ROUND(D55*(E55+F55),2)</f>
        <v>0</v>
      </c>
      <c r="I55" s="16"/>
      <c r="J55" s="16"/>
      <c r="K55" s="16"/>
      <c r="L55" s="16"/>
      <c r="M55" s="16"/>
      <c r="N55" s="16"/>
      <c r="O55" s="16"/>
      <c r="P55" s="16"/>
    </row>
    <row r="56" spans="2:21" x14ac:dyDescent="0.3">
      <c r="B56" s="36"/>
      <c r="D56" s="61"/>
      <c r="H56" s="56"/>
      <c r="I56" s="16"/>
      <c r="J56" s="16"/>
      <c r="K56" s="16"/>
      <c r="L56" s="16"/>
      <c r="M56" s="16"/>
      <c r="N56" s="16"/>
      <c r="O56" s="16"/>
      <c r="P56" s="16"/>
    </row>
    <row r="57" spans="2:21" x14ac:dyDescent="0.3">
      <c r="B57" s="65"/>
      <c r="C57" s="15"/>
      <c r="D57" s="15"/>
      <c r="E57" s="15"/>
      <c r="F57" s="15"/>
      <c r="G57" s="15"/>
      <c r="H57" s="66"/>
      <c r="I57" s="16"/>
      <c r="J57" s="16"/>
      <c r="K57" s="16"/>
      <c r="L57" s="16"/>
      <c r="M57" s="16"/>
      <c r="N57" s="16"/>
      <c r="O57" s="16"/>
      <c r="P57" s="16"/>
    </row>
    <row r="58" spans="2:21" x14ac:dyDescent="0.3">
      <c r="B58" s="67"/>
      <c r="C58" s="68"/>
      <c r="D58" s="69"/>
      <c r="E58" s="70"/>
      <c r="F58" s="68"/>
      <c r="G58" s="68"/>
      <c r="H58" s="71"/>
      <c r="I58" s="16"/>
      <c r="J58" s="16"/>
      <c r="K58" s="16"/>
      <c r="L58" s="16"/>
      <c r="M58" s="16"/>
      <c r="N58" s="16"/>
      <c r="O58" s="16"/>
      <c r="P58" s="16"/>
    </row>
    <row r="59" spans="2:21" x14ac:dyDescent="0.3">
      <c r="B59" s="30"/>
      <c r="C59" s="31"/>
      <c r="D59" s="31"/>
      <c r="E59" s="31"/>
      <c r="F59" s="31"/>
      <c r="G59" s="31"/>
      <c r="H59" s="72"/>
      <c r="I59" s="16"/>
      <c r="L59" s="16"/>
      <c r="M59" s="16"/>
      <c r="N59" s="16"/>
      <c r="O59" s="16"/>
      <c r="P59" s="16"/>
    </row>
    <row r="60" spans="2:21" x14ac:dyDescent="0.3">
      <c r="B60" s="36"/>
      <c r="D60" s="73" t="s">
        <v>17</v>
      </c>
      <c r="E60" s="74"/>
      <c r="F60" s="74"/>
      <c r="G60" s="74"/>
      <c r="H60" s="75"/>
      <c r="I60" s="76"/>
      <c r="K60" s="77"/>
      <c r="L60" s="16"/>
      <c r="M60" s="16"/>
      <c r="N60" s="16"/>
      <c r="O60" s="16"/>
      <c r="P60" s="16"/>
    </row>
    <row r="61" spans="2:21" x14ac:dyDescent="0.3">
      <c r="B61" s="36" t="s">
        <v>18</v>
      </c>
      <c r="D61" s="77">
        <f>(SUM(H47:H55)/(1-E61-E62))</f>
        <v>173.59053607588191</v>
      </c>
      <c r="E61" s="78">
        <f>N19</f>
        <v>1.0999999999999999E-2</v>
      </c>
      <c r="H61" s="56">
        <f>D61*E61</f>
        <v>1.9094958968347009</v>
      </c>
      <c r="I61" s="77"/>
      <c r="L61" s="16"/>
      <c r="M61" s="16"/>
      <c r="N61" s="16"/>
      <c r="O61" s="16"/>
      <c r="P61" s="16"/>
    </row>
    <row r="62" spans="2:21" x14ac:dyDescent="0.3">
      <c r="B62" s="36" t="s">
        <v>19</v>
      </c>
      <c r="D62" s="77">
        <f>D61</f>
        <v>173.59053607588191</v>
      </c>
      <c r="E62" s="78">
        <f>N20</f>
        <v>5.0700000000000002E-2</v>
      </c>
      <c r="H62" s="56">
        <f>D62*E62</f>
        <v>8.801040179047213</v>
      </c>
      <c r="I62" s="77"/>
      <c r="L62" s="16"/>
      <c r="M62" s="16"/>
      <c r="N62" s="16"/>
      <c r="O62" s="16"/>
      <c r="P62" s="16"/>
    </row>
    <row r="63" spans="2:21" x14ac:dyDescent="0.3">
      <c r="B63" s="36" t="s">
        <v>20</v>
      </c>
      <c r="D63" s="145">
        <f>D61/(1-E63)</f>
        <v>209.14522418780953</v>
      </c>
      <c r="E63" s="138">
        <v>0.17</v>
      </c>
      <c r="H63" s="56">
        <f>D63*E63</f>
        <v>35.554688111927625</v>
      </c>
      <c r="I63" s="77"/>
      <c r="L63" s="16"/>
      <c r="M63" s="16"/>
      <c r="N63" s="16"/>
      <c r="O63" s="16"/>
      <c r="P63" s="16"/>
    </row>
    <row r="64" spans="2:21" x14ac:dyDescent="0.3">
      <c r="B64" s="67"/>
      <c r="C64" s="68"/>
      <c r="D64" s="68"/>
      <c r="E64" s="68"/>
      <c r="F64" s="68"/>
      <c r="G64" s="68"/>
      <c r="H64" s="79"/>
      <c r="L64" s="16"/>
      <c r="M64" s="16"/>
      <c r="N64" s="16"/>
      <c r="O64" s="16"/>
      <c r="P64" s="16"/>
    </row>
    <row r="65" spans="2:16" x14ac:dyDescent="0.3">
      <c r="B65" s="185" t="s">
        <v>183</v>
      </c>
      <c r="C65" s="186"/>
      <c r="D65" s="187">
        <f>SUM(D47:D49)</f>
        <v>208</v>
      </c>
      <c r="E65" s="188">
        <f>IF(AND($B$15&lt;$F$2,$E$15&lt;$F$2),C9,IF($B$15&lt;$F$2,I9,F9))</f>
        <v>1.8608682270474647E-4</v>
      </c>
      <c r="F65" s="188">
        <f>IF(AND($B$15&lt;$F$2,$E$15&lt;$F$2),D9,IF($B$15&lt;$F$2,J9,G9))</f>
        <v>-2.5965236115047629E-3</v>
      </c>
      <c r="G65" s="186"/>
      <c r="H65" s="185">
        <f>D65*(E65+F65)</f>
        <v>-0.50137085207040344</v>
      </c>
      <c r="L65" s="16"/>
      <c r="M65" s="16"/>
      <c r="N65" s="16"/>
      <c r="O65" s="16"/>
      <c r="P65" s="16"/>
    </row>
    <row r="66" spans="2:16" x14ac:dyDescent="0.3">
      <c r="L66" s="16"/>
      <c r="M66" s="16"/>
      <c r="N66" s="16"/>
      <c r="O66" s="16"/>
      <c r="P66" s="16"/>
    </row>
    <row r="67" spans="2:16" x14ac:dyDescent="0.3">
      <c r="B67" s="80" t="s">
        <v>43</v>
      </c>
      <c r="D67" s="74"/>
      <c r="E67" s="74" t="s">
        <v>14</v>
      </c>
      <c r="F67" s="74"/>
      <c r="G67" s="74"/>
      <c r="H67" s="76"/>
    </row>
    <row r="68" spans="2:16" x14ac:dyDescent="0.3">
      <c r="B68" s="81"/>
      <c r="C68" s="82" t="s">
        <v>9</v>
      </c>
    </row>
    <row r="69" spans="2:16" x14ac:dyDescent="0.3">
      <c r="B69" s="81" t="s">
        <v>44</v>
      </c>
      <c r="C69" s="83">
        <f>(SUM(H47:H55)*IF($B$15&lt;$F$2,D107,D79))</f>
        <v>72.562223980730522</v>
      </c>
    </row>
    <row r="70" spans="2:16" x14ac:dyDescent="0.3">
      <c r="B70" s="81" t="s">
        <v>45</v>
      </c>
      <c r="C70" s="83">
        <f>(SUM(H47:H55)*IF($B$15&lt;$F$2,F107,F79))</f>
        <v>42.868719030750185</v>
      </c>
    </row>
    <row r="71" spans="2:16" x14ac:dyDescent="0.3">
      <c r="B71" s="81" t="s">
        <v>46</v>
      </c>
      <c r="C71" s="83">
        <f>(SUM(H47:H55)*IF($B$15&lt;$F$2,E107,E79))</f>
        <v>13.674281610252335</v>
      </c>
    </row>
    <row r="72" spans="2:16" x14ac:dyDescent="0.3">
      <c r="B72" s="81" t="s">
        <v>47</v>
      </c>
      <c r="C72" s="83">
        <f>(SUM(H47:H55)*IF($B$15&lt;$F$2,G107,G79))</f>
        <v>33.775618688606336</v>
      </c>
    </row>
    <row r="73" spans="2:16" x14ac:dyDescent="0.3">
      <c r="B73" s="81" t="s">
        <v>48</v>
      </c>
      <c r="C73" s="84">
        <f>H61+H62+H63</f>
        <v>46.265224187809537</v>
      </c>
    </row>
    <row r="74" spans="2:16" x14ac:dyDescent="0.3">
      <c r="B74" s="85" t="s">
        <v>49</v>
      </c>
      <c r="C74" s="86">
        <f>SUM(C69:C73)</f>
        <v>209.14606749814891</v>
      </c>
    </row>
    <row r="76" spans="2:16" x14ac:dyDescent="0.3">
      <c r="B76" s="87">
        <v>2024</v>
      </c>
      <c r="C76" s="87"/>
      <c r="D76" s="87" t="s">
        <v>44</v>
      </c>
      <c r="E76" s="87" t="s">
        <v>46</v>
      </c>
      <c r="F76" s="87" t="s">
        <v>45</v>
      </c>
      <c r="G76" s="87" t="s">
        <v>50</v>
      </c>
    </row>
    <row r="77" spans="2:16" x14ac:dyDescent="0.3">
      <c r="B77" s="87" t="s">
        <v>51</v>
      </c>
      <c r="C77" s="87"/>
      <c r="D77" s="87" t="s">
        <v>52</v>
      </c>
      <c r="E77" s="87" t="s">
        <v>52</v>
      </c>
      <c r="F77" s="87" t="s">
        <v>52</v>
      </c>
      <c r="G77" s="87" t="s">
        <v>52</v>
      </c>
    </row>
    <row r="78" spans="2:16" x14ac:dyDescent="0.3">
      <c r="B78" s="87"/>
      <c r="C78" s="87"/>
      <c r="D78" s="87"/>
      <c r="E78" s="87"/>
      <c r="F78" s="87"/>
      <c r="G78" s="87"/>
    </row>
    <row r="79" spans="2:16" x14ac:dyDescent="0.3">
      <c r="B79" s="87" t="s">
        <v>53</v>
      </c>
      <c r="C79" s="87"/>
      <c r="D79" s="88">
        <v>0.45246416638672077</v>
      </c>
      <c r="E79" s="88">
        <v>7.39594111182032E-2</v>
      </c>
      <c r="F79" s="88">
        <v>0.27500913257019954</v>
      </c>
      <c r="G79" s="88">
        <v>0.19856728992487654</v>
      </c>
    </row>
    <row r="80" spans="2:16" x14ac:dyDescent="0.3">
      <c r="B80" s="87" t="s">
        <v>54</v>
      </c>
      <c r="C80" s="87"/>
      <c r="D80" s="88">
        <v>0.53149575868436638</v>
      </c>
      <c r="E80" s="88">
        <v>8.6877848555460851E-2</v>
      </c>
      <c r="F80" s="88">
        <v>0.32304478104372042</v>
      </c>
      <c r="G80" s="88">
        <v>5.8581611716452382E-2</v>
      </c>
    </row>
    <row r="81" spans="2:10" x14ac:dyDescent="0.3">
      <c r="B81" s="87" t="s">
        <v>55</v>
      </c>
      <c r="C81" s="87"/>
      <c r="D81" s="88">
        <v>0.45246416638672077</v>
      </c>
      <c r="E81" s="88">
        <v>7.39594111182032E-2</v>
      </c>
      <c r="F81" s="88">
        <v>0.27500913257019954</v>
      </c>
      <c r="G81" s="88">
        <v>0.19856728992487654</v>
      </c>
    </row>
    <row r="82" spans="2:10" x14ac:dyDescent="0.3">
      <c r="B82" s="87" t="s">
        <v>56</v>
      </c>
      <c r="C82" s="87"/>
      <c r="D82" s="88">
        <v>0.45246416638672077</v>
      </c>
      <c r="E82" s="88">
        <v>7.39594111182032E-2</v>
      </c>
      <c r="F82" s="88">
        <v>0.27500913257019954</v>
      </c>
      <c r="G82" s="88">
        <v>0.19856728992487654</v>
      </c>
    </row>
    <row r="83" spans="2:10" x14ac:dyDescent="0.3">
      <c r="B83" s="87" t="s">
        <v>57</v>
      </c>
      <c r="C83" s="87"/>
      <c r="D83" s="88">
        <v>0.45246416638672077</v>
      </c>
      <c r="E83" s="88">
        <v>7.39594111182032E-2</v>
      </c>
      <c r="F83" s="88">
        <v>0.27500913257019954</v>
      </c>
      <c r="G83" s="88">
        <v>0.19856728992487654</v>
      </c>
    </row>
    <row r="84" spans="2:10" x14ac:dyDescent="0.3">
      <c r="B84" s="87" t="s">
        <v>58</v>
      </c>
      <c r="C84" s="87"/>
      <c r="D84" s="88">
        <v>0.45246416638672077</v>
      </c>
      <c r="E84" s="88">
        <v>7.39594111182032E-2</v>
      </c>
      <c r="F84" s="88">
        <v>0.27500913257019954</v>
      </c>
      <c r="G84" s="88">
        <v>0.19856728992487654</v>
      </c>
    </row>
    <row r="85" spans="2:10" x14ac:dyDescent="0.3">
      <c r="B85" s="87" t="s">
        <v>59</v>
      </c>
      <c r="C85" s="87"/>
      <c r="D85" s="88">
        <v>0.45246416638672071</v>
      </c>
      <c r="E85" s="88">
        <v>7.3959411118203186E-2</v>
      </c>
      <c r="F85" s="88">
        <v>0.27500913257019949</v>
      </c>
      <c r="G85" s="88">
        <v>0.19856728992487654</v>
      </c>
    </row>
    <row r="86" spans="2:10" x14ac:dyDescent="0.3">
      <c r="B86" s="87" t="s">
        <v>60</v>
      </c>
      <c r="C86" s="87"/>
      <c r="D86" s="88">
        <v>0.45246416638672071</v>
      </c>
      <c r="E86" s="88">
        <v>7.3959411118203186E-2</v>
      </c>
      <c r="F86" s="88">
        <v>0.27500913257019949</v>
      </c>
      <c r="G86" s="88">
        <v>0.19856728992487654</v>
      </c>
      <c r="J86" s="15"/>
    </row>
    <row r="87" spans="2:10" x14ac:dyDescent="0.3">
      <c r="B87" s="87" t="s">
        <v>61</v>
      </c>
      <c r="C87" s="87"/>
      <c r="D87" s="88">
        <v>0.45246416638672071</v>
      </c>
      <c r="E87" s="88">
        <v>7.39594111182032E-2</v>
      </c>
      <c r="F87" s="88">
        <v>0.27500913257019954</v>
      </c>
      <c r="G87" s="88">
        <v>0.19856728992487657</v>
      </c>
    </row>
    <row r="88" spans="2:10" x14ac:dyDescent="0.3">
      <c r="B88" s="80"/>
      <c r="C88" s="80"/>
      <c r="D88" s="80"/>
      <c r="E88" s="80"/>
      <c r="F88" s="80"/>
      <c r="G88" s="80"/>
    </row>
    <row r="89" spans="2:10" x14ac:dyDescent="0.3">
      <c r="B89" s="80"/>
      <c r="C89" s="80"/>
      <c r="D89" s="80"/>
      <c r="E89" s="80"/>
      <c r="F89" s="80"/>
      <c r="G89" s="80"/>
    </row>
    <row r="90" spans="2:10" x14ac:dyDescent="0.3">
      <c r="B90" s="80">
        <v>2023</v>
      </c>
      <c r="C90" s="87"/>
      <c r="D90" s="87" t="s">
        <v>44</v>
      </c>
      <c r="E90" s="87" t="s">
        <v>46</v>
      </c>
      <c r="F90" s="87" t="s">
        <v>45</v>
      </c>
      <c r="G90" s="87" t="s">
        <v>50</v>
      </c>
    </row>
    <row r="91" spans="2:10" x14ac:dyDescent="0.3">
      <c r="B91" s="87" t="s">
        <v>51</v>
      </c>
      <c r="C91" s="87"/>
      <c r="D91" s="87" t="s">
        <v>52</v>
      </c>
      <c r="E91" s="87" t="s">
        <v>52</v>
      </c>
      <c r="F91" s="87" t="s">
        <v>52</v>
      </c>
      <c r="G91" s="87" t="s">
        <v>52</v>
      </c>
    </row>
    <row r="92" spans="2:10" x14ac:dyDescent="0.3">
      <c r="B92" s="87"/>
      <c r="C92" s="87"/>
      <c r="D92" s="87"/>
      <c r="E92" s="87"/>
      <c r="F92" s="87"/>
      <c r="G92" s="87"/>
    </row>
    <row r="93" spans="2:10" x14ac:dyDescent="0.3">
      <c r="B93" s="87" t="s">
        <v>53</v>
      </c>
      <c r="C93" s="87"/>
      <c r="D93" s="88">
        <v>0.43939696077133034</v>
      </c>
      <c r="E93" s="88">
        <v>9.2697585625348772E-2</v>
      </c>
      <c r="F93" s="88">
        <v>0.25285207888477268</v>
      </c>
      <c r="G93" s="88">
        <v>0.21506308252114117</v>
      </c>
    </row>
    <row r="94" spans="2:10" x14ac:dyDescent="0.3">
      <c r="B94" s="87" t="s">
        <v>54</v>
      </c>
      <c r="C94" s="87"/>
      <c r="D94" s="88">
        <v>0.52691619996872485</v>
      </c>
      <c r="E94" s="88">
        <v>0.11116112291319068</v>
      </c>
      <c r="F94" s="88">
        <v>0.30321524374287334</v>
      </c>
      <c r="G94" s="88">
        <v>5.8707433375211129E-2</v>
      </c>
    </row>
    <row r="95" spans="2:10" x14ac:dyDescent="0.3">
      <c r="B95" s="87" t="s">
        <v>55</v>
      </c>
      <c r="C95" s="87"/>
      <c r="D95" s="88">
        <v>0.43939300245552615</v>
      </c>
      <c r="E95" s="88">
        <v>9.2696750557401245E-2</v>
      </c>
      <c r="F95" s="88">
        <v>0.25284980106205335</v>
      </c>
      <c r="G95" s="88">
        <v>0.21506044592501908</v>
      </c>
    </row>
    <row r="96" spans="2:10" x14ac:dyDescent="0.3">
      <c r="B96" s="87" t="s">
        <v>56</v>
      </c>
      <c r="C96" s="87"/>
      <c r="D96" s="88">
        <v>0.43939300245552615</v>
      </c>
      <c r="E96" s="88">
        <v>9.2696750557401245E-2</v>
      </c>
      <c r="F96" s="88">
        <v>0.25284980106205335</v>
      </c>
      <c r="G96" s="88">
        <v>0.21506044592501908</v>
      </c>
    </row>
    <row r="97" spans="2:7" x14ac:dyDescent="0.3">
      <c r="B97" s="87" t="s">
        <v>57</v>
      </c>
      <c r="C97" s="87"/>
      <c r="D97" s="88">
        <v>0.43939300245552615</v>
      </c>
      <c r="E97" s="88">
        <v>9.2696750557401328E-2</v>
      </c>
      <c r="F97" s="88">
        <v>0.25284980106205335</v>
      </c>
      <c r="G97" s="88">
        <v>0.21506044592501908</v>
      </c>
    </row>
    <row r="98" spans="2:7" x14ac:dyDescent="0.3">
      <c r="B98" s="87" t="s">
        <v>58</v>
      </c>
      <c r="C98" s="87"/>
      <c r="D98" s="88">
        <v>0.43939300245552615</v>
      </c>
      <c r="E98" s="88">
        <v>9.2696750557401328E-2</v>
      </c>
      <c r="F98" s="88">
        <v>0.25284980106205335</v>
      </c>
      <c r="G98" s="88">
        <v>0.21506044592501908</v>
      </c>
    </row>
    <row r="99" spans="2:7" x14ac:dyDescent="0.3">
      <c r="B99" s="87" t="s">
        <v>59</v>
      </c>
      <c r="C99" s="87"/>
      <c r="D99" s="88">
        <v>0</v>
      </c>
      <c r="E99" s="88">
        <v>0</v>
      </c>
      <c r="F99" s="88">
        <v>0</v>
      </c>
      <c r="G99" s="88">
        <v>0</v>
      </c>
    </row>
    <row r="100" spans="2:7" x14ac:dyDescent="0.3">
      <c r="B100" s="87" t="s">
        <v>60</v>
      </c>
      <c r="C100" s="87"/>
      <c r="D100" s="88">
        <v>0.43938945729126549</v>
      </c>
      <c r="E100" s="88">
        <v>9.2697336752737058E-2</v>
      </c>
      <c r="F100" s="88">
        <v>0.25285140003260154</v>
      </c>
      <c r="G100" s="88">
        <v>0.21506180592339591</v>
      </c>
    </row>
    <row r="101" spans="2:7" x14ac:dyDescent="0.3">
      <c r="B101" s="87" t="s">
        <v>61</v>
      </c>
      <c r="C101" s="87"/>
      <c r="D101" s="88">
        <v>0.43938945729126527</v>
      </c>
      <c r="E101" s="88">
        <v>9.2697336752736934E-2</v>
      </c>
      <c r="F101" s="88">
        <v>0.25285140003260193</v>
      </c>
      <c r="G101" s="88">
        <v>0.21506180592339585</v>
      </c>
    </row>
    <row r="102" spans="2:7" x14ac:dyDescent="0.3">
      <c r="B102" s="80"/>
      <c r="C102" s="80"/>
      <c r="D102" s="80"/>
      <c r="E102" s="80"/>
      <c r="F102" s="80"/>
      <c r="G102" s="80"/>
    </row>
    <row r="103" spans="2:7" x14ac:dyDescent="0.3">
      <c r="B103" s="89" t="s">
        <v>66</v>
      </c>
      <c r="C103" s="80"/>
      <c r="D103" s="80"/>
      <c r="E103" s="80"/>
      <c r="F103" s="80"/>
      <c r="G103" s="80"/>
    </row>
    <row r="104" spans="2:7" x14ac:dyDescent="0.3">
      <c r="B104" s="87"/>
      <c r="C104" s="87"/>
      <c r="D104" s="87" t="s">
        <v>44</v>
      </c>
      <c r="E104" s="87" t="s">
        <v>46</v>
      </c>
      <c r="F104" s="87" t="s">
        <v>45</v>
      </c>
      <c r="G104" s="87" t="s">
        <v>50</v>
      </c>
    </row>
    <row r="105" spans="2:7" x14ac:dyDescent="0.3">
      <c r="B105" s="87" t="s">
        <v>51</v>
      </c>
      <c r="C105" s="87"/>
      <c r="D105" s="88" t="s">
        <v>52</v>
      </c>
      <c r="E105" s="88" t="s">
        <v>52</v>
      </c>
      <c r="F105" s="88" t="s">
        <v>52</v>
      </c>
      <c r="G105" s="88" t="s">
        <v>52</v>
      </c>
    </row>
    <row r="106" spans="2:7" x14ac:dyDescent="0.3">
      <c r="B106" s="87"/>
      <c r="C106" s="87"/>
      <c r="D106" s="88"/>
      <c r="E106" s="88"/>
      <c r="F106" s="88"/>
      <c r="G106" s="88"/>
    </row>
    <row r="107" spans="2:7" x14ac:dyDescent="0.3">
      <c r="B107" s="87" t="s">
        <v>53</v>
      </c>
      <c r="C107" s="87"/>
      <c r="D107" s="88">
        <f t="shared" ref="D107:G115" si="19">((D93*$C$15)+(D79*$D$15))/($C$15+$D$15)</f>
        <v>0.44549499005851251</v>
      </c>
      <c r="E107" s="88">
        <f t="shared" si="19"/>
        <v>8.3953104188680835E-2</v>
      </c>
      <c r="F107" s="88">
        <f t="shared" si="19"/>
        <v>0.26319203727130519</v>
      </c>
      <c r="G107" s="88">
        <f t="shared" si="19"/>
        <v>0.20736504597621769</v>
      </c>
    </row>
    <row r="108" spans="2:7" x14ac:dyDescent="0.3">
      <c r="B108" s="87" t="s">
        <v>54</v>
      </c>
      <c r="C108" s="87"/>
      <c r="D108" s="88">
        <f t="shared" si="19"/>
        <v>0.52905332736935751</v>
      </c>
      <c r="E108" s="88">
        <f t="shared" si="19"/>
        <v>9.9828928212916751E-2</v>
      </c>
      <c r="F108" s="88">
        <f t="shared" si="19"/>
        <v>0.31246902781660196</v>
      </c>
      <c r="G108" s="88">
        <f t="shared" si="19"/>
        <v>5.8648716601123717E-2</v>
      </c>
    </row>
    <row r="109" spans="2:7" x14ac:dyDescent="0.3">
      <c r="B109" s="87" t="s">
        <v>55</v>
      </c>
      <c r="C109" s="87"/>
      <c r="D109" s="88">
        <f t="shared" si="19"/>
        <v>0.44549287895675033</v>
      </c>
      <c r="E109" s="88">
        <f t="shared" si="19"/>
        <v>8.3952658819108836E-2</v>
      </c>
      <c r="F109" s="88">
        <f t="shared" si="19"/>
        <v>0.26319082243252157</v>
      </c>
      <c r="G109" s="88">
        <f t="shared" si="19"/>
        <v>0.20736363979161923</v>
      </c>
    </row>
    <row r="110" spans="2:7" x14ac:dyDescent="0.3">
      <c r="B110" s="87" t="s">
        <v>56</v>
      </c>
      <c r="C110" s="87"/>
      <c r="D110" s="88">
        <f t="shared" si="19"/>
        <v>0.44549287895675033</v>
      </c>
      <c r="E110" s="88">
        <f t="shared" si="19"/>
        <v>8.3952658819108836E-2</v>
      </c>
      <c r="F110" s="88">
        <f t="shared" si="19"/>
        <v>0.26319082243252157</v>
      </c>
      <c r="G110" s="88">
        <f t="shared" si="19"/>
        <v>0.20736363979161923</v>
      </c>
    </row>
    <row r="111" spans="2:7" x14ac:dyDescent="0.3">
      <c r="B111" s="87" t="s">
        <v>57</v>
      </c>
      <c r="C111" s="87"/>
      <c r="D111" s="88">
        <f t="shared" si="19"/>
        <v>0.44549287895675033</v>
      </c>
      <c r="E111" s="88">
        <f t="shared" si="19"/>
        <v>8.3952658819108864E-2</v>
      </c>
      <c r="F111" s="88">
        <f t="shared" si="19"/>
        <v>0.26319082243252157</v>
      </c>
      <c r="G111" s="88">
        <f t="shared" si="19"/>
        <v>0.20736363979161923</v>
      </c>
    </row>
    <row r="112" spans="2:7" x14ac:dyDescent="0.3">
      <c r="B112" s="87" t="s">
        <v>58</v>
      </c>
      <c r="C112" s="87"/>
      <c r="D112" s="88">
        <f t="shared" si="19"/>
        <v>0.44549287895675033</v>
      </c>
      <c r="E112" s="88">
        <f t="shared" si="19"/>
        <v>8.3952658819108864E-2</v>
      </c>
      <c r="F112" s="88">
        <f t="shared" si="19"/>
        <v>0.26319082243252157</v>
      </c>
      <c r="G112" s="88">
        <f t="shared" si="19"/>
        <v>0.20736363979161923</v>
      </c>
    </row>
    <row r="113" spans="2:7" x14ac:dyDescent="0.3">
      <c r="B113" s="87" t="s">
        <v>59</v>
      </c>
      <c r="C113" s="87"/>
      <c r="D113" s="88">
        <f t="shared" si="19"/>
        <v>0.21114994431380299</v>
      </c>
      <c r="E113" s="88">
        <f t="shared" si="19"/>
        <v>3.4514391855161489E-2</v>
      </c>
      <c r="F113" s="88">
        <f t="shared" si="19"/>
        <v>0.12833759519942642</v>
      </c>
      <c r="G113" s="88">
        <f t="shared" si="19"/>
        <v>9.2664735298275722E-2</v>
      </c>
    </row>
    <row r="114" spans="2:7" x14ac:dyDescent="0.3">
      <c r="B114" s="87" t="s">
        <v>60</v>
      </c>
      <c r="C114" s="87"/>
      <c r="D114" s="88">
        <f t="shared" si="19"/>
        <v>0.4454909882024779</v>
      </c>
      <c r="E114" s="88">
        <f t="shared" si="19"/>
        <v>8.3952971456621242E-2</v>
      </c>
      <c r="F114" s="88">
        <f t="shared" si="19"/>
        <v>0.26319167521681391</v>
      </c>
      <c r="G114" s="88">
        <f t="shared" si="19"/>
        <v>0.20736436512408687</v>
      </c>
    </row>
    <row r="115" spans="2:7" x14ac:dyDescent="0.3">
      <c r="B115" s="87" t="s">
        <v>61</v>
      </c>
      <c r="C115" s="87"/>
      <c r="D115" s="88">
        <f t="shared" si="19"/>
        <v>0.44549098820247779</v>
      </c>
      <c r="E115" s="88">
        <f t="shared" si="19"/>
        <v>8.3952971456621187E-2</v>
      </c>
      <c r="F115" s="88">
        <f t="shared" si="19"/>
        <v>0.26319167521681414</v>
      </c>
      <c r="G115" s="88">
        <f t="shared" si="19"/>
        <v>0.20736436512408687</v>
      </c>
    </row>
  </sheetData>
  <customSheetViews>
    <customSheetView guid="{93A7E07A-AC2D-4310-B7ED-B74DACBA50A7}" scale="80" showGridLines="0" topLeftCell="A29">
      <selection activeCell="I63" sqref="I63"/>
      <pageMargins left="0.511811024" right="0.511811024" top="0.78740157499999996" bottom="0.78740157499999996" header="0.31496062000000002" footer="0.31496062000000002"/>
      <pageSetup orientation="portrait" r:id="rId1"/>
    </customSheetView>
    <customSheetView guid="{EB662AE4-4B22-40EC-8355-9AD94D059B97}" scale="80" showGridLines="0" topLeftCell="A12">
      <selection activeCell="F19" sqref="F19"/>
      <pageMargins left="0.511811024" right="0.511811024" top="0.78740157499999996" bottom="0.78740157499999996" header="0.31496062000000002" footer="0.31496062000000002"/>
      <pageSetup orientation="portrait" r:id="rId2"/>
    </customSheetView>
    <customSheetView guid="{A8592FA0-1011-4F02-BFB0-BB1C65ED9311}" scale="80" showGridLines="0">
      <selection activeCell="I8" sqref="I8"/>
      <pageMargins left="0.511811024" right="0.511811024" top="0.78740157499999996" bottom="0.78740157499999996" header="0.31496062000000002" footer="0.31496062000000002"/>
      <pageSetup orientation="portrait" r:id="rId3"/>
    </customSheetView>
  </customSheetViews>
  <mergeCells count="11">
    <mergeCell ref="H2:I2"/>
    <mergeCell ref="U4:W4"/>
    <mergeCell ref="X4:Z4"/>
    <mergeCell ref="K12:L12"/>
    <mergeCell ref="B43:H43"/>
    <mergeCell ref="B4:B5"/>
    <mergeCell ref="C4:E4"/>
    <mergeCell ref="F4:H4"/>
    <mergeCell ref="I4:K4"/>
    <mergeCell ref="Q4:Q5"/>
    <mergeCell ref="R4:T4"/>
  </mergeCells>
  <conditionalFormatting sqref="K13:L13">
    <cfRule type="cellIs" dxfId="126" priority="1" operator="equal">
      <formula>"Escassez Hídrica"</formula>
    </cfRule>
    <cfRule type="cellIs" dxfId="125" priority="2" operator="equal">
      <formula>"VERDE"</formula>
    </cfRule>
    <cfRule type="cellIs" dxfId="124" priority="3" operator="equal">
      <formula>"BVM2"</formula>
    </cfRule>
    <cfRule type="cellIs" dxfId="123" priority="4" operator="equal">
      <formula>"BVM1"</formula>
    </cfRule>
    <cfRule type="cellIs" dxfId="122" priority="5" operator="equal">
      <formula>"BAM"</formula>
    </cfRule>
  </conditionalFormatting>
  <conditionalFormatting sqref="M3">
    <cfRule type="cellIs" dxfId="121" priority="16" operator="equal">
      <formula>"VERDE"</formula>
    </cfRule>
    <cfRule type="cellIs" dxfId="120" priority="17" operator="equal">
      <formula>"BVM2"</formula>
    </cfRule>
    <cfRule type="cellIs" dxfId="119" priority="18" operator="equal">
      <formula>"BVM1"</formula>
    </cfRule>
    <cfRule type="cellIs" dxfId="118" priority="19" operator="equal">
      <formula>"BAM"</formula>
    </cfRule>
  </conditionalFormatting>
  <conditionalFormatting sqref="M7">
    <cfRule type="containsText" dxfId="117" priority="11" operator="containsText" text="Escassez Hídrica">
      <formula>NOT(ISERROR(SEARCH("Escassez Hídrica",M7)))</formula>
    </cfRule>
    <cfRule type="cellIs" dxfId="116" priority="12" operator="equal">
      <formula>"VERDE"</formula>
    </cfRule>
    <cfRule type="cellIs" dxfId="115" priority="13" operator="equal">
      <formula>"BVM2"</formula>
    </cfRule>
    <cfRule type="cellIs" dxfId="114" priority="14" operator="equal">
      <formula>"BVM1"</formula>
    </cfRule>
    <cfRule type="cellIs" dxfId="113" priority="15" operator="equal">
      <formula>"BAM"</formula>
    </cfRule>
  </conditionalFormatting>
  <dataValidations count="1">
    <dataValidation type="list" allowBlank="1" showInputMessage="1" showErrorMessage="1" sqref="K13:L13" xr:uid="{00000000-0002-0000-0300-000000000000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34"/>
  <sheetViews>
    <sheetView showGridLines="0" topLeftCell="A5" zoomScale="70" zoomScaleNormal="70" workbookViewId="0">
      <selection activeCell="E57" sqref="E57"/>
    </sheetView>
  </sheetViews>
  <sheetFormatPr defaultColWidth="9.109375" defaultRowHeight="14.4" x14ac:dyDescent="0.3"/>
  <cols>
    <col min="1" max="1" width="5.44140625" style="14" customWidth="1"/>
    <col min="2" max="2" width="29.6640625" style="14" customWidth="1"/>
    <col min="3" max="3" width="12.88671875" style="14" customWidth="1"/>
    <col min="4" max="10" width="12.6640625" style="14" customWidth="1"/>
    <col min="11" max="12" width="14.33203125" style="14" customWidth="1"/>
    <col min="13" max="13" width="14.109375" style="14" customWidth="1"/>
    <col min="14" max="15" width="12.6640625" style="14" customWidth="1"/>
    <col min="16" max="16" width="14" style="14" customWidth="1"/>
    <col min="17" max="17" width="14.33203125" style="14" bestFit="1" customWidth="1"/>
    <col min="18" max="18" width="12.109375" style="14" bestFit="1" customWidth="1"/>
    <col min="19" max="19" width="13.109375" style="14" bestFit="1" customWidth="1"/>
    <col min="20" max="20" width="11.3320312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16384" width="9.109375" style="14"/>
  </cols>
  <sheetData>
    <row r="1" spans="1:25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5" ht="18" x14ac:dyDescent="0.3">
      <c r="B2" s="17" t="s">
        <v>23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5" x14ac:dyDescent="0.3">
      <c r="M3" s="20" t="s">
        <v>22</v>
      </c>
      <c r="N3" s="165">
        <f>'B1 (Res) Branca OK'!N3</f>
        <v>0</v>
      </c>
    </row>
    <row r="4" spans="1:25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</row>
    <row r="5" spans="1:25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</row>
    <row r="6" spans="1:25" x14ac:dyDescent="0.3">
      <c r="B6" s="27" t="s">
        <v>143</v>
      </c>
      <c r="C6" s="28">
        <f>'TABELA DE TARIFAS ANTIGAS'!G74/1000</f>
        <v>1.0610299999999999</v>
      </c>
      <c r="D6" s="28">
        <f>'TABELA DE TARIFAS ANTIGAS'!H74/1000</f>
        <v>0.48448000000000002</v>
      </c>
      <c r="E6" s="28">
        <f t="shared" ref="E6:E8" si="0">C6+D6</f>
        <v>1.5455099999999999</v>
      </c>
      <c r="F6" s="28">
        <f>'TABELA DE TARIFAS NOVAS'!G76/1000</f>
        <v>1.1286700000000001</v>
      </c>
      <c r="G6" s="28">
        <f>'TABELA DE TARIFAS NOVAS'!H76/1000</f>
        <v>0.51690999999999998</v>
      </c>
      <c r="H6" s="28">
        <f t="shared" ref="H6:H9" si="1">F6+G6</f>
        <v>1.64558</v>
      </c>
      <c r="I6" s="28">
        <f>((C6*$C$15)+(F6*$D$15))/($D$15+$C$15)</f>
        <v>1.1061233333333333</v>
      </c>
      <c r="J6" s="28">
        <f>((D6*$C$15)+(G6*$D$15))/($D$15+$C$15)</f>
        <v>0.50609999999999999</v>
      </c>
      <c r="K6" s="29">
        <f t="shared" ref="K6:K9" si="2">I6+J6</f>
        <v>1.6122233333333333</v>
      </c>
      <c r="M6" s="7" t="s">
        <v>37</v>
      </c>
      <c r="N6" s="8">
        <f>'B1 (Res) Branca OK'!N6</f>
        <v>7.8770000000000007E-2</v>
      </c>
      <c r="Q6" s="27" t="str">
        <f>B6</f>
        <v>B2 Ponta</v>
      </c>
      <c r="R6" s="28">
        <f>'FIO B'!H16/1000</f>
        <v>0.69302445456809059</v>
      </c>
      <c r="S6"/>
      <c r="T6"/>
      <c r="U6" s="28">
        <f>'FIO B'!K16/1000</f>
        <v>0.71111541346497797</v>
      </c>
      <c r="V6"/>
      <c r="W6"/>
      <c r="X6" s="28">
        <f>((R6*$C$15)+(U6*$D$15))/($D$15+$C$15)</f>
        <v>0.70508509383268225</v>
      </c>
      <c r="Y6"/>
    </row>
    <row r="7" spans="1:25" customFormat="1" x14ac:dyDescent="0.3">
      <c r="B7" s="27" t="s">
        <v>144</v>
      </c>
      <c r="C7" s="28">
        <f>'TABELA DE TARIFAS ANTIGAS'!G76/1000</f>
        <v>0.38965</v>
      </c>
      <c r="D7" s="28">
        <f>'TABELA DE TARIFAS ANTIGAS'!H76/1000</f>
        <v>0.30579000000000001</v>
      </c>
      <c r="E7" s="28">
        <f t="shared" si="0"/>
        <v>0.69544000000000006</v>
      </c>
      <c r="F7" s="28">
        <f>'TABELA DE TARIFAS NOVAS'!G78/1000</f>
        <v>0.42333999999999999</v>
      </c>
      <c r="G7" s="28">
        <f>'TABELA DE TARIFAS NOVAS'!H78/1000</f>
        <v>0.32106999999999997</v>
      </c>
      <c r="H7" s="28">
        <f t="shared" si="1"/>
        <v>0.74441000000000002</v>
      </c>
      <c r="I7" s="28">
        <f>((C7*$C$15)+(F7*$D$15))/($D$15+$C$15)</f>
        <v>0.41210999999999998</v>
      </c>
      <c r="J7" s="28">
        <f>((D7*$C$15)+(G7*$D$15))/($D$15+$C$15)</f>
        <v>0.31597666666666663</v>
      </c>
      <c r="K7" s="29">
        <f t="shared" si="2"/>
        <v>0.72808666666666655</v>
      </c>
      <c r="M7" s="20" t="s">
        <v>149</v>
      </c>
      <c r="N7" s="142">
        <f>'B1 (Res) Branca OK'!N7</f>
        <v>0.14199999999999999</v>
      </c>
      <c r="Q7" s="27" t="str">
        <f t="shared" ref="Q7:Q8" si="3">B7</f>
        <v>B2 Fora Ponta</v>
      </c>
      <c r="R7" s="28">
        <f>'FIO B'!H18/1000</f>
        <v>0.13860487080740844</v>
      </c>
      <c r="U7" s="28">
        <f>'FIO B'!K18/1000</f>
        <v>0.14222306206192598</v>
      </c>
      <c r="X7" s="28">
        <f t="shared" ref="X7:X8" si="4">((R7*$C$15)+(U7*$D$15))/($D$15+$C$15)</f>
        <v>0.14101699831042014</v>
      </c>
    </row>
    <row r="8" spans="1:25" customFormat="1" x14ac:dyDescent="0.3">
      <c r="B8" s="27" t="s">
        <v>145</v>
      </c>
      <c r="C8" s="28">
        <f>'TABELA DE TARIFAS ANTIGAS'!G75/1000</f>
        <v>0.72533999999999998</v>
      </c>
      <c r="D8" s="28">
        <f>'TABELA DE TARIFAS ANTIGAS'!H75/1000</f>
        <v>0.30579000000000001</v>
      </c>
      <c r="E8" s="28">
        <f t="shared" si="0"/>
        <v>1.0311300000000001</v>
      </c>
      <c r="F8" s="28">
        <f>'TABELA DE TARIFAS NOVAS'!G77/1000</f>
        <v>0.77600999999999998</v>
      </c>
      <c r="G8" s="28">
        <f>'TABELA DE TARIFAS NOVAS'!H77/1000</f>
        <v>0.32106999999999997</v>
      </c>
      <c r="H8" s="28">
        <f t="shared" si="1"/>
        <v>1.0970800000000001</v>
      </c>
      <c r="I8" s="28">
        <f>((C8*$C$15)+(F8*$D$15))/($D$15+$C$15)</f>
        <v>0.75911999999999991</v>
      </c>
      <c r="J8" s="28">
        <f t="shared" ref="J8" si="5">((D8*$C$15)+(G8*$D$15))/($D$15+$C$15)</f>
        <v>0.31597666666666663</v>
      </c>
      <c r="K8" s="29">
        <f t="shared" si="2"/>
        <v>1.0750966666666666</v>
      </c>
      <c r="Q8" s="27" t="str">
        <f t="shared" si="3"/>
        <v>B2 Interm.</v>
      </c>
      <c r="R8" s="28">
        <f>'FIO B'!H17/1000</f>
        <v>0.41581471295327371</v>
      </c>
      <c r="U8" s="28">
        <f>'FIO B'!K17/1000</f>
        <v>0.42666928934112502</v>
      </c>
      <c r="X8" s="28">
        <f t="shared" si="4"/>
        <v>0.4230510972118412</v>
      </c>
    </row>
    <row r="9" spans="1:25" customFormat="1" x14ac:dyDescent="0.3">
      <c r="B9" s="184" t="s">
        <v>182</v>
      </c>
      <c r="C9" s="29">
        <f>'B1 (Res) Branca OK'!C9</f>
        <v>1.8774721494831901E-4</v>
      </c>
      <c r="D9" s="29">
        <f>'B1 (Res) Branca OK'!D9</f>
        <v>-4.4031307414479802E-3</v>
      </c>
      <c r="E9" s="29">
        <f>SUM(C9+D9)</f>
        <v>-4.2153835264996612E-3</v>
      </c>
      <c r="F9" s="29">
        <f>T13</f>
        <v>1.84189231569235E-4</v>
      </c>
      <c r="G9" s="29">
        <f>U13</f>
        <v>-5.3182974871251499E-4</v>
      </c>
      <c r="H9" s="29">
        <f t="shared" si="1"/>
        <v>-3.4764051714327999E-4</v>
      </c>
      <c r="I9" s="28">
        <f>((C9*$C$15)+(F9*$D$15))/($D$15+$C$15)</f>
        <v>1.8537522602892967E-4</v>
      </c>
      <c r="J9" s="28">
        <f>((D9*$C$15)+(G9*$D$15))/($D$15+$C$15)</f>
        <v>-1.82226341295767E-3</v>
      </c>
      <c r="K9" s="29">
        <f t="shared" si="2"/>
        <v>-1.6368881869287403E-3</v>
      </c>
    </row>
    <row r="10" spans="1:25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</row>
    <row r="11" spans="1:25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f>EOMONTH(B15,0)+1</f>
        <v>46235</v>
      </c>
      <c r="P11" s="173" t="s">
        <v>179</v>
      </c>
      <c r="Q11" s="174"/>
      <c r="R11" s="175"/>
      <c r="S11" s="175"/>
      <c r="T11" s="176"/>
      <c r="U11" s="176"/>
    </row>
    <row r="12" spans="1:25" x14ac:dyDescent="0.3">
      <c r="B12" s="34" t="s">
        <v>34</v>
      </c>
      <c r="C12" s="260">
        <v>160451628</v>
      </c>
      <c r="E12" s="16"/>
      <c r="F12" s="16"/>
      <c r="G12" s="16"/>
      <c r="H12" s="35">
        <f>E15</f>
        <v>46260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v>0</v>
      </c>
    </row>
    <row r="13" spans="1:25" x14ac:dyDescent="0.3">
      <c r="B13" s="36"/>
      <c r="H13" s="37"/>
      <c r="K13" s="20" t="s">
        <v>16</v>
      </c>
      <c r="L13" s="20" t="str">
        <f>'B1 (Res) Branca OK'!L13</f>
        <v>BAM</v>
      </c>
      <c r="P13" s="181" t="s">
        <v>181</v>
      </c>
      <c r="Q13" s="182"/>
      <c r="R13" s="183"/>
      <c r="S13" s="183"/>
      <c r="T13" s="197">
        <f>'B1 (Res) Branca OK'!T13</f>
        <v>1.84189231569235E-4</v>
      </c>
      <c r="U13" s="196">
        <f>'B1 (Res) Branca OK'!U13</f>
        <v>-5.3182974871251499E-4</v>
      </c>
    </row>
    <row r="14" spans="1:25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5" x14ac:dyDescent="0.3">
      <c r="B15" s="40">
        <v>46230</v>
      </c>
      <c r="C15" s="41">
        <f>IF((F2-B15-1)&lt;0,0,(F2-B15-1))</f>
        <v>10</v>
      </c>
      <c r="D15" s="41">
        <f>E15-F2+1</f>
        <v>20</v>
      </c>
      <c r="E15" s="40">
        <v>46260</v>
      </c>
      <c r="F15" s="42"/>
      <c r="G15" s="42"/>
      <c r="H15" s="43"/>
      <c r="J15" s="44">
        <f>B15</f>
        <v>46230</v>
      </c>
      <c r="K15" s="45">
        <f>IF((M11-J15-1)&lt;0,0,(M11-J15-1))</f>
        <v>4</v>
      </c>
      <c r="L15" s="45">
        <f>M15-M11+1</f>
        <v>26</v>
      </c>
      <c r="M15" s="44">
        <f>E15</f>
        <v>46260</v>
      </c>
      <c r="O15" s="256" t="s">
        <v>151</v>
      </c>
      <c r="P15" s="257"/>
      <c r="Q15" s="258">
        <v>1025310389</v>
      </c>
    </row>
    <row r="16" spans="1:25" x14ac:dyDescent="0.3">
      <c r="B16" s="16"/>
      <c r="C16" s="16"/>
      <c r="D16" s="16"/>
      <c r="E16" s="16"/>
      <c r="F16" s="16"/>
      <c r="G16" s="16"/>
      <c r="H16" s="16"/>
      <c r="J16" s="237"/>
      <c r="K16" s="238"/>
      <c r="L16" s="238"/>
      <c r="M16" s="237"/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27</v>
      </c>
      <c r="E19" s="208">
        <f>IFERROR((ROUND(D19*K19,2)+ROUND(G19,2)+ROUND(J19,2))/ROUND(D19,4), 0)</f>
        <v>1.4203703703703705</v>
      </c>
      <c r="F19" s="209">
        <f>ROUND(D19*E19,2)</f>
        <v>38.35</v>
      </c>
      <c r="G19" s="209">
        <f>((D19*K19)/(1-$N$19-$N$20))*($N$19+$N$20)</f>
        <v>1.9638610902696367</v>
      </c>
      <c r="H19" s="210">
        <f t="shared" ref="H19:H28" si="6">(IF($I$19=12%,(D19*K19)/(1-$N$19-$N$20)/(1-$C$72)/$F$72*$C$72,(D19*K19)/(1-$N$19-$N$20)/(1-$I$19)))</f>
        <v>38.348423000324864</v>
      </c>
      <c r="I19" s="261">
        <v>0.17</v>
      </c>
      <c r="J19" s="210">
        <f>H19*$I$19</f>
        <v>6.5192319100552272</v>
      </c>
      <c r="K19" s="208">
        <f>IF(AND($B$15&lt;$F$2,$E$15&lt;$F$2),C6,IF($B$15&lt;$F$2,I6,F6))</f>
        <v>1.1061233333333333</v>
      </c>
      <c r="L19" s="47" t="s">
        <v>27</v>
      </c>
      <c r="M19" s="209">
        <f>D60</f>
        <v>209.55984226793134</v>
      </c>
      <c r="N19" s="212">
        <f>'B1 (Res) Branca OK'!N19</f>
        <v>1.0999999999999999E-2</v>
      </c>
      <c r="O19" s="213">
        <f>ROUND(M19*N19,2)</f>
        <v>2.31</v>
      </c>
      <c r="P19" s="16"/>
      <c r="Q19" s="144" t="s">
        <v>155</v>
      </c>
      <c r="R19" s="144" t="s">
        <v>156</v>
      </c>
      <c r="S19" s="231"/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20</v>
      </c>
      <c r="E20" s="208">
        <f t="shared" ref="E20:E24" si="7">IFERROR((ROUND(D20*K20,2)+ROUND(G20,2)+ROUND(J20,2))/ROUND(D20,4), 0)</f>
        <v>0.97449999999999992</v>
      </c>
      <c r="F20" s="209">
        <f t="shared" ref="F20:F28" si="8">ROUND(D20*E20,2)</f>
        <v>19.489999999999998</v>
      </c>
      <c r="G20" s="209">
        <f>((D20*K20)/(1-$N$19-$N$20))*($N$19+$N$20)</f>
        <v>0.99835242459767659</v>
      </c>
      <c r="H20" s="210">
        <f t="shared" si="6"/>
        <v>19.494882439274306</v>
      </c>
      <c r="I20" s="211">
        <f>I19</f>
        <v>0.17</v>
      </c>
      <c r="J20" s="210">
        <f t="shared" ref="J20:J28" si="9">H20*$I$19</f>
        <v>3.3141300146766324</v>
      </c>
      <c r="K20" s="208">
        <f>IF(AND($B$15&lt;$F$2,$E$15&lt;$F$2),C8,IF($B$15&lt;$F$2,I8,F8))</f>
        <v>0.75911999999999991</v>
      </c>
      <c r="L20" s="47" t="s">
        <v>19</v>
      </c>
      <c r="M20" s="209">
        <f>D61</f>
        <v>209.55984226793134</v>
      </c>
      <c r="N20" s="212">
        <f>'B1 (Res) Branca OK'!N20</f>
        <v>5.0700000000000002E-2</v>
      </c>
      <c r="O20" s="213">
        <f>ROUND(M20*N20,2)</f>
        <v>10.62</v>
      </c>
      <c r="P20" s="16"/>
      <c r="Q20" s="150">
        <f>IF(AND($B$15&lt;$F$2,$E$15&lt;$F$2),R6,IF($B$15&lt;$F$2,X6,U6))</f>
        <v>0.70508509383268225</v>
      </c>
      <c r="R20" s="151">
        <f>D46*Q20</f>
        <v>19.03729753348242</v>
      </c>
      <c r="S20" s="231"/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175</v>
      </c>
      <c r="E21" s="208">
        <f t="shared" si="7"/>
        <v>0.52914285714285714</v>
      </c>
      <c r="F21" s="209">
        <f t="shared" si="8"/>
        <v>92.6</v>
      </c>
      <c r="G21" s="209">
        <f>((D21*K21)/(1-$N$19-$N$20))*($N$19+$N$20)</f>
        <v>4.7423614249174042</v>
      </c>
      <c r="H21" s="210">
        <f t="shared" si="6"/>
        <v>92.604351114358323</v>
      </c>
      <c r="I21" s="211">
        <f>I19</f>
        <v>0.17</v>
      </c>
      <c r="J21" s="210">
        <f t="shared" si="9"/>
        <v>15.742739689440915</v>
      </c>
      <c r="K21" s="208">
        <f>IF(AND($B$15&lt;$F$2,$E$15&lt;$F$2),C7,IF($B$15&lt;$F$2,I7,F7))</f>
        <v>0.41210999999999998</v>
      </c>
      <c r="L21" s="226"/>
      <c r="M21" s="227"/>
      <c r="N21" s="228"/>
      <c r="O21" s="229"/>
      <c r="P21" s="16"/>
      <c r="Q21" s="150">
        <f>IF(AND($B$15&lt;$F$2,$E$15&lt;$F$2),R7,IF($B$15&lt;$F$2,X7,U7))</f>
        <v>0.14101699831042014</v>
      </c>
      <c r="R21" s="151">
        <f>D47*Q21</f>
        <v>24.677974704323525</v>
      </c>
      <c r="S21" s="231"/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27</v>
      </c>
      <c r="E22" s="208">
        <f t="shared" si="7"/>
        <v>0.64962962962962956</v>
      </c>
      <c r="F22" s="209">
        <f t="shared" si="8"/>
        <v>17.54</v>
      </c>
      <c r="G22" s="209">
        <f>((D22*K22)/(1-$N$19-$N$20))*($N$19+$N$20)</f>
        <v>0.89855269103698177</v>
      </c>
      <c r="H22" s="210">
        <f t="shared" si="6"/>
        <v>17.546087579562627</v>
      </c>
      <c r="I22" s="205"/>
      <c r="J22" s="210">
        <f t="shared" si="9"/>
        <v>2.9828348885256468</v>
      </c>
      <c r="K22" s="208">
        <f>IF(AND($B$15&lt;$F$2,$E$15&lt;$F$2),D6,IF($B$15&lt;$F$2,J6,G6))</f>
        <v>0.50609999999999999</v>
      </c>
      <c r="L22" s="226"/>
      <c r="M22" s="227"/>
      <c r="N22" s="228"/>
      <c r="O22" s="229"/>
      <c r="P22" s="16"/>
      <c r="Q22" s="150">
        <f>IF(AND($B$15&lt;$F$2,$E$15&lt;$F$2),R8,IF($B$15&lt;$F$2,X8,U8))</f>
        <v>0.4230510972118412</v>
      </c>
      <c r="R22" s="151">
        <f>D48*Q22</f>
        <v>8.4610219442368244</v>
      </c>
      <c r="S22" s="16"/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20</v>
      </c>
      <c r="E23" s="208">
        <f t="shared" si="7"/>
        <v>0.40600000000000003</v>
      </c>
      <c r="F23" s="209">
        <f t="shared" si="8"/>
        <v>8.1199999999999992</v>
      </c>
      <c r="G23" s="209">
        <f t="shared" ref="G23:G24" si="10">((D23*K23)/(1-$N$19-$N$20))*($N$19+$N$20)</f>
        <v>0.41555494688976513</v>
      </c>
      <c r="H23" s="210">
        <f t="shared" si="6"/>
        <v>8.1145641930398771</v>
      </c>
      <c r="I23" s="205"/>
      <c r="J23" s="210">
        <f t="shared" si="9"/>
        <v>1.3794759128167793</v>
      </c>
      <c r="K23" s="208">
        <f>IF(AND($B$15&lt;$F$2,$E$15&lt;$F$2),D8,IF($B$15&lt;$F$2,J8,G8))</f>
        <v>0.31597666666666663</v>
      </c>
      <c r="L23" s="226"/>
      <c r="M23" s="227"/>
      <c r="N23" s="228"/>
      <c r="O23" s="229"/>
      <c r="P23" s="16"/>
      <c r="R23" s="152">
        <f>SUM(R20:R22)</f>
        <v>52.176294182042774</v>
      </c>
      <c r="S23" s="16"/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175</v>
      </c>
      <c r="E24" s="208">
        <f t="shared" si="7"/>
        <v>0.40577142857142851</v>
      </c>
      <c r="F24" s="209">
        <f t="shared" si="8"/>
        <v>71.010000000000005</v>
      </c>
      <c r="G24" s="209">
        <f t="shared" si="10"/>
        <v>3.6361057852854453</v>
      </c>
      <c r="H24" s="210">
        <f t="shared" si="6"/>
        <v>71.002436689098928</v>
      </c>
      <c r="I24" s="205"/>
      <c r="J24" s="210">
        <f t="shared" si="9"/>
        <v>12.070414237146819</v>
      </c>
      <c r="K24" s="208">
        <f>IF(AND($B$15&lt;$F$2,$E$15&lt;$F$2),D7,IF($B$15&lt;$F$2,J7,G7))</f>
        <v>0.31597666666666663</v>
      </c>
      <c r="L24" s="226"/>
      <c r="M24" s="227"/>
      <c r="N24" s="228"/>
      <c r="O24" s="229"/>
      <c r="P24" s="16"/>
      <c r="Q24" s="16"/>
      <c r="R24" s="16"/>
      <c r="S24" s="16"/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IF($K$13=M4,(($D$19+$D$20+$D$21)*($K$15)/($K$15+$L$15)),0)+IF($L$13=M4,(($D$19+$D$20+$D$21)*($L$15)/($K$15+$L$15)),0)</f>
        <v>222</v>
      </c>
      <c r="E25" s="208">
        <f>IFERROR((ROUND(D25*K25,2)+ROUND(G25,2)+ROUND(J25,2))/ROUND(D25,4), 0)</f>
        <v>2.4189189189189188E-2</v>
      </c>
      <c r="F25" s="209">
        <f t="shared" si="8"/>
        <v>5.37</v>
      </c>
      <c r="G25" s="209">
        <f>((D25*K25)/(1-$N$19-$N$20))*($N$19+$N$20)</f>
        <v>0.27517424064798041</v>
      </c>
      <c r="H25" s="210">
        <f t="shared" si="6"/>
        <v>5.373342458612024</v>
      </c>
      <c r="I25" s="205"/>
      <c r="J25" s="210">
        <f t="shared" si="9"/>
        <v>0.91346821796404409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232"/>
      <c r="S25" s="16"/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 t="shared" ref="D26:D28" si="11">IF($K$13=M5,(($D$19+$D$20+$D$21)*($K$15)/($K$15+$L$15)),0)+IF($L$13=M5,(($D$19+$D$20+$D$21)*($L$15)/($K$15+$L$15)),0)</f>
        <v>0</v>
      </c>
      <c r="E26" s="208">
        <f t="shared" ref="E26:E28" si="12">IFERROR((ROUND(D26*K26,2)+ROUND(G26,2)+ROUND(J26,2))/ROUND(D26,4), 0)</f>
        <v>0</v>
      </c>
      <c r="F26" s="209">
        <f t="shared" si="8"/>
        <v>0</v>
      </c>
      <c r="G26" s="209">
        <f>((D26*K26)/(1-$N$19-$N$20))*($N$19+$N$20)</f>
        <v>0</v>
      </c>
      <c r="H26" s="210">
        <f t="shared" si="6"/>
        <v>0</v>
      </c>
      <c r="I26" s="205"/>
      <c r="J26" s="210">
        <f t="shared" si="9"/>
        <v>0</v>
      </c>
      <c r="K26" s="208">
        <f>N5</f>
        <v>4.4630000000000003E-2</v>
      </c>
      <c r="O26" s="62"/>
      <c r="P26" s="16"/>
      <c r="Q26" s="16"/>
      <c r="R26" s="232"/>
      <c r="S26" s="233"/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 t="shared" si="11"/>
        <v>0</v>
      </c>
      <c r="E27" s="208">
        <f t="shared" si="12"/>
        <v>0</v>
      </c>
      <c r="F27" s="209">
        <f t="shared" si="8"/>
        <v>0</v>
      </c>
      <c r="G27" s="209">
        <f>((D27*K27)/(1-$N$19-$N$20))*($N$19+$N$20)</f>
        <v>0</v>
      </c>
      <c r="H27" s="210">
        <f t="shared" si="6"/>
        <v>0</v>
      </c>
      <c r="I27" s="205"/>
      <c r="J27" s="210">
        <f t="shared" si="9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 t="shared" si="11"/>
        <v>0</v>
      </c>
      <c r="E28" s="208">
        <f t="shared" si="12"/>
        <v>0</v>
      </c>
      <c r="F28" s="209">
        <f t="shared" si="8"/>
        <v>0</v>
      </c>
      <c r="G28" s="209">
        <f>((D28*K28)/(1-$N$19-$N$20))*($N$19+$N$20)</f>
        <v>0</v>
      </c>
      <c r="H28" s="210">
        <f t="shared" si="6"/>
        <v>0</v>
      </c>
      <c r="I28" s="205"/>
      <c r="J28" s="210">
        <f t="shared" si="9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207</v>
      </c>
      <c r="C29" s="205"/>
      <c r="D29" s="214"/>
      <c r="E29" s="205"/>
      <c r="F29" s="217"/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206</v>
      </c>
      <c r="C30" s="205"/>
      <c r="D30" s="214"/>
      <c r="E30" s="205"/>
      <c r="F30" s="217"/>
      <c r="G30" s="205"/>
      <c r="H30" s="205"/>
      <c r="I30" s="205"/>
      <c r="J30" s="205"/>
      <c r="K30" s="205"/>
      <c r="O30" s="62"/>
      <c r="P30" s="16"/>
      <c r="Q30" s="16">
        <v>200</v>
      </c>
      <c r="R30" s="16"/>
      <c r="S30" s="235"/>
      <c r="T30" s="16"/>
      <c r="U30" s="16"/>
      <c r="V30" s="16"/>
    </row>
    <row r="31" spans="2:22" x14ac:dyDescent="0.3">
      <c r="B31" s="205" t="s">
        <v>231</v>
      </c>
      <c r="C31" s="205"/>
      <c r="D31" s="214"/>
      <c r="E31" s="205"/>
      <c r="F31" s="217">
        <v>-6.91</v>
      </c>
      <c r="G31" s="205"/>
      <c r="H31" s="205"/>
      <c r="I31" s="205"/>
      <c r="J31" s="205"/>
      <c r="K31" s="205"/>
      <c r="O31" s="62"/>
      <c r="Q31" s="14">
        <v>18700</v>
      </c>
      <c r="S31" s="216"/>
    </row>
    <row r="32" spans="2:22" x14ac:dyDescent="0.3">
      <c r="B32" s="205" t="s">
        <v>208</v>
      </c>
      <c r="C32" s="205"/>
      <c r="D32" s="214"/>
      <c r="E32" s="205"/>
      <c r="F32" s="217"/>
      <c r="G32" s="205"/>
      <c r="H32" s="205"/>
      <c r="I32" s="205"/>
      <c r="J32" s="205"/>
      <c r="K32" s="205"/>
      <c r="O32" s="62"/>
      <c r="Q32" s="14">
        <v>600</v>
      </c>
    </row>
    <row r="33" spans="2:16" x14ac:dyDescent="0.3">
      <c r="B33" s="205"/>
      <c r="C33" s="205"/>
      <c r="D33" s="214"/>
      <c r="E33" s="205"/>
      <c r="F33" s="205"/>
      <c r="G33" s="205"/>
      <c r="H33" s="205"/>
      <c r="I33" s="205"/>
      <c r="J33" s="205"/>
      <c r="K33" s="205"/>
      <c r="O33" s="62"/>
    </row>
    <row r="34" spans="2:16" x14ac:dyDescent="0.3">
      <c r="B34" s="205"/>
      <c r="C34" s="205"/>
      <c r="D34" s="214"/>
      <c r="E34" s="205"/>
      <c r="F34" s="205"/>
      <c r="G34" s="205"/>
      <c r="H34" s="205"/>
      <c r="I34" s="205"/>
      <c r="J34" s="205"/>
      <c r="K34" s="205"/>
      <c r="O34" s="62"/>
    </row>
    <row r="35" spans="2:16" x14ac:dyDescent="0.3">
      <c r="B35" s="218" t="s">
        <v>209</v>
      </c>
      <c r="C35" s="215"/>
      <c r="D35" s="219"/>
      <c r="E35" s="215"/>
      <c r="F35" s="220">
        <f>SUM(F19:F34)</f>
        <v>245.57000000000002</v>
      </c>
      <c r="G35" s="221">
        <f>SUM(G19:G34)</f>
        <v>12.92996260364489</v>
      </c>
      <c r="H35" s="222">
        <f>SUM(H19:H34)</f>
        <v>252.48408747427098</v>
      </c>
      <c r="I35" s="215"/>
      <c r="J35" s="222">
        <f>SUM(J19:J34)</f>
        <v>42.922294870626068</v>
      </c>
      <c r="K35" s="215"/>
      <c r="L35" s="68"/>
      <c r="M35" s="68"/>
      <c r="N35" s="68"/>
      <c r="O35" s="68"/>
    </row>
    <row r="37" spans="2:16" x14ac:dyDescent="0.3">
      <c r="B37" s="223" t="s">
        <v>210</v>
      </c>
      <c r="C37" s="224">
        <f>D19+D20+D21</f>
        <v>222</v>
      </c>
      <c r="D37" s="225">
        <f>IF(AND($B$15&lt;$F$2,$E$15&lt;$F$2),C9,IF($B$15&lt;$F$2,I9,F9))</f>
        <v>1.8537522602892967E-4</v>
      </c>
      <c r="E37" s="225">
        <f>IF(AND($B$15&lt;$F$2,$E$15&lt;$F$2),D9,IF($B$15&lt;$F$2,J9,G9))</f>
        <v>-1.82226341295767E-3</v>
      </c>
      <c r="F37" s="223">
        <f>C37*(D37+E37)</f>
        <v>-0.36338917749818034</v>
      </c>
    </row>
    <row r="38" spans="2:16" x14ac:dyDescent="0.3">
      <c r="B38" s="16"/>
      <c r="C38" s="16"/>
      <c r="D38" s="16"/>
      <c r="E38" s="16"/>
      <c r="F38" s="16"/>
      <c r="G38" s="16"/>
      <c r="H38" s="16"/>
      <c r="J38" s="237"/>
      <c r="K38" s="238"/>
      <c r="L38" s="238"/>
      <c r="M38" s="237"/>
    </row>
    <row r="39" spans="2:16" x14ac:dyDescent="0.3">
      <c r="B39" s="16"/>
      <c r="C39" s="16"/>
      <c r="D39" s="16"/>
      <c r="E39" s="16"/>
      <c r="F39" s="16"/>
      <c r="G39" s="16"/>
      <c r="H39" s="16"/>
      <c r="J39" s="237"/>
      <c r="K39" s="238"/>
      <c r="L39" s="238"/>
      <c r="M39" s="237"/>
    </row>
    <row r="40" spans="2:16" x14ac:dyDescent="0.3">
      <c r="B40" s="16"/>
      <c r="C40" s="16"/>
      <c r="D40" s="16"/>
      <c r="E40" s="16"/>
      <c r="F40" s="16"/>
      <c r="G40" s="16"/>
      <c r="H40" s="16"/>
      <c r="J40" s="237"/>
      <c r="K40" s="238"/>
      <c r="L40" s="238"/>
      <c r="M40" s="237"/>
    </row>
    <row r="41" spans="2:16" x14ac:dyDescent="0.3">
      <c r="B41" s="16"/>
      <c r="C41" s="16"/>
      <c r="D41" s="16"/>
      <c r="E41" s="16"/>
      <c r="F41" s="16"/>
      <c r="G41" s="16"/>
      <c r="H41" s="16"/>
      <c r="J41" s="237"/>
      <c r="K41" s="238"/>
      <c r="L41" s="238"/>
      <c r="M41" s="237"/>
    </row>
    <row r="42" spans="2:16" x14ac:dyDescent="0.3">
      <c r="B42" s="271" t="s">
        <v>171</v>
      </c>
      <c r="C42" s="272"/>
      <c r="D42" s="272"/>
      <c r="E42" s="272"/>
      <c r="F42" s="272"/>
      <c r="G42" s="272"/>
      <c r="H42" s="273"/>
      <c r="I42" s="16"/>
      <c r="J42" s="16"/>
      <c r="K42" s="16"/>
      <c r="L42" s="16"/>
      <c r="M42" s="16"/>
      <c r="N42" s="16"/>
      <c r="O42" s="16"/>
      <c r="P42" s="16"/>
    </row>
    <row r="43" spans="2:16" x14ac:dyDescent="0.3">
      <c r="B43" s="36"/>
      <c r="D43" s="46" t="s">
        <v>8</v>
      </c>
      <c r="E43" s="46" t="s">
        <v>0</v>
      </c>
      <c r="F43" s="46" t="s">
        <v>1</v>
      </c>
      <c r="G43" s="46" t="s">
        <v>42</v>
      </c>
      <c r="H43" s="47" t="s">
        <v>9</v>
      </c>
      <c r="I43" s="16"/>
      <c r="J43" s="16"/>
      <c r="K43" s="16"/>
      <c r="L43" s="16"/>
      <c r="M43" s="16"/>
      <c r="N43" s="140"/>
      <c r="O43" s="16"/>
      <c r="P43" s="16"/>
    </row>
    <row r="44" spans="2:16" x14ac:dyDescent="0.3">
      <c r="B44" s="48" t="s">
        <v>73</v>
      </c>
      <c r="C44" s="49"/>
      <c r="D44" s="50"/>
      <c r="E44" s="50"/>
      <c r="F44" s="50"/>
      <c r="G44" s="50"/>
      <c r="H44" s="51">
        <f>SUM(H46:H54)+SUM(H60:H62)</f>
        <v>218.2915023624285</v>
      </c>
      <c r="I44" s="16"/>
      <c r="J44" t="s">
        <v>62</v>
      </c>
      <c r="K44"/>
      <c r="L44" t="s">
        <v>63</v>
      </c>
      <c r="M44" s="16"/>
    </row>
    <row r="45" spans="2:16" x14ac:dyDescent="0.3">
      <c r="B45" s="36"/>
      <c r="D45" s="46"/>
      <c r="E45" s="46"/>
      <c r="F45" s="46"/>
      <c r="G45" s="46"/>
      <c r="H45" s="52"/>
      <c r="I45" s="16"/>
      <c r="J45" s="3" t="s">
        <v>42</v>
      </c>
      <c r="K45" s="12" t="s">
        <v>9</v>
      </c>
      <c r="L45" s="1"/>
      <c r="M45" s="16"/>
      <c r="N45" s="16"/>
      <c r="O45" s="16"/>
      <c r="P45" s="16"/>
    </row>
    <row r="46" spans="2:16" x14ac:dyDescent="0.3">
      <c r="B46" s="36" t="s">
        <v>6</v>
      </c>
      <c r="D46" s="53">
        <f>D19</f>
        <v>27</v>
      </c>
      <c r="E46" s="54">
        <f t="shared" ref="E46:F48" si="13">IF(AND($B$15&lt;$F$2,$E$15&lt;$F$2),C6,IF($B$15&lt;$F$2,I6,F6))</f>
        <v>1.1061233333333333</v>
      </c>
      <c r="F46" s="55">
        <f t="shared" si="13"/>
        <v>0.50609999999999999</v>
      </c>
      <c r="G46" s="54">
        <f>E46+F46</f>
        <v>1.6122233333333333</v>
      </c>
      <c r="H46" s="56">
        <f>ROUND((D46*E46),2)+ROUND((D46*F46),2)</f>
        <v>43.53</v>
      </c>
      <c r="I46" s="16"/>
      <c r="J46" s="13">
        <f>IF(AND($B$15&lt;$F$2,$E$15&lt;$F$2),E132,IF($B$15&lt;$F$2,K132,H132))</f>
        <v>1.4658820000000001</v>
      </c>
      <c r="K46" s="2">
        <f>D46*J46</f>
        <v>39.578814000000001</v>
      </c>
      <c r="L46" s="2">
        <f>K46-H46</f>
        <v>-3.9511859999999999</v>
      </c>
      <c r="M46" s="16"/>
      <c r="N46" s="16"/>
      <c r="O46" s="16"/>
      <c r="P46" s="16"/>
    </row>
    <row r="47" spans="2:16" x14ac:dyDescent="0.3">
      <c r="B47" s="36" t="s">
        <v>7</v>
      </c>
      <c r="D47" s="53">
        <f>D21</f>
        <v>175</v>
      </c>
      <c r="E47" s="54">
        <f t="shared" si="13"/>
        <v>0.41210999999999998</v>
      </c>
      <c r="F47" s="55">
        <f t="shared" si="13"/>
        <v>0.31597666666666663</v>
      </c>
      <c r="G47" s="54">
        <f t="shared" ref="G47:G48" si="14">E47+F47</f>
        <v>0.72808666666666655</v>
      </c>
      <c r="H47" s="56">
        <f t="shared" ref="H47:H48" si="15">ROUND((D47*E47),2)+ROUND((D47*F47),2)</f>
        <v>127.42</v>
      </c>
      <c r="I47" s="16"/>
      <c r="J47" s="13">
        <f>IF(AND($B$15&lt;$F$2,$E$15&lt;$F$2),E133,IF($B$15&lt;$F$2,K133,H133))</f>
        <v>0.69302400000000008</v>
      </c>
      <c r="K47" s="2">
        <f>D47*J47</f>
        <v>121.27920000000002</v>
      </c>
      <c r="L47" s="2">
        <f t="shared" ref="L47:L48" si="16">K47-H47</f>
        <v>-6.1407999999999845</v>
      </c>
      <c r="M47" s="16"/>
      <c r="N47" s="16"/>
      <c r="O47" s="16"/>
      <c r="P47" s="16"/>
    </row>
    <row r="48" spans="2:16" x14ac:dyDescent="0.3">
      <c r="B48" s="36" t="s">
        <v>141</v>
      </c>
      <c r="D48" s="53">
        <f>D20</f>
        <v>20</v>
      </c>
      <c r="E48" s="54">
        <f t="shared" si="13"/>
        <v>0.75911999999999991</v>
      </c>
      <c r="F48" s="55">
        <f t="shared" si="13"/>
        <v>0.31597666666666663</v>
      </c>
      <c r="G48" s="54">
        <f t="shared" si="14"/>
        <v>1.0750966666666666</v>
      </c>
      <c r="H48" s="56">
        <f t="shared" si="15"/>
        <v>21.5</v>
      </c>
      <c r="I48" s="16"/>
      <c r="J48" s="13">
        <f>IF(AND($B$15&lt;$F$2,$E$15&lt;$F$2),E134,IF($B$15&lt;$F$2,K134,H134))</f>
        <v>0.98610666666666669</v>
      </c>
      <c r="K48" s="2">
        <f t="shared" ref="K48" si="17">D48*J48</f>
        <v>19.722133333333332</v>
      </c>
      <c r="L48" s="2">
        <f t="shared" si="16"/>
        <v>-1.777866666666668</v>
      </c>
      <c r="M48" s="16"/>
      <c r="N48" s="16"/>
      <c r="O48" s="16"/>
      <c r="P48" s="16"/>
    </row>
    <row r="49" spans="2:16" x14ac:dyDescent="0.3">
      <c r="B49" s="36"/>
      <c r="D49" s="58"/>
      <c r="E49" s="59"/>
      <c r="F49" s="60"/>
      <c r="G49" s="60"/>
      <c r="H49" s="56"/>
      <c r="I49" s="16"/>
      <c r="J49"/>
      <c r="K49" s="2"/>
      <c r="L49" s="2"/>
      <c r="M49" s="16"/>
      <c r="N49" s="16"/>
      <c r="O49" s="16"/>
      <c r="P49" s="16"/>
    </row>
    <row r="50" spans="2:16" x14ac:dyDescent="0.3">
      <c r="B50" s="36"/>
      <c r="D50" s="61"/>
      <c r="H50" s="62"/>
      <c r="I50" s="16"/>
      <c r="J50"/>
      <c r="K50"/>
      <c r="L50" s="139">
        <f>SUM(L46:L48)</f>
        <v>-11.869852666666652</v>
      </c>
      <c r="M50" s="16"/>
      <c r="N50" s="16"/>
      <c r="O50" s="16"/>
      <c r="P50" s="16"/>
    </row>
    <row r="51" spans="2:16" x14ac:dyDescent="0.3">
      <c r="B51" s="36" t="s">
        <v>38</v>
      </c>
      <c r="D51" s="63">
        <f>IF($K$13=M4,((D46+D47+D48)*(K15)/(K15+L15)),0)+IF($L$13=M4,((D46+D47+D48)*(L15)/(K15+L15)),0)</f>
        <v>222</v>
      </c>
      <c r="F51" s="64">
        <f>N4</f>
        <v>1.8849999999999999E-2</v>
      </c>
      <c r="G51" s="64"/>
      <c r="H51" s="56">
        <f>ROUND(D51*(E51+F51),2)</f>
        <v>4.18</v>
      </c>
      <c r="I51" s="16"/>
      <c r="J51" s="16"/>
      <c r="K51" s="16"/>
      <c r="L51" s="16"/>
      <c r="M51" s="16"/>
      <c r="N51" s="16"/>
      <c r="O51" s="16"/>
      <c r="P51" s="16"/>
    </row>
    <row r="52" spans="2:16" x14ac:dyDescent="0.3">
      <c r="B52" s="36" t="s">
        <v>39</v>
      </c>
      <c r="D52" s="63">
        <f>IF($K$13=M5,((D46+D47+D48)*(K15)/(K15+L15)),0)+IF($L$13=M5,((D46+D47+D48)*(L15)/(K15+L15)),0)</f>
        <v>0</v>
      </c>
      <c r="F52" s="64">
        <f>N5</f>
        <v>4.4630000000000003E-2</v>
      </c>
      <c r="G52" s="64"/>
      <c r="H52" s="56">
        <f>ROUND(D52*(E52+F52),2)</f>
        <v>0</v>
      </c>
      <c r="I52" s="16"/>
      <c r="J52" s="140"/>
      <c r="K52" s="133"/>
      <c r="L52" s="267"/>
      <c r="M52" s="16"/>
      <c r="N52" s="16"/>
      <c r="O52" s="16"/>
      <c r="P52" s="16"/>
    </row>
    <row r="53" spans="2:16" x14ac:dyDescent="0.3">
      <c r="B53" s="36" t="s">
        <v>40</v>
      </c>
      <c r="D53" s="63">
        <f>IF($K$13=M6,((D46+D47+D48)*(K15)/(K15+L15)),0)+IF($L$13=M6,((D46+D47+D48)*(L15)/(K15+L15)),0)</f>
        <v>0</v>
      </c>
      <c r="F53" s="64">
        <f>N6</f>
        <v>7.8770000000000007E-2</v>
      </c>
      <c r="G53" s="64"/>
      <c r="H53" s="56">
        <f>ROUND(D53*(E53+F53),2)</f>
        <v>0</v>
      </c>
      <c r="I53" s="16"/>
      <c r="J53" s="140"/>
      <c r="K53" s="133"/>
      <c r="L53" s="133"/>
      <c r="M53" s="16"/>
      <c r="N53" s="16"/>
      <c r="O53" s="16"/>
      <c r="P53" s="16"/>
    </row>
    <row r="54" spans="2:16" x14ac:dyDescent="0.3">
      <c r="B54" s="36" t="s">
        <v>150</v>
      </c>
      <c r="D54" s="63">
        <f>IF($K$13=M7,((D46+D47+D48)*(K15)/(K15+L15)),0)+IF($L$13=M7,((D46+D47+D48)*(L15)/(K15+L15)),0)</f>
        <v>0</v>
      </c>
      <c r="F54" s="64">
        <f>N7</f>
        <v>0.14199999999999999</v>
      </c>
      <c r="G54" s="64"/>
      <c r="H54" s="56">
        <f>ROUND(D54*(E54+F54),2)</f>
        <v>0</v>
      </c>
      <c r="I54" s="16"/>
      <c r="J54" s="16"/>
      <c r="K54" s="16"/>
      <c r="L54" s="16"/>
      <c r="M54" s="16"/>
      <c r="N54" s="16"/>
      <c r="O54" s="16"/>
      <c r="P54" s="16"/>
    </row>
    <row r="55" spans="2:16" x14ac:dyDescent="0.3">
      <c r="B55" s="36"/>
      <c r="D55" s="61"/>
      <c r="H55" s="56"/>
      <c r="I55" s="16"/>
      <c r="J55" s="16"/>
      <c r="K55" s="16"/>
      <c r="L55" s="16"/>
      <c r="M55" s="16"/>
      <c r="N55" s="16"/>
      <c r="O55" s="16"/>
      <c r="P55" s="16"/>
    </row>
    <row r="56" spans="2:16" x14ac:dyDescent="0.3">
      <c r="B56" s="65"/>
      <c r="C56" s="15"/>
      <c r="D56" s="15"/>
      <c r="E56" s="15"/>
      <c r="F56" s="15"/>
      <c r="G56" s="15"/>
      <c r="H56" s="66"/>
      <c r="I56" s="16"/>
      <c r="J56" s="16"/>
      <c r="K56" s="16"/>
      <c r="M56" s="16"/>
      <c r="N56" s="16"/>
      <c r="O56" s="16"/>
      <c r="P56" s="16"/>
    </row>
    <row r="57" spans="2:16" x14ac:dyDescent="0.3">
      <c r="B57" s="67"/>
      <c r="C57" s="68"/>
      <c r="D57" s="69"/>
      <c r="E57" s="70"/>
      <c r="F57" s="68"/>
      <c r="G57" s="68"/>
      <c r="H57" s="71"/>
      <c r="I57" s="16"/>
      <c r="J57" s="16"/>
      <c r="K57" s="16"/>
      <c r="M57" s="16"/>
      <c r="N57" s="16"/>
      <c r="O57" s="16"/>
      <c r="P57" s="16"/>
    </row>
    <row r="58" spans="2:16" x14ac:dyDescent="0.3">
      <c r="B58" s="30"/>
      <c r="C58" s="31"/>
      <c r="D58" s="31"/>
      <c r="E58" s="31"/>
      <c r="F58" s="31"/>
      <c r="G58" s="31"/>
      <c r="H58" s="72"/>
      <c r="I58" s="16"/>
      <c r="M58" s="16"/>
      <c r="N58" s="16"/>
      <c r="O58" s="16"/>
      <c r="P58" s="16"/>
    </row>
    <row r="59" spans="2:16" x14ac:dyDescent="0.3">
      <c r="B59" s="36"/>
      <c r="D59" s="73" t="s">
        <v>17</v>
      </c>
      <c r="E59" s="74"/>
      <c r="F59" s="74"/>
      <c r="G59" s="74"/>
      <c r="H59" s="75"/>
      <c r="I59" s="76"/>
      <c r="K59" s="77"/>
      <c r="M59" s="16"/>
      <c r="N59" s="16"/>
      <c r="O59" s="16"/>
      <c r="P59" s="16"/>
    </row>
    <row r="60" spans="2:16" x14ac:dyDescent="0.3">
      <c r="B60" s="36" t="s">
        <v>18</v>
      </c>
      <c r="D60" s="77">
        <f>(SUM(H46:H54)/(1-E60-E61))</f>
        <v>209.55984226793134</v>
      </c>
      <c r="E60" s="78">
        <f>N19</f>
        <v>1.0999999999999999E-2</v>
      </c>
      <c r="H60" s="56">
        <f>D60*E60</f>
        <v>2.3051582649472446</v>
      </c>
      <c r="I60" s="77"/>
      <c r="L60" s="16"/>
      <c r="M60" s="16"/>
      <c r="N60" s="16"/>
      <c r="O60" s="16"/>
      <c r="P60" s="16"/>
    </row>
    <row r="61" spans="2:16" x14ac:dyDescent="0.3">
      <c r="B61" s="36" t="s">
        <v>19</v>
      </c>
      <c r="D61" s="77">
        <f>D60</f>
        <v>209.55984226793134</v>
      </c>
      <c r="E61" s="78">
        <f>N20</f>
        <v>5.0700000000000002E-2</v>
      </c>
      <c r="H61" s="56">
        <f>D61*E61</f>
        <v>10.62468400298412</v>
      </c>
      <c r="I61" s="77"/>
      <c r="L61" s="16"/>
      <c r="M61" s="16"/>
      <c r="N61" s="16"/>
      <c r="O61" s="16"/>
      <c r="P61" s="16"/>
    </row>
    <row r="62" spans="2:16" x14ac:dyDescent="0.3">
      <c r="B62" s="36" t="s">
        <v>20</v>
      </c>
      <c r="D62" s="145">
        <f>IF((E62=17%),(D60)/(1-E62),D72)</f>
        <v>72.763834120809506</v>
      </c>
      <c r="E62" s="138">
        <v>0.12</v>
      </c>
      <c r="H62" s="56">
        <f>D62*E62</f>
        <v>8.7316600944971405</v>
      </c>
      <c r="I62" s="77"/>
      <c r="L62" s="16"/>
      <c r="M62" s="16"/>
      <c r="N62" s="16"/>
      <c r="O62" s="16"/>
      <c r="P62" s="16"/>
    </row>
    <row r="63" spans="2:16" x14ac:dyDescent="0.3">
      <c r="B63" s="67"/>
      <c r="C63" s="68"/>
      <c r="D63" s="68"/>
      <c r="E63" s="68"/>
      <c r="F63" s="68"/>
      <c r="G63" s="68"/>
      <c r="H63" s="79"/>
      <c r="L63" s="16"/>
      <c r="M63" s="16"/>
      <c r="N63" s="16"/>
      <c r="O63" s="16"/>
      <c r="P63" s="16"/>
    </row>
    <row r="64" spans="2:16" x14ac:dyDescent="0.3">
      <c r="B64" s="185" t="s">
        <v>183</v>
      </c>
      <c r="C64" s="186"/>
      <c r="D64" s="187">
        <f>SUM(D46:D48)</f>
        <v>222</v>
      </c>
      <c r="E64" s="188">
        <f>IF(AND($B$15&lt;$F$2,$E$15&lt;$F$2),C9,IF($B$15&lt;$F$2,I9,F9))</f>
        <v>1.8537522602892967E-4</v>
      </c>
      <c r="F64" s="188">
        <f>IF(AND($B$15&lt;$F$2,$E$15&lt;$F$2),D9,IF($B$15&lt;$F$2,J9,G9))</f>
        <v>-1.82226341295767E-3</v>
      </c>
      <c r="G64" s="186"/>
      <c r="H64" s="185">
        <f>D64*(E64+F64)</f>
        <v>-0.36338917749818034</v>
      </c>
      <c r="K64" s="140"/>
      <c r="L64" s="16"/>
      <c r="M64" s="16"/>
      <c r="N64" s="16"/>
      <c r="O64" s="16"/>
      <c r="P64" s="16"/>
    </row>
    <row r="65" spans="1:16" x14ac:dyDescent="0.3">
      <c r="B65" s="118" t="s">
        <v>64</v>
      </c>
      <c r="C65" s="119"/>
      <c r="D65" s="119"/>
      <c r="E65" s="119"/>
      <c r="F65" s="119"/>
      <c r="G65" s="119"/>
      <c r="H65" s="120">
        <f>L50</f>
        <v>-11.869852666666652</v>
      </c>
      <c r="I65" s="121" t="s">
        <v>65</v>
      </c>
      <c r="J65" s="122"/>
    </row>
    <row r="68" spans="1:16" x14ac:dyDescent="0.3">
      <c r="B68" s="14" t="s">
        <v>142</v>
      </c>
    </row>
    <row r="69" spans="1:16" x14ac:dyDescent="0.3">
      <c r="B69" s="123"/>
      <c r="C69" s="123"/>
      <c r="D69" s="124" t="s">
        <v>26</v>
      </c>
      <c r="F69" s="124"/>
    </row>
    <row r="70" spans="1:16" x14ac:dyDescent="0.3">
      <c r="B70" s="125" t="s">
        <v>27</v>
      </c>
      <c r="C70" s="4">
        <f>E60</f>
        <v>1.0999999999999999E-2</v>
      </c>
      <c r="D70" s="126">
        <f>SUM(H48:H54)/(1-C70-C71)</f>
        <v>27.368645422572737</v>
      </c>
      <c r="E70" s="127" t="s">
        <v>28</v>
      </c>
      <c r="F70" s="4">
        <f>C70</f>
        <v>1.0999999999999999E-2</v>
      </c>
      <c r="G70" s="128">
        <f>D70*F70</f>
        <v>0.30105509964830007</v>
      </c>
    </row>
    <row r="71" spans="1:16" x14ac:dyDescent="0.3">
      <c r="B71" s="125" t="s">
        <v>19</v>
      </c>
      <c r="C71" s="4">
        <f>E61</f>
        <v>5.0700000000000002E-2</v>
      </c>
      <c r="D71" s="126">
        <f>D70</f>
        <v>27.368645422572737</v>
      </c>
      <c r="E71" s="127" t="s">
        <v>28</v>
      </c>
      <c r="F71" s="4">
        <f>C71</f>
        <v>5.0700000000000002E-2</v>
      </c>
      <c r="G71" s="128">
        <f>D71*F71</f>
        <v>1.3875903229244377</v>
      </c>
    </row>
    <row r="72" spans="1:16" x14ac:dyDescent="0.3">
      <c r="A72" s="129" t="s">
        <v>29</v>
      </c>
      <c r="B72" s="125" t="s">
        <v>20</v>
      </c>
      <c r="C72" s="5">
        <v>0.04</v>
      </c>
      <c r="D72" s="130">
        <f>H72/F72*C72</f>
        <v>72.763834120809506</v>
      </c>
      <c r="E72" s="127" t="s">
        <v>28</v>
      </c>
      <c r="F72" s="6">
        <v>0.12</v>
      </c>
      <c r="G72" s="128">
        <f>D72*F72</f>
        <v>8.7316600944971405</v>
      </c>
      <c r="H72" s="128">
        <f>(H46+H47+H48+H51+H52+H53+H54)/(1-E60-E61)/(1-C72)</f>
        <v>218.2915023624285</v>
      </c>
      <c r="I72" s="146">
        <f>H72*C72</f>
        <v>8.7316600944971405</v>
      </c>
    </row>
    <row r="73" spans="1:16" x14ac:dyDescent="0.3">
      <c r="B73" s="123"/>
      <c r="C73" s="123"/>
      <c r="D73" s="123"/>
      <c r="E73" s="128">
        <f>(O62)/(1-C70-C71-C72)</f>
        <v>0</v>
      </c>
      <c r="F73" s="131"/>
      <c r="G73" s="131"/>
      <c r="H73" s="123"/>
      <c r="I73" s="123"/>
      <c r="J73" s="132"/>
      <c r="K73" s="132"/>
      <c r="L73" s="132"/>
      <c r="M73" s="124"/>
      <c r="N73" s="124"/>
      <c r="O73" s="133"/>
    </row>
    <row r="75" spans="1:16" x14ac:dyDescent="0.3">
      <c r="C75" s="16"/>
      <c r="D75" s="134" t="s">
        <v>30</v>
      </c>
      <c r="E75" s="135" t="s">
        <v>31</v>
      </c>
      <c r="F75" s="136"/>
      <c r="G75" s="16" t="s">
        <v>32</v>
      </c>
      <c r="H75" s="137">
        <f>H72/F72*C72</f>
        <v>72.763834120809506</v>
      </c>
    </row>
    <row r="76" spans="1:16" x14ac:dyDescent="0.3">
      <c r="C76" s="16"/>
      <c r="D76" s="16"/>
      <c r="E76" s="16" t="s">
        <v>33</v>
      </c>
      <c r="F76" s="16"/>
      <c r="G76" s="16"/>
      <c r="H76" s="16"/>
      <c r="J76" s="16"/>
    </row>
    <row r="77" spans="1:16" x14ac:dyDescent="0.3">
      <c r="L77" s="16"/>
      <c r="M77" s="16"/>
      <c r="N77" s="16"/>
      <c r="O77" s="16"/>
      <c r="P77" s="16"/>
    </row>
    <row r="78" spans="1:16" x14ac:dyDescent="0.3">
      <c r="L78" s="16"/>
      <c r="M78" s="16"/>
      <c r="N78" s="16"/>
      <c r="O78" s="16"/>
      <c r="P78" s="16"/>
    </row>
    <row r="79" spans="1:16" x14ac:dyDescent="0.3">
      <c r="B79" s="80" t="s">
        <v>43</v>
      </c>
      <c r="D79" s="74"/>
      <c r="E79" s="74" t="s">
        <v>14</v>
      </c>
      <c r="F79" s="74"/>
      <c r="G79" s="74"/>
      <c r="H79" s="76"/>
    </row>
    <row r="80" spans="1:16" x14ac:dyDescent="0.3">
      <c r="B80" s="81"/>
      <c r="C80" s="82" t="s">
        <v>9</v>
      </c>
    </row>
    <row r="81" spans="2:14" x14ac:dyDescent="0.3">
      <c r="B81" s="81" t="s">
        <v>44</v>
      </c>
      <c r="C81" s="83">
        <f>(SUM(H46:H54)*IF($B$15&lt;$F$2,D119,D91))</f>
        <v>88.111560823236147</v>
      </c>
    </row>
    <row r="82" spans="2:14" x14ac:dyDescent="0.3">
      <c r="B82" s="81" t="s">
        <v>45</v>
      </c>
      <c r="C82" s="83">
        <f>(SUM(H46:H54)*IF($B$15&lt;$F$2,F119,F91))</f>
        <v>52.622798581889846</v>
      </c>
    </row>
    <row r="83" spans="2:14" x14ac:dyDescent="0.3">
      <c r="B83" s="81" t="s">
        <v>46</v>
      </c>
      <c r="C83" s="83">
        <f>(SUM(H46:H54)*IF($B$15&lt;$F$2,E119,E91))</f>
        <v>15.770801425952309</v>
      </c>
    </row>
    <row r="84" spans="2:14" x14ac:dyDescent="0.3">
      <c r="B84" s="81" t="s">
        <v>47</v>
      </c>
      <c r="C84" s="83">
        <f>(SUM(H46:H54)*IF($B$15&lt;$F$2,G119,G91))</f>
        <v>40.125475450662975</v>
      </c>
    </row>
    <row r="85" spans="2:14" x14ac:dyDescent="0.3">
      <c r="B85" s="81" t="s">
        <v>48</v>
      </c>
      <c r="C85" s="84">
        <f>H60+H61+H62</f>
        <v>21.661502362428507</v>
      </c>
    </row>
    <row r="86" spans="2:14" x14ac:dyDescent="0.3">
      <c r="B86" s="85" t="s">
        <v>49</v>
      </c>
      <c r="C86" s="86">
        <f>SUM(C81:C85)</f>
        <v>218.29213864416977</v>
      </c>
      <c r="M86"/>
      <c r="N86"/>
    </row>
    <row r="88" spans="2:14" x14ac:dyDescent="0.3">
      <c r="B88" s="87">
        <f>'B1 (Res) Branca OK'!B76</f>
        <v>2024</v>
      </c>
      <c r="C88" s="87"/>
      <c r="D88" s="87" t="s">
        <v>44</v>
      </c>
      <c r="E88" s="87" t="s">
        <v>46</v>
      </c>
      <c r="F88" s="87" t="s">
        <v>45</v>
      </c>
      <c r="G88" s="87" t="s">
        <v>50</v>
      </c>
    </row>
    <row r="89" spans="2:14" x14ac:dyDescent="0.3">
      <c r="B89" s="87" t="s">
        <v>51</v>
      </c>
      <c r="C89" s="87"/>
      <c r="D89" s="87" t="s">
        <v>52</v>
      </c>
      <c r="E89" s="87" t="s">
        <v>52</v>
      </c>
      <c r="F89" s="87" t="s">
        <v>52</v>
      </c>
      <c r="G89" s="87" t="s">
        <v>52</v>
      </c>
    </row>
    <row r="90" spans="2:14" x14ac:dyDescent="0.3">
      <c r="B90" s="87"/>
      <c r="C90" s="87"/>
      <c r="D90" s="87"/>
      <c r="E90" s="87"/>
      <c r="F90" s="87"/>
      <c r="G90" s="87"/>
    </row>
    <row r="91" spans="2:14" x14ac:dyDescent="0.3">
      <c r="B91" s="87" t="s">
        <v>53</v>
      </c>
      <c r="C91" s="87"/>
      <c r="D91" s="88">
        <f>'B1 (Res) Branca OK'!D79</f>
        <v>0.45246416638672077</v>
      </c>
      <c r="E91" s="88">
        <f>'B1 (Res) Branca OK'!E79</f>
        <v>7.39594111182032E-2</v>
      </c>
      <c r="F91" s="88">
        <f>'B1 (Res) Branca OK'!F79</f>
        <v>0.27500913257019954</v>
      </c>
      <c r="G91" s="88">
        <f>'B1 (Res) Branca OK'!G79</f>
        <v>0.19856728992487654</v>
      </c>
    </row>
    <row r="92" spans="2:14" x14ac:dyDescent="0.3">
      <c r="B92" s="87" t="s">
        <v>54</v>
      </c>
      <c r="C92" s="87"/>
      <c r="D92" s="88">
        <f>'B1 (Res) Branca OK'!D80</f>
        <v>0.53149575868436638</v>
      </c>
      <c r="E92" s="88">
        <f>'B1 (Res) Branca OK'!E80</f>
        <v>8.6877848555460851E-2</v>
      </c>
      <c r="F92" s="88">
        <f>'B1 (Res) Branca OK'!F80</f>
        <v>0.32304478104372042</v>
      </c>
      <c r="G92" s="88">
        <f>'B1 (Res) Branca OK'!G80</f>
        <v>5.8581611716452382E-2</v>
      </c>
    </row>
    <row r="93" spans="2:14" x14ac:dyDescent="0.3">
      <c r="B93" s="87" t="s">
        <v>55</v>
      </c>
      <c r="C93" s="87"/>
      <c r="D93" s="88">
        <f>'B1 (Res) Branca OK'!D81</f>
        <v>0.45246416638672077</v>
      </c>
      <c r="E93" s="88">
        <f>'B1 (Res) Branca OK'!E81</f>
        <v>7.39594111182032E-2</v>
      </c>
      <c r="F93" s="88">
        <f>'B1 (Res) Branca OK'!F81</f>
        <v>0.27500913257019954</v>
      </c>
      <c r="G93" s="88">
        <f>'B1 (Res) Branca OK'!G81</f>
        <v>0.19856728992487654</v>
      </c>
    </row>
    <row r="94" spans="2:14" x14ac:dyDescent="0.3">
      <c r="B94" s="87" t="s">
        <v>56</v>
      </c>
      <c r="C94" s="87"/>
      <c r="D94" s="88">
        <f>'B1 (Res) Branca OK'!D82</f>
        <v>0.45246416638672077</v>
      </c>
      <c r="E94" s="88">
        <f>'B1 (Res) Branca OK'!E82</f>
        <v>7.39594111182032E-2</v>
      </c>
      <c r="F94" s="88">
        <f>'B1 (Res) Branca OK'!F82</f>
        <v>0.27500913257019954</v>
      </c>
      <c r="G94" s="88">
        <f>'B1 (Res) Branca OK'!G82</f>
        <v>0.19856728992487654</v>
      </c>
    </row>
    <row r="95" spans="2:14" x14ac:dyDescent="0.3">
      <c r="B95" s="87" t="s">
        <v>57</v>
      </c>
      <c r="C95" s="87"/>
      <c r="D95" s="88">
        <f>'B1 (Res) Branca OK'!D83</f>
        <v>0.45246416638672077</v>
      </c>
      <c r="E95" s="88">
        <f>'B1 (Res) Branca OK'!E83</f>
        <v>7.39594111182032E-2</v>
      </c>
      <c r="F95" s="88">
        <f>'B1 (Res) Branca OK'!F83</f>
        <v>0.27500913257019954</v>
      </c>
      <c r="G95" s="88">
        <f>'B1 (Res) Branca OK'!G83</f>
        <v>0.19856728992487654</v>
      </c>
    </row>
    <row r="96" spans="2:14" x14ac:dyDescent="0.3">
      <c r="B96" s="87" t="s">
        <v>58</v>
      </c>
      <c r="C96" s="87"/>
      <c r="D96" s="88">
        <f>'B1 (Res) Branca OK'!D84</f>
        <v>0.45246416638672077</v>
      </c>
      <c r="E96" s="88">
        <f>'B1 (Res) Branca OK'!E84</f>
        <v>7.39594111182032E-2</v>
      </c>
      <c r="F96" s="88">
        <f>'B1 (Res) Branca OK'!F84</f>
        <v>0.27500913257019954</v>
      </c>
      <c r="G96" s="88">
        <f>'B1 (Res) Branca OK'!G84</f>
        <v>0.19856728992487654</v>
      </c>
    </row>
    <row r="97" spans="2:7" x14ac:dyDescent="0.3">
      <c r="B97" s="87" t="s">
        <v>59</v>
      </c>
      <c r="C97" s="87"/>
      <c r="D97" s="88">
        <f>'B1 (Res) Branca OK'!D85</f>
        <v>0.45246416638672071</v>
      </c>
      <c r="E97" s="88">
        <f>'B1 (Res) Branca OK'!E85</f>
        <v>7.3959411118203186E-2</v>
      </c>
      <c r="F97" s="88">
        <f>'B1 (Res) Branca OK'!F85</f>
        <v>0.27500913257019949</v>
      </c>
      <c r="G97" s="88">
        <f>'B1 (Res) Branca OK'!G85</f>
        <v>0.19856728992487654</v>
      </c>
    </row>
    <row r="98" spans="2:7" x14ac:dyDescent="0.3">
      <c r="B98" s="87" t="s">
        <v>60</v>
      </c>
      <c r="C98" s="87"/>
      <c r="D98" s="88">
        <f>'B1 (Res) Branca OK'!D86</f>
        <v>0.45246416638672071</v>
      </c>
      <c r="E98" s="88">
        <f>'B1 (Res) Branca OK'!E86</f>
        <v>7.3959411118203186E-2</v>
      </c>
      <c r="F98" s="88">
        <f>'B1 (Res) Branca OK'!F86</f>
        <v>0.27500913257019949</v>
      </c>
      <c r="G98" s="88">
        <f>'B1 (Res) Branca OK'!G86</f>
        <v>0.19856728992487654</v>
      </c>
    </row>
    <row r="99" spans="2:7" x14ac:dyDescent="0.3">
      <c r="B99" s="87" t="s">
        <v>61</v>
      </c>
      <c r="C99" s="87"/>
      <c r="D99" s="88">
        <f>'B1 (Res) Branca OK'!D87</f>
        <v>0.45246416638672071</v>
      </c>
      <c r="E99" s="88">
        <f>'B1 (Res) Branca OK'!E87</f>
        <v>7.39594111182032E-2</v>
      </c>
      <c r="F99" s="88">
        <f>'B1 (Res) Branca OK'!F87</f>
        <v>0.27500913257019954</v>
      </c>
      <c r="G99" s="88">
        <f>'B1 (Res) Branca OK'!G87</f>
        <v>0.19856728992487657</v>
      </c>
    </row>
    <row r="100" spans="2:7" x14ac:dyDescent="0.3">
      <c r="B100" s="80"/>
      <c r="C100" s="80"/>
      <c r="D100" s="80"/>
      <c r="E100" s="80"/>
      <c r="F100" s="80"/>
      <c r="G100" s="80"/>
    </row>
    <row r="101" spans="2:7" x14ac:dyDescent="0.3">
      <c r="B101" s="80"/>
      <c r="C101" s="80"/>
      <c r="D101" s="80"/>
      <c r="E101" s="80"/>
      <c r="F101" s="80"/>
      <c r="G101" s="80"/>
    </row>
    <row r="102" spans="2:7" x14ac:dyDescent="0.3">
      <c r="B102" s="80">
        <f>'B1 (Res) Branca OK'!B90</f>
        <v>2023</v>
      </c>
      <c r="C102" s="87"/>
      <c r="D102" s="87" t="s">
        <v>44</v>
      </c>
      <c r="E102" s="87" t="s">
        <v>46</v>
      </c>
      <c r="F102" s="87" t="s">
        <v>45</v>
      </c>
      <c r="G102" s="87" t="s">
        <v>50</v>
      </c>
    </row>
    <row r="103" spans="2:7" x14ac:dyDescent="0.3">
      <c r="B103" s="87" t="s">
        <v>51</v>
      </c>
      <c r="C103" s="87"/>
      <c r="D103" s="87" t="s">
        <v>52</v>
      </c>
      <c r="E103" s="87" t="s">
        <v>52</v>
      </c>
      <c r="F103" s="87" t="s">
        <v>52</v>
      </c>
      <c r="G103" s="87" t="s">
        <v>52</v>
      </c>
    </row>
    <row r="104" spans="2:7" x14ac:dyDescent="0.3">
      <c r="B104" s="87"/>
      <c r="C104" s="87"/>
      <c r="D104" s="87"/>
      <c r="E104" s="87"/>
      <c r="F104" s="87"/>
      <c r="G104" s="87"/>
    </row>
    <row r="105" spans="2:7" x14ac:dyDescent="0.3">
      <c r="B105" s="87" t="s">
        <v>53</v>
      </c>
      <c r="C105" s="87"/>
      <c r="D105" s="88">
        <f>'B1 (Res) Branca OK'!D93</f>
        <v>0.43939696077133034</v>
      </c>
      <c r="E105" s="88">
        <f>'B1 (Res) Branca OK'!E93</f>
        <v>9.2697585625348772E-2</v>
      </c>
      <c r="F105" s="88">
        <f>'B1 (Res) Branca OK'!F93</f>
        <v>0.25285207888477268</v>
      </c>
      <c r="G105" s="88">
        <f>'B1 (Res) Branca OK'!G93</f>
        <v>0.21506308252114117</v>
      </c>
    </row>
    <row r="106" spans="2:7" x14ac:dyDescent="0.3">
      <c r="B106" s="87" t="s">
        <v>54</v>
      </c>
      <c r="C106" s="87"/>
      <c r="D106" s="88">
        <f>'B1 (Res) Branca OK'!D94</f>
        <v>0.52691619996872485</v>
      </c>
      <c r="E106" s="88">
        <f>'B1 (Res) Branca OK'!E94</f>
        <v>0.11116112291319068</v>
      </c>
      <c r="F106" s="88">
        <f>'B1 (Res) Branca OK'!F94</f>
        <v>0.30321524374287334</v>
      </c>
      <c r="G106" s="88">
        <f>'B1 (Res) Branca OK'!G94</f>
        <v>5.8707433375211129E-2</v>
      </c>
    </row>
    <row r="107" spans="2:7" x14ac:dyDescent="0.3">
      <c r="B107" s="87" t="s">
        <v>55</v>
      </c>
      <c r="C107" s="87"/>
      <c r="D107" s="88">
        <f>'B1 (Res) Branca OK'!D95</f>
        <v>0.43939300245552615</v>
      </c>
      <c r="E107" s="88">
        <f>'B1 (Res) Branca OK'!E95</f>
        <v>9.2696750557401245E-2</v>
      </c>
      <c r="F107" s="88">
        <f>'B1 (Res) Branca OK'!F95</f>
        <v>0.25284980106205335</v>
      </c>
      <c r="G107" s="88">
        <f>'B1 (Res) Branca OK'!G95</f>
        <v>0.21506044592501908</v>
      </c>
    </row>
    <row r="108" spans="2:7" x14ac:dyDescent="0.3">
      <c r="B108" s="87" t="s">
        <v>56</v>
      </c>
      <c r="C108" s="87"/>
      <c r="D108" s="88">
        <f>'B1 (Res) Branca OK'!D96</f>
        <v>0.43939300245552615</v>
      </c>
      <c r="E108" s="88">
        <f>'B1 (Res) Branca OK'!E96</f>
        <v>9.2696750557401245E-2</v>
      </c>
      <c r="F108" s="88">
        <f>'B1 (Res) Branca OK'!F96</f>
        <v>0.25284980106205335</v>
      </c>
      <c r="G108" s="88">
        <f>'B1 (Res) Branca OK'!G96</f>
        <v>0.21506044592501908</v>
      </c>
    </row>
    <row r="109" spans="2:7" x14ac:dyDescent="0.3">
      <c r="B109" s="87" t="s">
        <v>57</v>
      </c>
      <c r="C109" s="87"/>
      <c r="D109" s="88">
        <f>'B1 (Res) Branca OK'!D97</f>
        <v>0.43939300245552615</v>
      </c>
      <c r="E109" s="88">
        <f>'B1 (Res) Branca OK'!E97</f>
        <v>9.2696750557401328E-2</v>
      </c>
      <c r="F109" s="88">
        <f>'B1 (Res) Branca OK'!F97</f>
        <v>0.25284980106205335</v>
      </c>
      <c r="G109" s="88">
        <f>'B1 (Res) Branca OK'!G97</f>
        <v>0.21506044592501908</v>
      </c>
    </row>
    <row r="110" spans="2:7" x14ac:dyDescent="0.3">
      <c r="B110" s="87" t="s">
        <v>58</v>
      </c>
      <c r="C110" s="87"/>
      <c r="D110" s="88">
        <f>'B1 (Res) Branca OK'!D98</f>
        <v>0.43939300245552615</v>
      </c>
      <c r="E110" s="88">
        <f>'B1 (Res) Branca OK'!E98</f>
        <v>9.2696750557401328E-2</v>
      </c>
      <c r="F110" s="88">
        <f>'B1 (Res) Branca OK'!F98</f>
        <v>0.25284980106205335</v>
      </c>
      <c r="G110" s="88">
        <f>'B1 (Res) Branca OK'!G98</f>
        <v>0.21506044592501908</v>
      </c>
    </row>
    <row r="111" spans="2:7" x14ac:dyDescent="0.3">
      <c r="B111" s="87" t="s">
        <v>59</v>
      </c>
      <c r="C111" s="87"/>
      <c r="D111" s="88">
        <f>'B1 (Res) Branca OK'!D99</f>
        <v>0</v>
      </c>
      <c r="E111" s="88">
        <f>'B1 (Res) Branca OK'!E99</f>
        <v>0</v>
      </c>
      <c r="F111" s="88">
        <f>'B1 (Res) Branca OK'!F99</f>
        <v>0</v>
      </c>
      <c r="G111" s="88">
        <f>'B1 (Res) Branca OK'!G99</f>
        <v>0</v>
      </c>
    </row>
    <row r="112" spans="2:7" x14ac:dyDescent="0.3">
      <c r="B112" s="87" t="s">
        <v>60</v>
      </c>
      <c r="C112" s="87"/>
      <c r="D112" s="88">
        <f>'B1 (Res) Branca OK'!D100</f>
        <v>0.43938945729126549</v>
      </c>
      <c r="E112" s="88">
        <f>'B1 (Res) Branca OK'!E100</f>
        <v>9.2697336752737058E-2</v>
      </c>
      <c r="F112" s="88">
        <f>'B1 (Res) Branca OK'!F100</f>
        <v>0.25285140003260154</v>
      </c>
      <c r="G112" s="88">
        <f>'B1 (Res) Branca OK'!G100</f>
        <v>0.21506180592339591</v>
      </c>
    </row>
    <row r="113" spans="2:7" x14ac:dyDescent="0.3">
      <c r="B113" s="87" t="s">
        <v>61</v>
      </c>
      <c r="C113" s="87"/>
      <c r="D113" s="88">
        <f>'B1 (Res) Branca OK'!D101</f>
        <v>0.43938945729126527</v>
      </c>
      <c r="E113" s="88">
        <f>'B1 (Res) Branca OK'!E101</f>
        <v>9.2697336752736934E-2</v>
      </c>
      <c r="F113" s="88">
        <f>'B1 (Res) Branca OK'!F101</f>
        <v>0.25285140003260193</v>
      </c>
      <c r="G113" s="88">
        <f>'B1 (Res) Branca OK'!G101</f>
        <v>0.21506180592339585</v>
      </c>
    </row>
    <row r="114" spans="2:7" x14ac:dyDescent="0.3">
      <c r="B114" s="80"/>
      <c r="C114" s="80"/>
      <c r="D114" s="80"/>
      <c r="E114" s="80"/>
      <c r="F114" s="80"/>
      <c r="G114" s="80"/>
    </row>
    <row r="115" spans="2:7" x14ac:dyDescent="0.3">
      <c r="B115" s="89" t="s">
        <v>66</v>
      </c>
      <c r="C115" s="80"/>
      <c r="D115" s="80"/>
      <c r="E115" s="80"/>
      <c r="F115" s="80"/>
      <c r="G115" s="80"/>
    </row>
    <row r="116" spans="2:7" x14ac:dyDescent="0.3">
      <c r="B116" s="87"/>
      <c r="C116" s="87"/>
      <c r="D116" s="87" t="s">
        <v>44</v>
      </c>
      <c r="E116" s="87" t="s">
        <v>46</v>
      </c>
      <c r="F116" s="87" t="s">
        <v>45</v>
      </c>
      <c r="G116" s="87" t="s">
        <v>50</v>
      </c>
    </row>
    <row r="117" spans="2:7" x14ac:dyDescent="0.3">
      <c r="B117" s="87" t="s">
        <v>51</v>
      </c>
      <c r="C117" s="87"/>
      <c r="D117" s="88" t="s">
        <v>52</v>
      </c>
      <c r="E117" s="88" t="s">
        <v>52</v>
      </c>
      <c r="F117" s="88" t="s">
        <v>52</v>
      </c>
      <c r="G117" s="88" t="s">
        <v>52</v>
      </c>
    </row>
    <row r="118" spans="2:7" x14ac:dyDescent="0.3">
      <c r="B118" s="87"/>
      <c r="C118" s="87"/>
      <c r="D118" s="88"/>
      <c r="E118" s="88"/>
      <c r="F118" s="88"/>
      <c r="G118" s="88"/>
    </row>
    <row r="119" spans="2:7" x14ac:dyDescent="0.3">
      <c r="B119" s="87" t="s">
        <v>53</v>
      </c>
      <c r="C119" s="87"/>
      <c r="D119" s="88">
        <f t="shared" ref="D119:G127" si="18">((D105*$C$15)+(D91*$D$15))/($C$15+$D$15)</f>
        <v>0.44810843118159055</v>
      </c>
      <c r="E119" s="88">
        <f t="shared" si="18"/>
        <v>8.0205469287251738E-2</v>
      </c>
      <c r="F119" s="88">
        <f t="shared" si="18"/>
        <v>0.26762344800839061</v>
      </c>
      <c r="G119" s="88">
        <f t="shared" si="18"/>
        <v>0.20406588745696475</v>
      </c>
    </row>
    <row r="120" spans="2:7" x14ac:dyDescent="0.3">
      <c r="B120" s="87" t="s">
        <v>54</v>
      </c>
      <c r="C120" s="87"/>
      <c r="D120" s="88">
        <f t="shared" si="18"/>
        <v>0.52996923911248595</v>
      </c>
      <c r="E120" s="88">
        <f t="shared" si="18"/>
        <v>9.4972273341370789E-2</v>
      </c>
      <c r="F120" s="88">
        <f t="shared" si="18"/>
        <v>0.31643493527677141</v>
      </c>
      <c r="G120" s="88">
        <f t="shared" si="18"/>
        <v>5.8623552269371972E-2</v>
      </c>
    </row>
    <row r="121" spans="2:7" x14ac:dyDescent="0.3">
      <c r="B121" s="87" t="s">
        <v>55</v>
      </c>
      <c r="C121" s="87"/>
      <c r="D121" s="88">
        <f t="shared" si="18"/>
        <v>0.44810711174298923</v>
      </c>
      <c r="E121" s="88">
        <f t="shared" si="18"/>
        <v>8.0205190931269224E-2</v>
      </c>
      <c r="F121" s="88">
        <f t="shared" si="18"/>
        <v>0.26762268873415079</v>
      </c>
      <c r="G121" s="88">
        <f t="shared" si="18"/>
        <v>0.20406500859159074</v>
      </c>
    </row>
    <row r="122" spans="2:7" x14ac:dyDescent="0.3">
      <c r="B122" s="87" t="s">
        <v>56</v>
      </c>
      <c r="C122" s="87"/>
      <c r="D122" s="88">
        <f t="shared" si="18"/>
        <v>0.44810711174298923</v>
      </c>
      <c r="E122" s="88">
        <f t="shared" si="18"/>
        <v>8.0205190931269224E-2</v>
      </c>
      <c r="F122" s="88">
        <f t="shared" si="18"/>
        <v>0.26762268873415079</v>
      </c>
      <c r="G122" s="88">
        <f t="shared" si="18"/>
        <v>0.20406500859159074</v>
      </c>
    </row>
    <row r="123" spans="2:7" x14ac:dyDescent="0.3">
      <c r="B123" s="87" t="s">
        <v>57</v>
      </c>
      <c r="C123" s="87"/>
      <c r="D123" s="88">
        <f t="shared" si="18"/>
        <v>0.44810711174298923</v>
      </c>
      <c r="E123" s="88">
        <f t="shared" si="18"/>
        <v>8.0205190931269252E-2</v>
      </c>
      <c r="F123" s="88">
        <f t="shared" si="18"/>
        <v>0.26762268873415079</v>
      </c>
      <c r="G123" s="88">
        <f t="shared" si="18"/>
        <v>0.20406500859159074</v>
      </c>
    </row>
    <row r="124" spans="2:7" x14ac:dyDescent="0.3">
      <c r="B124" s="87" t="s">
        <v>58</v>
      </c>
      <c r="C124" s="87"/>
      <c r="D124" s="88">
        <f t="shared" si="18"/>
        <v>0.44810711174298923</v>
      </c>
      <c r="E124" s="88">
        <f t="shared" si="18"/>
        <v>8.0205190931269252E-2</v>
      </c>
      <c r="F124" s="88">
        <f t="shared" si="18"/>
        <v>0.26762268873415079</v>
      </c>
      <c r="G124" s="88">
        <f t="shared" si="18"/>
        <v>0.20406500859159074</v>
      </c>
    </row>
    <row r="125" spans="2:7" x14ac:dyDescent="0.3">
      <c r="B125" s="87" t="s">
        <v>59</v>
      </c>
      <c r="C125" s="87"/>
      <c r="D125" s="88">
        <f t="shared" si="18"/>
        <v>0.30164277759114716</v>
      </c>
      <c r="E125" s="88">
        <f t="shared" si="18"/>
        <v>4.9306274078802129E-2</v>
      </c>
      <c r="F125" s="88">
        <f t="shared" si="18"/>
        <v>0.18333942171346634</v>
      </c>
      <c r="G125" s="88">
        <f t="shared" si="18"/>
        <v>0.13237819328325101</v>
      </c>
    </row>
    <row r="126" spans="2:7" x14ac:dyDescent="0.3">
      <c r="B126" s="87" t="s">
        <v>60</v>
      </c>
      <c r="C126" s="87"/>
      <c r="D126" s="88">
        <f t="shared" si="18"/>
        <v>0.44810593002156895</v>
      </c>
      <c r="E126" s="88">
        <f t="shared" si="18"/>
        <v>8.0205386329714481E-2</v>
      </c>
      <c r="F126" s="88">
        <f t="shared" si="18"/>
        <v>0.2676232217243335</v>
      </c>
      <c r="G126" s="88">
        <f t="shared" si="18"/>
        <v>0.20406546192438302</v>
      </c>
    </row>
    <row r="127" spans="2:7" x14ac:dyDescent="0.3">
      <c r="B127" s="87" t="s">
        <v>61</v>
      </c>
      <c r="C127" s="87"/>
      <c r="D127" s="88">
        <f t="shared" si="18"/>
        <v>0.44810593002156895</v>
      </c>
      <c r="E127" s="88">
        <f t="shared" si="18"/>
        <v>8.0205386329714454E-2</v>
      </c>
      <c r="F127" s="88">
        <f t="shared" si="18"/>
        <v>0.26762322172433367</v>
      </c>
      <c r="G127" s="88">
        <f t="shared" si="18"/>
        <v>0.20406546192438302</v>
      </c>
    </row>
    <row r="132" spans="2:11" x14ac:dyDescent="0.3">
      <c r="B132" s="27" t="s">
        <v>138</v>
      </c>
      <c r="C132" s="28">
        <f>'B1 (Res) Branca OK'!C6</f>
        <v>0.93761000000000005</v>
      </c>
      <c r="D132" s="28">
        <f>'B1 (Res) Branca OK'!D6</f>
        <v>0.48448000000000002</v>
      </c>
      <c r="E132" s="28">
        <f>'B1 (Res) Branca OK'!E6</f>
        <v>1.4220900000000001</v>
      </c>
      <c r="F132" s="28">
        <f>'B1 (Res) Branca OK'!F6</f>
        <v>0.99902000000000002</v>
      </c>
      <c r="G132" s="28">
        <f>'B1 (Res) Branca OK'!G6</f>
        <v>0.51690999999999998</v>
      </c>
      <c r="H132" s="28">
        <f>'B1 (Res) Branca OK'!H6</f>
        <v>1.51593</v>
      </c>
      <c r="I132" s="28">
        <f>'B1 (Res) Branca OK'!I6</f>
        <v>0.96626800000000002</v>
      </c>
      <c r="J132" s="28">
        <f>'B1 (Res) Branca OK'!J6</f>
        <v>0.499614</v>
      </c>
      <c r="K132" s="29">
        <f t="shared" ref="K132:K134" si="19">I132+J132</f>
        <v>1.4658820000000001</v>
      </c>
    </row>
    <row r="133" spans="2:11" x14ac:dyDescent="0.3">
      <c r="B133" s="27" t="s">
        <v>139</v>
      </c>
      <c r="C133" s="28">
        <f>'B1 (Res) Branca OK'!C7</f>
        <v>0.36496000000000001</v>
      </c>
      <c r="D133" s="28">
        <f>'B1 (Res) Branca OK'!D7</f>
        <v>0.30579000000000001</v>
      </c>
      <c r="E133" s="28">
        <f>'B1 (Res) Branca OK'!E7</f>
        <v>0.67074999999999996</v>
      </c>
      <c r="F133" s="28">
        <f>'B1 (Res) Branca OK'!F7</f>
        <v>0.39741000000000004</v>
      </c>
      <c r="G133" s="28">
        <f>'B1 (Res) Branca OK'!G7</f>
        <v>0.32106999999999997</v>
      </c>
      <c r="H133" s="28">
        <f>'B1 (Res) Branca OK'!H7</f>
        <v>0.71848000000000001</v>
      </c>
      <c r="I133" s="28">
        <f>'B1 (Res) Branca OK'!I7</f>
        <v>0.3801033333333334</v>
      </c>
      <c r="J133" s="28">
        <f>'B1 (Res) Branca OK'!J7</f>
        <v>0.31292066666666668</v>
      </c>
      <c r="K133" s="29">
        <f t="shared" si="19"/>
        <v>0.69302400000000008</v>
      </c>
    </row>
    <row r="134" spans="2:11" x14ac:dyDescent="0.3">
      <c r="B134" s="27" t="s">
        <v>140</v>
      </c>
      <c r="C134" s="28">
        <f>'B1 (Res) Branca OK'!C8</f>
        <v>0.65128999999999992</v>
      </c>
      <c r="D134" s="28">
        <f>'B1 (Res) Branca OK'!D8</f>
        <v>0.30579000000000001</v>
      </c>
      <c r="E134" s="28">
        <f>'B1 (Res) Branca OK'!E8</f>
        <v>0.95707999999999993</v>
      </c>
      <c r="F134" s="28">
        <f>'B1 (Res) Branca OK'!F8</f>
        <v>0.69821</v>
      </c>
      <c r="G134" s="28">
        <f>'B1 (Res) Branca OK'!G8</f>
        <v>0.32106999999999997</v>
      </c>
      <c r="H134" s="28">
        <f>'B1 (Res) Branca OK'!H8</f>
        <v>1.01928</v>
      </c>
      <c r="I134" s="28">
        <f>'B1 (Res) Branca OK'!I8</f>
        <v>0.67318599999999995</v>
      </c>
      <c r="J134" s="28">
        <f>'B1 (Res) Branca OK'!J8</f>
        <v>0.31292066666666668</v>
      </c>
      <c r="K134" s="29">
        <f t="shared" si="19"/>
        <v>0.98610666666666669</v>
      </c>
    </row>
  </sheetData>
  <customSheetViews>
    <customSheetView guid="{93A7E07A-AC2D-4310-B7ED-B74DACBA50A7}" scale="80" showGridLines="0">
      <selection activeCell="H2" sqref="H2:I2"/>
      <pageMargins left="0.511811024" right="0.511811024" top="0.78740157499999996" bottom="0.78740157499999996" header="0.31496062000000002" footer="0.31496062000000002"/>
      <pageSetup orientation="portrait" r:id="rId1"/>
    </customSheetView>
    <customSheetView guid="{EB662AE4-4B22-40EC-8355-9AD94D059B97}" scale="80" showGridLines="0" topLeftCell="A41">
      <selection activeCell="K67" sqref="K67"/>
      <pageMargins left="0.511811024" right="0.511811024" top="0.78740157499999996" bottom="0.78740157499999996" header="0.31496062000000002" footer="0.31496062000000002"/>
      <pageSetup orientation="portrait" r:id="rId2"/>
    </customSheetView>
    <customSheetView guid="{E99E9347-E83C-4BCD-9209-A3E8998220A9}" scale="80" showGridLines="0" topLeftCell="A17">
      <selection activeCell="E37" sqref="E37"/>
      <pageMargins left="0.511811024" right="0.511811024" top="0.78740157499999996" bottom="0.78740157499999996" header="0.31496062000000002" footer="0.31496062000000002"/>
      <pageSetup orientation="portrait" r:id="rId3"/>
    </customSheetView>
    <customSheetView guid="{A8592FA0-1011-4F02-BFB0-BB1C65ED9311}" scale="80" showGridLines="0">
      <selection activeCell="H2" sqref="H2:I2"/>
      <pageMargins left="0.511811024" right="0.511811024" top="0.78740157499999996" bottom="0.78740157499999996" header="0.31496062000000002" footer="0.31496062000000002"/>
      <pageSetup orientation="portrait" r:id="rId4"/>
    </customSheetView>
  </customSheetViews>
  <mergeCells count="10">
    <mergeCell ref="H2:I2"/>
    <mergeCell ref="Q4:Q5"/>
    <mergeCell ref="R4:T4"/>
    <mergeCell ref="U4:W4"/>
    <mergeCell ref="B42:H42"/>
    <mergeCell ref="B4:B5"/>
    <mergeCell ref="C4:E4"/>
    <mergeCell ref="F4:H4"/>
    <mergeCell ref="I4:K4"/>
    <mergeCell ref="K12:L12"/>
  </mergeCells>
  <conditionalFormatting sqref="K13:L13">
    <cfRule type="cellIs" dxfId="112" priority="1" operator="equal">
      <formula>"Escassez Hídrica"</formula>
    </cfRule>
    <cfRule type="cellIs" dxfId="111" priority="2" operator="equal">
      <formula>"VERDE"</formula>
    </cfRule>
    <cfRule type="cellIs" dxfId="110" priority="3" operator="equal">
      <formula>"BVM2"</formula>
    </cfRule>
    <cfRule type="cellIs" dxfId="109" priority="4" operator="equal">
      <formula>"BVM1"</formula>
    </cfRule>
    <cfRule type="cellIs" dxfId="108" priority="5" operator="equal">
      <formula>"BAM"</formula>
    </cfRule>
  </conditionalFormatting>
  <conditionalFormatting sqref="M3">
    <cfRule type="cellIs" dxfId="107" priority="24" operator="equal">
      <formula>"VERDE"</formula>
    </cfRule>
    <cfRule type="cellIs" dxfId="106" priority="25" operator="equal">
      <formula>"BVM2"</formula>
    </cfRule>
    <cfRule type="cellIs" dxfId="105" priority="26" operator="equal">
      <formula>"BVM1"</formula>
    </cfRule>
    <cfRule type="cellIs" dxfId="104" priority="27" operator="equal">
      <formula>"BAM"</formula>
    </cfRule>
  </conditionalFormatting>
  <conditionalFormatting sqref="M7">
    <cfRule type="containsText" dxfId="103" priority="11" operator="containsText" text="Escassez Hídrica">
      <formula>NOT(ISERROR(SEARCH("Escassez Hídrica",M7)))</formula>
    </cfRule>
    <cfRule type="cellIs" dxfId="102" priority="12" operator="equal">
      <formula>"VERDE"</formula>
    </cfRule>
    <cfRule type="cellIs" dxfId="101" priority="13" operator="equal">
      <formula>"BVM2"</formula>
    </cfRule>
    <cfRule type="cellIs" dxfId="100" priority="14" operator="equal">
      <formula>"BVM1"</formula>
    </cfRule>
    <cfRule type="cellIs" dxfId="99" priority="15" operator="equal">
      <formula>"BAM"</formula>
    </cfRule>
  </conditionalFormatting>
  <dataValidations count="1">
    <dataValidation type="list" allowBlank="1" showInputMessage="1" showErrorMessage="1" sqref="K13:L13" xr:uid="{00000000-0002-0000-0400-000000000000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5"/>
  <sheetViews>
    <sheetView showGridLines="0" topLeftCell="A6" zoomScaleNormal="100" workbookViewId="0">
      <selection activeCell="F16" sqref="F16:H18"/>
    </sheetView>
  </sheetViews>
  <sheetFormatPr defaultColWidth="9.109375" defaultRowHeight="10.199999999999999" x14ac:dyDescent="0.2"/>
  <cols>
    <col min="1" max="1" width="9.109375" style="155"/>
    <col min="2" max="2" width="11.109375" style="154" bestFit="1" customWidth="1"/>
    <col min="3" max="3" width="13.6640625" style="154" bestFit="1" customWidth="1"/>
    <col min="4" max="4" width="16.6640625" style="154" bestFit="1" customWidth="1"/>
    <col min="5" max="5" width="31.6640625" style="154" bestFit="1" customWidth="1"/>
    <col min="6" max="6" width="7" style="154" bestFit="1" customWidth="1"/>
    <col min="7" max="10" width="9.109375" style="154"/>
    <col min="11" max="11" width="13.109375" style="154" customWidth="1"/>
    <col min="12" max="13" width="9.109375" style="155"/>
    <col min="14" max="14" width="25.109375" style="155" bestFit="1" customWidth="1"/>
    <col min="15" max="16" width="9.109375" style="155"/>
    <col min="17" max="17" width="9.44140625" style="155" bestFit="1" customWidth="1"/>
    <col min="18" max="18" width="9.109375" style="155"/>
    <col min="19" max="19" width="9.44140625" style="155" bestFit="1" customWidth="1"/>
    <col min="20" max="16384" width="9.109375" style="155"/>
  </cols>
  <sheetData>
    <row r="2" spans="2:20" x14ac:dyDescent="0.2">
      <c r="B2" s="153" t="s">
        <v>153</v>
      </c>
    </row>
    <row r="3" spans="2:20" x14ac:dyDescent="0.2">
      <c r="K3" s="263"/>
      <c r="L3" s="157"/>
      <c r="M3" s="157"/>
      <c r="N3" s="157"/>
      <c r="O3" s="157"/>
      <c r="P3" s="157"/>
      <c r="Q3" s="157"/>
      <c r="R3" s="157"/>
      <c r="S3" s="157"/>
      <c r="T3" s="157"/>
    </row>
    <row r="4" spans="2:20" x14ac:dyDescent="0.2">
      <c r="B4" s="316" t="s">
        <v>75</v>
      </c>
      <c r="C4" s="316" t="s">
        <v>76</v>
      </c>
      <c r="D4" s="316" t="s">
        <v>157</v>
      </c>
      <c r="E4" s="316" t="s">
        <v>125</v>
      </c>
      <c r="F4" s="316" t="s">
        <v>78</v>
      </c>
      <c r="G4" s="316" t="s">
        <v>79</v>
      </c>
      <c r="H4" s="316"/>
      <c r="I4" s="316"/>
      <c r="J4" s="316"/>
      <c r="K4" s="316"/>
      <c r="L4" s="157"/>
      <c r="M4" s="157"/>
      <c r="N4" s="157"/>
      <c r="O4" s="157"/>
      <c r="P4" s="157"/>
      <c r="Q4" s="157"/>
      <c r="R4" s="157"/>
      <c r="S4" s="157"/>
      <c r="T4" s="157"/>
    </row>
    <row r="5" spans="2:20" x14ac:dyDescent="0.2">
      <c r="B5" s="316"/>
      <c r="C5" s="316"/>
      <c r="D5" s="316"/>
      <c r="E5" s="316"/>
      <c r="F5" s="316"/>
      <c r="G5" s="264" t="s">
        <v>240</v>
      </c>
      <c r="H5" s="264"/>
      <c r="I5" s="155"/>
      <c r="J5" s="317" t="s">
        <v>241</v>
      </c>
      <c r="K5" s="317"/>
      <c r="L5" s="157"/>
      <c r="M5" s="157"/>
      <c r="N5" s="157"/>
      <c r="O5" s="157"/>
      <c r="P5" s="157"/>
      <c r="Q5" s="314"/>
      <c r="R5" s="315"/>
      <c r="S5" s="157"/>
      <c r="T5" s="158"/>
    </row>
    <row r="6" spans="2:20" x14ac:dyDescent="0.2">
      <c r="B6" s="316"/>
      <c r="C6" s="316"/>
      <c r="D6" s="316"/>
      <c r="E6" s="316"/>
      <c r="F6" s="316"/>
      <c r="G6" s="159" t="s">
        <v>13</v>
      </c>
      <c r="H6" s="159" t="s">
        <v>88</v>
      </c>
      <c r="I6" s="155"/>
      <c r="J6" s="159" t="s">
        <v>13</v>
      </c>
      <c r="K6" s="159" t="s">
        <v>88</v>
      </c>
      <c r="L6" s="157"/>
      <c r="M6" s="157"/>
      <c r="N6" s="157"/>
      <c r="O6" s="157"/>
      <c r="P6" s="157"/>
      <c r="Q6" s="156"/>
      <c r="R6" s="156"/>
      <c r="S6" s="156"/>
      <c r="T6" s="156"/>
    </row>
    <row r="7" spans="2:20" x14ac:dyDescent="0.2">
      <c r="B7" s="107" t="s">
        <v>11</v>
      </c>
      <c r="C7" s="107" t="s">
        <v>127</v>
      </c>
      <c r="D7" s="107" t="s">
        <v>128</v>
      </c>
      <c r="E7" s="107" t="s">
        <v>128</v>
      </c>
      <c r="F7" s="107" t="s">
        <v>97</v>
      </c>
      <c r="G7" s="148">
        <v>0</v>
      </c>
      <c r="H7" s="148">
        <v>591.10909360219489</v>
      </c>
      <c r="I7" s="155"/>
      <c r="J7" s="148">
        <v>0</v>
      </c>
      <c r="K7" s="148">
        <v>606.53961736718702</v>
      </c>
      <c r="L7" s="160"/>
      <c r="M7" s="160"/>
      <c r="N7" s="160"/>
      <c r="O7" s="160"/>
      <c r="P7" s="160"/>
      <c r="Q7" s="161"/>
      <c r="S7" s="161"/>
    </row>
    <row r="8" spans="2:20" x14ac:dyDescent="0.2">
      <c r="B8" s="107" t="s">
        <v>11</v>
      </c>
      <c r="C8" s="107" t="s">
        <v>127</v>
      </c>
      <c r="D8" s="107" t="s">
        <v>128</v>
      </c>
      <c r="E8" s="107" t="s">
        <v>128</v>
      </c>
      <c r="F8" s="107" t="s">
        <v>129</v>
      </c>
      <c r="G8" s="148">
        <v>0</v>
      </c>
      <c r="H8" s="148">
        <v>354.66549637373629</v>
      </c>
      <c r="I8" s="155"/>
      <c r="J8" s="148">
        <v>0</v>
      </c>
      <c r="K8" s="148">
        <v>363.923811682451</v>
      </c>
      <c r="L8" s="160"/>
      <c r="M8" s="160"/>
      <c r="N8" s="160"/>
      <c r="O8" s="160"/>
      <c r="P8" s="160"/>
      <c r="Q8" s="161"/>
      <c r="S8" s="161"/>
    </row>
    <row r="9" spans="2:20" x14ac:dyDescent="0.2">
      <c r="B9" s="107" t="s">
        <v>11</v>
      </c>
      <c r="C9" s="107" t="s">
        <v>127</v>
      </c>
      <c r="D9" s="107" t="s">
        <v>128</v>
      </c>
      <c r="E9" s="107" t="s">
        <v>128</v>
      </c>
      <c r="F9" s="107" t="s">
        <v>99</v>
      </c>
      <c r="G9" s="148">
        <v>0</v>
      </c>
      <c r="H9" s="148">
        <v>118.2217986142293</v>
      </c>
      <c r="I9" s="155"/>
      <c r="J9" s="148">
        <v>0</v>
      </c>
      <c r="K9" s="148">
        <v>121.30790284236799</v>
      </c>
      <c r="L9" s="160"/>
      <c r="M9" s="160"/>
      <c r="N9" s="160"/>
      <c r="O9" s="160"/>
      <c r="P9" s="160"/>
      <c r="R9" s="161"/>
      <c r="T9" s="161"/>
    </row>
    <row r="10" spans="2:20" x14ac:dyDescent="0.2">
      <c r="B10" s="107" t="s">
        <v>11</v>
      </c>
      <c r="C10" s="107" t="s">
        <v>158</v>
      </c>
      <c r="D10" s="107" t="s">
        <v>128</v>
      </c>
      <c r="E10" s="107" t="s">
        <v>128</v>
      </c>
      <c r="F10" s="107" t="s">
        <v>96</v>
      </c>
      <c r="G10" s="148">
        <v>0</v>
      </c>
      <c r="H10" s="148">
        <v>203.83072193179135</v>
      </c>
      <c r="I10" s="155"/>
      <c r="J10" s="148">
        <v>0</v>
      </c>
      <c r="K10" s="148">
        <v>209.151592195582</v>
      </c>
      <c r="L10" s="160"/>
      <c r="M10" s="160"/>
      <c r="N10" s="160"/>
      <c r="O10" s="160"/>
      <c r="P10" s="160"/>
      <c r="R10" s="161"/>
      <c r="T10" s="161"/>
    </row>
    <row r="11" spans="2:20" x14ac:dyDescent="0.2">
      <c r="B11" s="107" t="s">
        <v>11</v>
      </c>
      <c r="C11" s="107" t="s">
        <v>120</v>
      </c>
      <c r="D11" s="107" t="s">
        <v>128</v>
      </c>
      <c r="E11" s="107" t="s">
        <v>128</v>
      </c>
      <c r="F11" s="107" t="s">
        <v>96</v>
      </c>
      <c r="G11" s="148">
        <v>0</v>
      </c>
      <c r="H11" s="148">
        <v>203.83072193179135</v>
      </c>
      <c r="I11" s="155"/>
      <c r="J11" s="148">
        <v>0</v>
      </c>
      <c r="K11" s="148">
        <v>209.151592195582</v>
      </c>
      <c r="L11" s="160"/>
      <c r="M11" s="160"/>
      <c r="N11" s="160"/>
      <c r="O11" s="160"/>
      <c r="P11" s="160"/>
      <c r="R11" s="161"/>
      <c r="T11" s="161"/>
    </row>
    <row r="12" spans="2:20" x14ac:dyDescent="0.2">
      <c r="B12" s="107" t="s">
        <v>11</v>
      </c>
      <c r="C12" s="107" t="s">
        <v>158</v>
      </c>
      <c r="D12" s="107" t="s">
        <v>128</v>
      </c>
      <c r="E12" s="107" t="s">
        <v>159</v>
      </c>
      <c r="F12" s="107" t="s">
        <v>96</v>
      </c>
      <c r="G12" s="148">
        <v>0</v>
      </c>
      <c r="H12" s="148">
        <v>203.83072193179135</v>
      </c>
      <c r="I12" s="155"/>
      <c r="J12" s="148">
        <v>0</v>
      </c>
      <c r="K12" s="148">
        <v>209.151592195582</v>
      </c>
      <c r="L12" s="160"/>
      <c r="M12" s="160"/>
      <c r="N12" s="162"/>
      <c r="O12" s="160"/>
      <c r="P12" s="160"/>
      <c r="R12" s="161"/>
      <c r="T12" s="161"/>
    </row>
    <row r="13" spans="2:20" x14ac:dyDescent="0.2">
      <c r="B13" s="107" t="s">
        <v>11</v>
      </c>
      <c r="C13" s="107" t="s">
        <v>120</v>
      </c>
      <c r="D13" s="107" t="s">
        <v>128</v>
      </c>
      <c r="E13" s="107" t="s">
        <v>159</v>
      </c>
      <c r="F13" s="107" t="s">
        <v>96</v>
      </c>
      <c r="G13" s="148">
        <v>0</v>
      </c>
      <c r="H13" s="148">
        <v>203.83072193179135</v>
      </c>
      <c r="I13" s="155"/>
      <c r="J13" s="148">
        <v>0</v>
      </c>
      <c r="K13" s="148">
        <v>209.151592195582</v>
      </c>
      <c r="L13" s="160"/>
      <c r="M13" s="160"/>
      <c r="N13" s="162"/>
      <c r="O13" s="160"/>
      <c r="P13" s="160"/>
      <c r="R13" s="161"/>
      <c r="T13" s="161"/>
    </row>
    <row r="14" spans="2:20" x14ac:dyDescent="0.2">
      <c r="B14" s="107" t="s">
        <v>11</v>
      </c>
      <c r="C14" s="107" t="s">
        <v>158</v>
      </c>
      <c r="D14" s="107" t="s">
        <v>128</v>
      </c>
      <c r="E14" s="107" t="s">
        <v>242</v>
      </c>
      <c r="F14" s="107" t="s">
        <v>96</v>
      </c>
      <c r="G14" s="148">
        <v>0</v>
      </c>
      <c r="H14" s="148">
        <v>203.83072193179135</v>
      </c>
      <c r="I14" s="155"/>
      <c r="J14" s="148">
        <v>0</v>
      </c>
      <c r="K14" s="148">
        <v>209.151592195582</v>
      </c>
      <c r="L14" s="160"/>
      <c r="M14" s="160"/>
      <c r="N14" s="162"/>
      <c r="O14" s="160"/>
      <c r="P14" s="160"/>
      <c r="R14" s="161"/>
      <c r="T14" s="161"/>
    </row>
    <row r="15" spans="2:20" x14ac:dyDescent="0.2">
      <c r="B15" s="107" t="s">
        <v>11</v>
      </c>
      <c r="C15" s="107" t="s">
        <v>120</v>
      </c>
      <c r="D15" s="107" t="s">
        <v>128</v>
      </c>
      <c r="E15" s="107" t="s">
        <v>242</v>
      </c>
      <c r="F15" s="107" t="s">
        <v>96</v>
      </c>
      <c r="G15" s="148">
        <v>0</v>
      </c>
      <c r="H15" s="148">
        <v>203.83072193179135</v>
      </c>
      <c r="I15" s="155"/>
      <c r="J15" s="148">
        <v>0</v>
      </c>
      <c r="K15" s="148">
        <v>209.151592195582</v>
      </c>
      <c r="L15" s="160"/>
      <c r="M15" s="160"/>
      <c r="N15" s="162"/>
      <c r="O15" s="160"/>
      <c r="P15" s="160"/>
      <c r="R15" s="161"/>
      <c r="T15" s="161"/>
    </row>
    <row r="16" spans="2:20" x14ac:dyDescent="0.2">
      <c r="B16" s="107" t="s">
        <v>12</v>
      </c>
      <c r="C16" s="107" t="s">
        <v>127</v>
      </c>
      <c r="D16" s="107" t="s">
        <v>131</v>
      </c>
      <c r="E16" s="107" t="s">
        <v>160</v>
      </c>
      <c r="F16" s="107" t="s">
        <v>97</v>
      </c>
      <c r="G16" s="148">
        <v>0</v>
      </c>
      <c r="H16" s="148">
        <v>693.02445456809062</v>
      </c>
      <c r="I16" s="155"/>
      <c r="J16" s="148">
        <v>0</v>
      </c>
      <c r="K16" s="148">
        <v>711.11541346497802</v>
      </c>
      <c r="L16" s="160"/>
      <c r="M16" s="160"/>
      <c r="N16" s="162"/>
      <c r="O16" s="160"/>
      <c r="P16" s="160"/>
      <c r="R16" s="161"/>
      <c r="T16" s="161"/>
    </row>
    <row r="17" spans="2:20" x14ac:dyDescent="0.2">
      <c r="B17" s="107" t="s">
        <v>12</v>
      </c>
      <c r="C17" s="107" t="s">
        <v>127</v>
      </c>
      <c r="D17" s="107" t="s">
        <v>131</v>
      </c>
      <c r="E17" s="107" t="s">
        <v>160</v>
      </c>
      <c r="F17" s="107" t="s">
        <v>129</v>
      </c>
      <c r="G17" s="148">
        <v>0</v>
      </c>
      <c r="H17" s="148">
        <v>415.81471295327373</v>
      </c>
      <c r="I17" s="155"/>
      <c r="J17" s="148">
        <v>0</v>
      </c>
      <c r="K17" s="148">
        <v>426.66928934112502</v>
      </c>
      <c r="L17" s="160"/>
      <c r="M17" s="160"/>
      <c r="N17" s="162"/>
      <c r="O17" s="160"/>
      <c r="P17" s="160"/>
      <c r="R17" s="161"/>
      <c r="T17" s="161"/>
    </row>
    <row r="18" spans="2:20" x14ac:dyDescent="0.2">
      <c r="B18" s="107" t="s">
        <v>12</v>
      </c>
      <c r="C18" s="107" t="s">
        <v>127</v>
      </c>
      <c r="D18" s="107" t="s">
        <v>131</v>
      </c>
      <c r="E18" s="107" t="s">
        <v>160</v>
      </c>
      <c r="F18" s="107" t="s">
        <v>99</v>
      </c>
      <c r="G18" s="148">
        <v>0</v>
      </c>
      <c r="H18" s="148">
        <v>138.60487080740845</v>
      </c>
      <c r="I18" s="155"/>
      <c r="J18" s="148">
        <v>0</v>
      </c>
      <c r="K18" s="148">
        <v>142.22306206192599</v>
      </c>
      <c r="L18" s="160"/>
      <c r="M18" s="160"/>
      <c r="N18" s="162"/>
      <c r="O18" s="160"/>
      <c r="P18" s="160"/>
      <c r="R18" s="161"/>
      <c r="T18" s="161"/>
    </row>
    <row r="19" spans="2:20" x14ac:dyDescent="0.2">
      <c r="B19" s="107" t="s">
        <v>12</v>
      </c>
      <c r="C19" s="107" t="s">
        <v>158</v>
      </c>
      <c r="D19" s="107" t="s">
        <v>131</v>
      </c>
      <c r="E19" s="107" t="s">
        <v>160</v>
      </c>
      <c r="F19" s="107" t="s">
        <v>96</v>
      </c>
      <c r="G19" s="148">
        <v>0</v>
      </c>
      <c r="H19" s="148">
        <v>203.83072193179135</v>
      </c>
      <c r="I19" s="155"/>
      <c r="J19" s="148">
        <v>0</v>
      </c>
      <c r="K19" s="148">
        <v>209.151592195582</v>
      </c>
      <c r="L19" s="160"/>
      <c r="M19" s="160"/>
      <c r="N19" s="162"/>
      <c r="O19" s="160"/>
      <c r="P19" s="160"/>
      <c r="R19" s="161"/>
      <c r="T19" s="161"/>
    </row>
    <row r="20" spans="2:20" x14ac:dyDescent="0.2">
      <c r="B20" s="107" t="s">
        <v>12</v>
      </c>
      <c r="C20" s="107" t="s">
        <v>120</v>
      </c>
      <c r="D20" s="107" t="s">
        <v>131</v>
      </c>
      <c r="E20" s="107" t="s">
        <v>160</v>
      </c>
      <c r="F20" s="107" t="s">
        <v>96</v>
      </c>
      <c r="G20" s="148">
        <v>0</v>
      </c>
      <c r="H20" s="148">
        <v>203.83072193179135</v>
      </c>
      <c r="I20" s="155"/>
      <c r="J20" s="148">
        <v>0</v>
      </c>
      <c r="K20" s="148">
        <v>209.151592195582</v>
      </c>
      <c r="L20" s="160"/>
      <c r="M20" s="160"/>
      <c r="N20" s="162"/>
      <c r="O20" s="160"/>
      <c r="P20" s="160"/>
      <c r="R20" s="161"/>
      <c r="T20" s="161"/>
    </row>
    <row r="21" spans="2:20" x14ac:dyDescent="0.2">
      <c r="B21" s="107" t="s">
        <v>12</v>
      </c>
      <c r="C21" s="107" t="s">
        <v>127</v>
      </c>
      <c r="D21" s="107" t="s">
        <v>131</v>
      </c>
      <c r="E21" s="107" t="s">
        <v>132</v>
      </c>
      <c r="F21" s="107" t="s">
        <v>97</v>
      </c>
      <c r="G21" s="148">
        <v>0</v>
      </c>
      <c r="H21" s="148">
        <v>693.02445456809062</v>
      </c>
      <c r="I21" s="155"/>
      <c r="J21" s="148">
        <v>0</v>
      </c>
      <c r="K21" s="148">
        <v>711.11541346497802</v>
      </c>
      <c r="L21" s="160"/>
      <c r="M21" s="160"/>
      <c r="N21" s="162"/>
      <c r="O21" s="160"/>
      <c r="P21" s="160"/>
      <c r="R21" s="161"/>
      <c r="T21" s="161"/>
    </row>
    <row r="22" spans="2:20" x14ac:dyDescent="0.2">
      <c r="B22" s="107" t="s">
        <v>12</v>
      </c>
      <c r="C22" s="107" t="s">
        <v>127</v>
      </c>
      <c r="D22" s="107" t="s">
        <v>131</v>
      </c>
      <c r="E22" s="107" t="s">
        <v>132</v>
      </c>
      <c r="F22" s="107" t="s">
        <v>129</v>
      </c>
      <c r="G22" s="148">
        <v>0</v>
      </c>
      <c r="H22" s="148">
        <v>415.81471295327373</v>
      </c>
      <c r="I22" s="155"/>
      <c r="J22" s="148">
        <v>0</v>
      </c>
      <c r="K22" s="148">
        <v>426.66928934112502</v>
      </c>
      <c r="L22" s="160"/>
      <c r="M22" s="160"/>
      <c r="N22" s="162"/>
      <c r="O22" s="160"/>
      <c r="P22" s="160"/>
      <c r="R22" s="161"/>
      <c r="T22" s="161"/>
    </row>
    <row r="23" spans="2:20" x14ac:dyDescent="0.2">
      <c r="B23" s="107" t="s">
        <v>12</v>
      </c>
      <c r="C23" s="107" t="s">
        <v>127</v>
      </c>
      <c r="D23" s="107" t="s">
        <v>131</v>
      </c>
      <c r="E23" s="107" t="s">
        <v>132</v>
      </c>
      <c r="F23" s="107" t="s">
        <v>99</v>
      </c>
      <c r="G23" s="148">
        <v>0</v>
      </c>
      <c r="H23" s="148">
        <v>138.60487080740845</v>
      </c>
      <c r="I23" s="155"/>
      <c r="J23" s="148">
        <v>0</v>
      </c>
      <c r="K23" s="148">
        <v>142.22306206192599</v>
      </c>
      <c r="L23" s="160"/>
      <c r="M23" s="160"/>
      <c r="N23" s="162"/>
      <c r="O23" s="160"/>
      <c r="P23" s="160"/>
      <c r="R23" s="161"/>
      <c r="T23" s="161"/>
    </row>
    <row r="24" spans="2:20" x14ac:dyDescent="0.2">
      <c r="B24" s="107" t="s">
        <v>12</v>
      </c>
      <c r="C24" s="107" t="s">
        <v>158</v>
      </c>
      <c r="D24" s="107" t="s">
        <v>131</v>
      </c>
      <c r="E24" s="107" t="s">
        <v>132</v>
      </c>
      <c r="F24" s="107" t="s">
        <v>96</v>
      </c>
      <c r="G24" s="148">
        <v>0</v>
      </c>
      <c r="H24" s="148">
        <v>203.83072193179135</v>
      </c>
      <c r="I24" s="155"/>
      <c r="J24" s="148">
        <v>0</v>
      </c>
      <c r="K24" s="148">
        <v>209.151592195582</v>
      </c>
      <c r="L24" s="160"/>
      <c r="M24" s="160"/>
      <c r="N24" s="160"/>
      <c r="O24" s="160"/>
      <c r="P24" s="160"/>
      <c r="R24" s="161"/>
      <c r="T24" s="161"/>
    </row>
    <row r="25" spans="2:20" x14ac:dyDescent="0.2">
      <c r="B25" s="107" t="s">
        <v>12</v>
      </c>
      <c r="C25" s="107" t="s">
        <v>120</v>
      </c>
      <c r="D25" s="107" t="s">
        <v>131</v>
      </c>
      <c r="E25" s="107" t="s">
        <v>132</v>
      </c>
      <c r="F25" s="107" t="s">
        <v>96</v>
      </c>
      <c r="G25" s="148">
        <v>0</v>
      </c>
      <c r="H25" s="148">
        <v>203.83072193179135</v>
      </c>
      <c r="I25" s="155"/>
      <c r="J25" s="148">
        <v>0</v>
      </c>
      <c r="K25" s="148">
        <v>209.151592195582</v>
      </c>
      <c r="L25" s="160"/>
      <c r="M25" s="160"/>
      <c r="N25" s="160"/>
      <c r="O25" s="160"/>
      <c r="P25" s="160"/>
      <c r="R25" s="161"/>
      <c r="T25" s="161"/>
    </row>
    <row r="26" spans="2:20" x14ac:dyDescent="0.2">
      <c r="B26" s="107" t="s">
        <v>12</v>
      </c>
      <c r="C26" s="107" t="s">
        <v>127</v>
      </c>
      <c r="D26" s="107" t="s">
        <v>131</v>
      </c>
      <c r="E26" s="107" t="s">
        <v>133</v>
      </c>
      <c r="F26" s="107" t="s">
        <v>97</v>
      </c>
      <c r="G26" s="148">
        <v>0</v>
      </c>
      <c r="H26" s="148">
        <v>693.02445456809062</v>
      </c>
      <c r="I26" s="155"/>
      <c r="J26" s="148">
        <v>0</v>
      </c>
      <c r="K26" s="148">
        <v>711.11541346497802</v>
      </c>
      <c r="L26" s="160"/>
      <c r="M26" s="160"/>
      <c r="N26" s="160"/>
      <c r="O26" s="160"/>
      <c r="P26" s="160"/>
      <c r="R26" s="161"/>
      <c r="T26" s="161"/>
    </row>
    <row r="27" spans="2:20" x14ac:dyDescent="0.2">
      <c r="B27" s="107" t="s">
        <v>12</v>
      </c>
      <c r="C27" s="107" t="s">
        <v>127</v>
      </c>
      <c r="D27" s="107" t="s">
        <v>131</v>
      </c>
      <c r="E27" s="107" t="s">
        <v>133</v>
      </c>
      <c r="F27" s="107" t="s">
        <v>129</v>
      </c>
      <c r="G27" s="148">
        <v>0</v>
      </c>
      <c r="H27" s="148">
        <v>415.81471295327373</v>
      </c>
      <c r="I27" s="155"/>
      <c r="J27" s="148">
        <v>0</v>
      </c>
      <c r="K27" s="148">
        <v>426.66928934112502</v>
      </c>
      <c r="L27" s="162"/>
      <c r="M27" s="160"/>
      <c r="N27" s="162"/>
      <c r="O27" s="160"/>
      <c r="P27" s="160"/>
      <c r="R27" s="161"/>
      <c r="T27" s="161"/>
    </row>
    <row r="28" spans="2:20" x14ac:dyDescent="0.2">
      <c r="B28" s="107" t="s">
        <v>12</v>
      </c>
      <c r="C28" s="107" t="s">
        <v>127</v>
      </c>
      <c r="D28" s="107" t="s">
        <v>131</v>
      </c>
      <c r="E28" s="107" t="s">
        <v>133</v>
      </c>
      <c r="F28" s="107" t="s">
        <v>99</v>
      </c>
      <c r="G28" s="148">
        <v>0</v>
      </c>
      <c r="H28" s="148">
        <v>138.60487080740845</v>
      </c>
      <c r="I28" s="155"/>
      <c r="J28" s="148">
        <v>0</v>
      </c>
      <c r="K28" s="148">
        <v>142.22306206192599</v>
      </c>
      <c r="L28" s="160"/>
      <c r="M28" s="160"/>
      <c r="N28" s="160"/>
      <c r="O28" s="160"/>
      <c r="P28" s="160"/>
      <c r="R28" s="161"/>
      <c r="T28" s="161"/>
    </row>
    <row r="29" spans="2:20" x14ac:dyDescent="0.2">
      <c r="B29" s="107" t="s">
        <v>12</v>
      </c>
      <c r="C29" s="107" t="s">
        <v>158</v>
      </c>
      <c r="D29" s="107" t="s">
        <v>131</v>
      </c>
      <c r="E29" s="107" t="s">
        <v>133</v>
      </c>
      <c r="F29" s="107" t="s">
        <v>96</v>
      </c>
      <c r="G29" s="148">
        <v>0</v>
      </c>
      <c r="H29" s="148">
        <v>203.83072193179135</v>
      </c>
      <c r="I29" s="155"/>
      <c r="J29" s="148">
        <v>0</v>
      </c>
      <c r="K29" s="148">
        <v>209.151592195582</v>
      </c>
      <c r="L29" s="160"/>
      <c r="M29" s="160"/>
      <c r="N29" s="160"/>
      <c r="O29" s="160"/>
      <c r="P29" s="160"/>
      <c r="R29" s="161"/>
      <c r="T29" s="161"/>
    </row>
    <row r="30" spans="2:20" x14ac:dyDescent="0.2">
      <c r="B30" s="107" t="s">
        <v>12</v>
      </c>
      <c r="C30" s="107" t="s">
        <v>120</v>
      </c>
      <c r="D30" s="107" t="s">
        <v>131</v>
      </c>
      <c r="E30" s="107" t="s">
        <v>133</v>
      </c>
      <c r="F30" s="107" t="s">
        <v>96</v>
      </c>
      <c r="G30" s="148">
        <v>0</v>
      </c>
      <c r="H30" s="148">
        <v>203.83072193179135</v>
      </c>
      <c r="I30" s="155"/>
      <c r="J30" s="148">
        <v>0</v>
      </c>
      <c r="K30" s="148">
        <v>209.151592195582</v>
      </c>
      <c r="L30" s="160"/>
      <c r="M30" s="160"/>
      <c r="N30" s="160"/>
      <c r="O30" s="160"/>
      <c r="P30" s="160"/>
      <c r="R30" s="161"/>
      <c r="T30" s="161"/>
    </row>
    <row r="31" spans="2:20" x14ac:dyDescent="0.2">
      <c r="B31" s="107" t="s">
        <v>10</v>
      </c>
      <c r="C31" s="107" t="s">
        <v>127</v>
      </c>
      <c r="D31" s="107" t="s">
        <v>96</v>
      </c>
      <c r="E31" s="107" t="s">
        <v>96</v>
      </c>
      <c r="F31" s="107" t="s">
        <v>97</v>
      </c>
      <c r="G31" s="148">
        <v>0</v>
      </c>
      <c r="H31" s="148">
        <v>693.02445456809062</v>
      </c>
      <c r="I31" s="155"/>
      <c r="J31" s="148">
        <v>0</v>
      </c>
      <c r="K31" s="148">
        <v>711.11541346497802</v>
      </c>
      <c r="L31" s="162"/>
      <c r="M31" s="160"/>
      <c r="N31" s="162"/>
      <c r="O31" s="160"/>
      <c r="P31" s="160"/>
      <c r="R31" s="161"/>
      <c r="T31" s="161"/>
    </row>
    <row r="32" spans="2:20" x14ac:dyDescent="0.2">
      <c r="B32" s="107" t="s">
        <v>10</v>
      </c>
      <c r="C32" s="107" t="s">
        <v>127</v>
      </c>
      <c r="D32" s="107" t="s">
        <v>96</v>
      </c>
      <c r="E32" s="107" t="s">
        <v>96</v>
      </c>
      <c r="F32" s="107" t="s">
        <v>129</v>
      </c>
      <c r="G32" s="148">
        <v>0</v>
      </c>
      <c r="H32" s="148">
        <v>415.81471295327373</v>
      </c>
      <c r="I32" s="155"/>
      <c r="J32" s="148">
        <v>0</v>
      </c>
      <c r="K32" s="148">
        <v>426.66928934112502</v>
      </c>
      <c r="L32" s="160"/>
      <c r="M32" s="160"/>
      <c r="N32" s="160"/>
      <c r="O32" s="160"/>
      <c r="P32" s="160"/>
      <c r="R32" s="161"/>
      <c r="T32" s="161"/>
    </row>
    <row r="33" spans="2:20" x14ac:dyDescent="0.2">
      <c r="B33" s="107" t="s">
        <v>10</v>
      </c>
      <c r="C33" s="107" t="s">
        <v>127</v>
      </c>
      <c r="D33" s="107" t="s">
        <v>96</v>
      </c>
      <c r="E33" s="107" t="s">
        <v>96</v>
      </c>
      <c r="F33" s="107" t="s">
        <v>99</v>
      </c>
      <c r="G33" s="148">
        <v>0</v>
      </c>
      <c r="H33" s="148">
        <v>138.60487080740845</v>
      </c>
      <c r="I33" s="155"/>
      <c r="J33" s="148">
        <v>0</v>
      </c>
      <c r="K33" s="148">
        <v>142.22306206192599</v>
      </c>
      <c r="L33" s="160"/>
      <c r="M33" s="160"/>
      <c r="N33" s="160"/>
      <c r="O33" s="160"/>
      <c r="P33" s="160"/>
      <c r="R33" s="161"/>
      <c r="T33" s="161"/>
    </row>
    <row r="34" spans="2:20" x14ac:dyDescent="0.2">
      <c r="B34" s="107" t="s">
        <v>10</v>
      </c>
      <c r="C34" s="107" t="s">
        <v>158</v>
      </c>
      <c r="D34" s="107" t="s">
        <v>96</v>
      </c>
      <c r="E34" s="107" t="s">
        <v>96</v>
      </c>
      <c r="F34" s="107" t="s">
        <v>96</v>
      </c>
      <c r="G34" s="148">
        <v>0</v>
      </c>
      <c r="H34" s="148">
        <v>203.83072193179135</v>
      </c>
      <c r="I34" s="155"/>
      <c r="J34" s="148">
        <v>0</v>
      </c>
      <c r="K34" s="148">
        <v>209.151592195582</v>
      </c>
      <c r="L34" s="160"/>
      <c r="M34" s="160"/>
      <c r="N34" s="160"/>
      <c r="O34" s="160"/>
      <c r="P34" s="160"/>
      <c r="R34" s="161"/>
      <c r="T34" s="161"/>
    </row>
    <row r="35" spans="2:20" x14ac:dyDescent="0.2">
      <c r="B35" s="107" t="s">
        <v>10</v>
      </c>
      <c r="C35" s="107" t="s">
        <v>120</v>
      </c>
      <c r="D35" s="107" t="s">
        <v>96</v>
      </c>
      <c r="E35" s="107" t="s">
        <v>96</v>
      </c>
      <c r="F35" s="107" t="s">
        <v>96</v>
      </c>
      <c r="G35" s="148">
        <v>0</v>
      </c>
      <c r="H35" s="148">
        <v>203.83072193179135</v>
      </c>
      <c r="I35" s="155"/>
      <c r="J35" s="148">
        <v>0</v>
      </c>
      <c r="K35" s="148">
        <v>209.151592195582</v>
      </c>
      <c r="L35" s="162"/>
      <c r="M35" s="160"/>
      <c r="N35" s="162"/>
      <c r="O35" s="160"/>
      <c r="P35" s="160"/>
      <c r="R35" s="161"/>
      <c r="T35" s="161"/>
    </row>
    <row r="36" spans="2:20" x14ac:dyDescent="0.2">
      <c r="B36" s="107" t="s">
        <v>134</v>
      </c>
      <c r="C36" s="107" t="s">
        <v>120</v>
      </c>
      <c r="D36" s="107" t="s">
        <v>135</v>
      </c>
      <c r="E36" s="107" t="s">
        <v>161</v>
      </c>
      <c r="F36" s="107" t="s">
        <v>96</v>
      </c>
      <c r="G36" s="148">
        <v>0</v>
      </c>
      <c r="H36" s="148">
        <v>112.10689706248526</v>
      </c>
      <c r="I36" s="155"/>
      <c r="J36" s="148">
        <v>0</v>
      </c>
      <c r="K36" s="148">
        <v>115.03337570757</v>
      </c>
      <c r="L36" s="162"/>
      <c r="M36" s="160"/>
      <c r="N36" s="162"/>
      <c r="O36" s="160"/>
      <c r="P36" s="160"/>
      <c r="R36" s="161"/>
      <c r="T36" s="161"/>
    </row>
    <row r="37" spans="2:20" x14ac:dyDescent="0.2">
      <c r="B37" s="107" t="s">
        <v>134</v>
      </c>
      <c r="C37" s="107" t="s">
        <v>120</v>
      </c>
      <c r="D37" s="107" t="s">
        <v>135</v>
      </c>
      <c r="E37" s="107" t="s">
        <v>162</v>
      </c>
      <c r="F37" s="107" t="s">
        <v>96</v>
      </c>
      <c r="G37" s="148">
        <v>0</v>
      </c>
      <c r="H37" s="148">
        <v>122.2984331590748</v>
      </c>
      <c r="I37" s="155"/>
      <c r="J37" s="148">
        <v>0</v>
      </c>
      <c r="K37" s="148">
        <v>125.49095531734901</v>
      </c>
      <c r="L37" s="162"/>
      <c r="M37" s="160"/>
      <c r="N37" s="162"/>
      <c r="O37" s="160"/>
      <c r="P37" s="160"/>
      <c r="R37" s="161"/>
      <c r="T37" s="161"/>
    </row>
    <row r="38" spans="2:20" x14ac:dyDescent="0.2">
      <c r="B38" s="107" t="s">
        <v>163</v>
      </c>
      <c r="C38" s="107" t="s">
        <v>104</v>
      </c>
      <c r="D38" s="107" t="s">
        <v>164</v>
      </c>
      <c r="E38" s="107" t="s">
        <v>96</v>
      </c>
      <c r="F38" s="107" t="s">
        <v>96</v>
      </c>
      <c r="G38" s="148">
        <v>0</v>
      </c>
      <c r="H38" s="265">
        <v>2.9313848411420298</v>
      </c>
      <c r="I38" s="155"/>
      <c r="J38" s="148">
        <v>0</v>
      </c>
      <c r="K38" s="265">
        <v>3.0079067622986302</v>
      </c>
      <c r="L38" s="162"/>
      <c r="M38" s="160"/>
      <c r="N38" s="162"/>
      <c r="O38" s="160"/>
      <c r="P38" s="160"/>
      <c r="R38" s="161"/>
      <c r="T38" s="161"/>
    </row>
    <row r="39" spans="2:20" x14ac:dyDescent="0.2">
      <c r="B39" s="107" t="s">
        <v>163</v>
      </c>
      <c r="C39" s="107" t="s">
        <v>104</v>
      </c>
      <c r="D39" s="107" t="s">
        <v>165</v>
      </c>
      <c r="E39" s="107" t="s">
        <v>96</v>
      </c>
      <c r="F39" s="107" t="s">
        <v>96</v>
      </c>
      <c r="G39" s="148">
        <v>0</v>
      </c>
      <c r="H39" s="265">
        <v>11.6909566839085</v>
      </c>
      <c r="I39" s="155"/>
      <c r="J39" s="148">
        <v>0</v>
      </c>
      <c r="K39" s="265">
        <v>11.996141609836799</v>
      </c>
      <c r="L39" s="160"/>
      <c r="M39" s="160"/>
      <c r="N39" s="160"/>
      <c r="O39" s="160"/>
      <c r="P39" s="160"/>
      <c r="R39" s="161"/>
      <c r="T39" s="161"/>
    </row>
    <row r="40" spans="2:20" x14ac:dyDescent="0.2">
      <c r="K40" s="163"/>
      <c r="L40" s="160"/>
      <c r="M40" s="160"/>
      <c r="N40" s="160"/>
      <c r="O40" s="160"/>
      <c r="P40" s="160"/>
      <c r="R40" s="161"/>
      <c r="T40" s="161"/>
    </row>
    <row r="41" spans="2:20" x14ac:dyDescent="0.2">
      <c r="K41" s="163"/>
      <c r="L41" s="160"/>
      <c r="M41" s="160"/>
      <c r="N41" s="160"/>
      <c r="O41" s="160"/>
      <c r="P41" s="160"/>
      <c r="R41" s="161"/>
      <c r="T41" s="161"/>
    </row>
    <row r="42" spans="2:20" x14ac:dyDescent="0.2">
      <c r="K42" s="163"/>
      <c r="L42" s="162"/>
      <c r="M42" s="162"/>
      <c r="N42" s="162"/>
      <c r="O42" s="160"/>
      <c r="P42" s="160"/>
      <c r="R42" s="161"/>
      <c r="T42" s="161"/>
    </row>
    <row r="43" spans="2:20" x14ac:dyDescent="0.2">
      <c r="K43" s="163"/>
      <c r="L43" s="162"/>
      <c r="M43" s="162"/>
      <c r="N43" s="162"/>
      <c r="O43" s="160"/>
      <c r="P43" s="160"/>
      <c r="R43" s="161"/>
      <c r="T43" s="161"/>
    </row>
    <row r="44" spans="2:20" x14ac:dyDescent="0.2">
      <c r="K44" s="163"/>
      <c r="L44" s="162"/>
      <c r="M44" s="160"/>
      <c r="N44" s="162"/>
      <c r="O44" s="160"/>
      <c r="P44" s="160"/>
      <c r="R44" s="161"/>
      <c r="T44" s="161"/>
    </row>
    <row r="45" spans="2:20" x14ac:dyDescent="0.2">
      <c r="K45" s="163"/>
      <c r="L45" s="162"/>
      <c r="M45" s="160"/>
      <c r="N45" s="160"/>
      <c r="O45" s="160"/>
      <c r="P45" s="160"/>
      <c r="R45" s="161"/>
      <c r="T45" s="161"/>
    </row>
  </sheetData>
  <customSheetViews>
    <customSheetView guid="{93A7E07A-AC2D-4310-B7ED-B74DACBA50A7}" showGridLines="0" state="hidden" topLeftCell="A3">
      <selection activeCell="K38" sqref="K38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  <customSheetView guid="{EB662AE4-4B22-40EC-8355-9AD94D059B97}" showGridLines="0" state="hidden" topLeftCell="A3">
      <selection activeCell="K38" sqref="K38"/>
      <pageMargins left="0.511811024" right="0.511811024" top="0.78740157499999996" bottom="0.78740157499999996" header="0.31496062000000002" footer="0.31496062000000002"/>
      <pageSetup paperSize="9" orientation="portrait" horizontalDpi="300" verticalDpi="300" r:id="rId2"/>
    </customSheetView>
    <customSheetView guid="{E99E9347-E83C-4BCD-9209-A3E8998220A9}" showGridLines="0" state="hidden">
      <selection activeCell="H7" sqref="H7"/>
      <pageMargins left="0.511811024" right="0.511811024" top="0.78740157499999996" bottom="0.78740157499999996" header="0.31496062000000002" footer="0.31496062000000002"/>
      <pageSetup paperSize="9" orientation="portrait" horizontalDpi="300" verticalDpi="300" r:id="rId3"/>
    </customSheetView>
    <customSheetView guid="{A8592FA0-1011-4F02-BFB0-BB1C65ED9311}" showGridLines="0" state="hidden" topLeftCell="A3">
      <selection activeCell="K38" sqref="K38"/>
      <pageMargins left="0.511811024" right="0.511811024" top="0.78740157499999996" bottom="0.78740157499999996" header="0.31496062000000002" footer="0.31496062000000002"/>
      <pageSetup paperSize="9" orientation="portrait" horizontalDpi="300" verticalDpi="300" r:id="rId4"/>
    </customSheetView>
  </customSheetViews>
  <mergeCells count="8">
    <mergeCell ref="Q5:R5"/>
    <mergeCell ref="B4:B6"/>
    <mergeCell ref="C4:C6"/>
    <mergeCell ref="D4:D6"/>
    <mergeCell ref="E4:E6"/>
    <mergeCell ref="F4:F6"/>
    <mergeCell ref="G4:K4"/>
    <mergeCell ref="J5:K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833C-3963-4E14-8975-FAAD68AE8DC5}">
  <dimension ref="A1:AG147"/>
  <sheetViews>
    <sheetView showGridLines="0" zoomScale="80" zoomScaleNormal="80" workbookViewId="0">
      <selection activeCell="S27" sqref="S27"/>
    </sheetView>
  </sheetViews>
  <sheetFormatPr defaultColWidth="9.109375" defaultRowHeight="14.4" x14ac:dyDescent="0.3"/>
  <cols>
    <col min="1" max="1" width="5.44140625" style="14" customWidth="1"/>
    <col min="2" max="2" width="32" style="14" customWidth="1"/>
    <col min="3" max="3" width="12.88671875" style="14" customWidth="1"/>
    <col min="4" max="10" width="12.6640625" style="14" customWidth="1"/>
    <col min="11" max="12" width="14.33203125" style="14" customWidth="1"/>
    <col min="13" max="15" width="12.6640625" style="14" customWidth="1"/>
    <col min="16" max="16" width="14" style="14" customWidth="1"/>
    <col min="17" max="17" width="14.33203125" style="14" bestFit="1" customWidth="1"/>
    <col min="18" max="18" width="12.109375" style="14" bestFit="1" customWidth="1"/>
    <col min="19" max="19" width="13.109375" style="14" bestFit="1" customWidth="1"/>
    <col min="20" max="20" width="11.3320312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32" width="9.109375" style="14"/>
    <col min="33" max="33" width="13.88671875" style="14" bestFit="1" customWidth="1"/>
    <col min="34" max="16384" width="9.109375" style="14"/>
  </cols>
  <sheetData>
    <row r="1" spans="1:25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5" ht="18" x14ac:dyDescent="0.3">
      <c r="B2" s="17" t="s">
        <v>23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5" x14ac:dyDescent="0.3">
      <c r="M3" s="20" t="s">
        <v>22</v>
      </c>
      <c r="N3" s="165">
        <f>'B1 (Res) Branca OK'!N3</f>
        <v>0</v>
      </c>
    </row>
    <row r="4" spans="1:25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</row>
    <row r="5" spans="1:25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</row>
    <row r="6" spans="1:25" x14ac:dyDescent="0.3">
      <c r="B6" s="27" t="s">
        <v>143</v>
      </c>
      <c r="C6" s="28">
        <f>'TABELA DE TARIFAS ANTIGAS'!G74/1000</f>
        <v>1.0610299999999999</v>
      </c>
      <c r="D6" s="28">
        <f>'TABELA DE TARIFAS ANTIGAS'!H74/1000</f>
        <v>0.48448000000000002</v>
      </c>
      <c r="E6" s="28">
        <f t="shared" ref="E6:E8" si="0">C6+D6</f>
        <v>1.5455099999999999</v>
      </c>
      <c r="F6" s="28">
        <f>'TABELA DE TARIFAS NOVAS'!G76/1000</f>
        <v>1.1286700000000001</v>
      </c>
      <c r="G6" s="28">
        <f>'TABELA DE TARIFAS NOVAS'!H76/1000</f>
        <v>0.51690999999999998</v>
      </c>
      <c r="H6" s="28">
        <f t="shared" ref="H6:H9" si="1">F6+G6</f>
        <v>1.64558</v>
      </c>
      <c r="I6" s="28">
        <f>((C6*$C$15)+(F6*$D$15))/($D$15+$C$15)</f>
        <v>1.0903406666666666</v>
      </c>
      <c r="J6" s="28">
        <f>((D6*$C$15)+(G6*$D$15))/($D$15+$C$15)</f>
        <v>0.498533</v>
      </c>
      <c r="K6" s="29">
        <f t="shared" ref="K6:K9" si="2">I6+J6</f>
        <v>1.5888736666666667</v>
      </c>
      <c r="M6" s="7" t="s">
        <v>37</v>
      </c>
      <c r="N6" s="8">
        <f>'B1 (Res) Branca OK'!N6</f>
        <v>7.8770000000000007E-2</v>
      </c>
      <c r="Q6" s="27" t="str">
        <f>B6</f>
        <v>B2 Ponta</v>
      </c>
      <c r="R6" s="28">
        <f>'FIO B'!H16/1000</f>
        <v>0.69302445456809059</v>
      </c>
      <c r="S6"/>
      <c r="T6"/>
      <c r="U6" s="28">
        <f>'FIO B'!K16/1000</f>
        <v>0.71111541346497797</v>
      </c>
      <c r="V6"/>
      <c r="W6"/>
      <c r="X6" s="28">
        <f>((R6*$C$15)+(U6*$D$15))/($D$15+$C$15)</f>
        <v>0.70086387009007511</v>
      </c>
      <c r="Y6"/>
    </row>
    <row r="7" spans="1:25" customFormat="1" x14ac:dyDescent="0.3">
      <c r="B7" s="27" t="s">
        <v>144</v>
      </c>
      <c r="C7" s="28">
        <f>'TABELA DE TARIFAS ANTIGAS'!G76/1000</f>
        <v>0.38965</v>
      </c>
      <c r="D7" s="28">
        <f>'TABELA DE TARIFAS ANTIGAS'!H76/1000</f>
        <v>0.30579000000000001</v>
      </c>
      <c r="E7" s="28">
        <f t="shared" si="0"/>
        <v>0.69544000000000006</v>
      </c>
      <c r="F7" s="28">
        <f>'TABELA DE TARIFAS NOVAS'!G78/1000</f>
        <v>0.42333999999999999</v>
      </c>
      <c r="G7" s="28">
        <f>'TABELA DE TARIFAS NOVAS'!H78/1000</f>
        <v>0.32106999999999997</v>
      </c>
      <c r="H7" s="28">
        <f t="shared" si="1"/>
        <v>0.74441000000000002</v>
      </c>
      <c r="I7" s="28">
        <f>((C7*$C$15)+(F7*$D$15))/($D$15+$C$15)</f>
        <v>0.40424899999999997</v>
      </c>
      <c r="J7" s="28">
        <f>((D7*$C$15)+(G7*$D$15))/($D$15+$C$15)</f>
        <v>0.31241133333333332</v>
      </c>
      <c r="K7" s="29">
        <f t="shared" si="2"/>
        <v>0.71666033333333323</v>
      </c>
      <c r="M7" s="20" t="s">
        <v>149</v>
      </c>
      <c r="N7" s="142">
        <f>'B1 (Res) Branca OK'!N7</f>
        <v>0.14199999999999999</v>
      </c>
      <c r="Q7" s="27" t="str">
        <f t="shared" ref="Q7:Q8" si="3">B7</f>
        <v>B2 Fora Ponta</v>
      </c>
      <c r="R7" s="28">
        <f>'FIO B'!H18/1000</f>
        <v>0.13860487080740844</v>
      </c>
      <c r="U7" s="28">
        <f>'FIO B'!K18/1000</f>
        <v>0.14222306206192598</v>
      </c>
      <c r="X7" s="28">
        <f t="shared" ref="X7:X8" si="4">((R7*$C$15)+(U7*$D$15))/($D$15+$C$15)</f>
        <v>0.14017275368436605</v>
      </c>
    </row>
    <row r="8" spans="1:25" customFormat="1" x14ac:dyDescent="0.3">
      <c r="B8" s="27" t="s">
        <v>145</v>
      </c>
      <c r="C8" s="28">
        <f>'TABELA DE TARIFAS ANTIGAS'!G75/1000</f>
        <v>0.72533999999999998</v>
      </c>
      <c r="D8" s="28">
        <f>'TABELA DE TARIFAS ANTIGAS'!H75/1000</f>
        <v>0.30579000000000001</v>
      </c>
      <c r="E8" s="28">
        <f t="shared" si="0"/>
        <v>1.0311300000000001</v>
      </c>
      <c r="F8" s="28">
        <f>'TABELA DE TARIFAS NOVAS'!G77/1000</f>
        <v>0.77600999999999998</v>
      </c>
      <c r="G8" s="28">
        <f>'TABELA DE TARIFAS NOVAS'!H77/1000</f>
        <v>0.32106999999999997</v>
      </c>
      <c r="H8" s="28">
        <f t="shared" si="1"/>
        <v>1.0970800000000001</v>
      </c>
      <c r="I8" s="28">
        <f>((C8*$C$15)+(F8*$D$15))/($D$15+$C$15)</f>
        <v>0.74729699999999988</v>
      </c>
      <c r="J8" s="28">
        <f t="shared" ref="J8" si="5">((D8*$C$15)+(G8*$D$15))/($D$15+$C$15)</f>
        <v>0.31241133333333332</v>
      </c>
      <c r="K8" s="29">
        <f t="shared" si="2"/>
        <v>1.0597083333333333</v>
      </c>
      <c r="Q8" s="27" t="str">
        <f t="shared" si="3"/>
        <v>B2 Interm.</v>
      </c>
      <c r="R8" s="28">
        <f>'FIO B'!H17/1000</f>
        <v>0.41581471295327371</v>
      </c>
      <c r="U8" s="28">
        <f>'FIO B'!K17/1000</f>
        <v>0.42666928934112502</v>
      </c>
      <c r="X8" s="28">
        <f t="shared" si="4"/>
        <v>0.42051836272134258</v>
      </c>
    </row>
    <row r="9" spans="1:25" customFormat="1" x14ac:dyDescent="0.3">
      <c r="B9" s="184" t="s">
        <v>182</v>
      </c>
      <c r="C9" s="29">
        <f>'B1 (Res) Branca OK'!C9</f>
        <v>1.8774721494831901E-4</v>
      </c>
      <c r="D9" s="29">
        <f>'B1 (Res) Branca OK'!D9</f>
        <v>-4.4031307414479802E-3</v>
      </c>
      <c r="E9" s="29">
        <f>SUM(C9+D9)</f>
        <v>-4.2153835264996612E-3</v>
      </c>
      <c r="F9" s="29">
        <f>T13</f>
        <v>1.84189231569235E-4</v>
      </c>
      <c r="G9" s="29">
        <f>U13</f>
        <v>-5.3182974871251499E-4</v>
      </c>
      <c r="H9" s="29">
        <f t="shared" si="1"/>
        <v>-3.4764051714327999E-4</v>
      </c>
      <c r="I9" s="28">
        <f>((C9*$C$15)+(F9*$D$15))/($D$15+$C$15)</f>
        <v>1.8620542215071594E-4</v>
      </c>
      <c r="J9" s="28">
        <f>((D9*$C$15)+(G9*$D$15))/($D$15+$C$15)</f>
        <v>-2.7255669779292784E-3</v>
      </c>
      <c r="K9" s="29">
        <f t="shared" si="2"/>
        <v>-2.5393615557785625E-3</v>
      </c>
    </row>
    <row r="10" spans="1:25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</row>
    <row r="11" spans="1:25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v>45968</v>
      </c>
      <c r="P11" s="173" t="s">
        <v>179</v>
      </c>
      <c r="Q11" s="174"/>
      <c r="R11" s="175"/>
      <c r="S11" s="175"/>
      <c r="T11" s="176"/>
      <c r="U11" s="176"/>
    </row>
    <row r="12" spans="1:25" x14ac:dyDescent="0.3">
      <c r="B12" s="34" t="s">
        <v>34</v>
      </c>
      <c r="C12" s="260">
        <v>1831902</v>
      </c>
      <c r="E12" s="16"/>
      <c r="F12" s="16"/>
      <c r="G12" s="16"/>
      <c r="H12" s="35">
        <f>E15</f>
        <v>46253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v>0</v>
      </c>
    </row>
    <row r="13" spans="1:25" x14ac:dyDescent="0.3">
      <c r="B13" s="36"/>
      <c r="H13" s="37"/>
      <c r="K13" s="20" t="str">
        <f>'B1 (Res) Branca OK'!K13</f>
        <v>BAM</v>
      </c>
      <c r="L13" s="20" t="str">
        <f>'B1 (Res) Branca OK'!L13</f>
        <v>BAM</v>
      </c>
      <c r="P13" s="181" t="s">
        <v>181</v>
      </c>
      <c r="Q13" s="182"/>
      <c r="R13" s="183"/>
      <c r="S13" s="183"/>
      <c r="T13" s="197">
        <f>'B1 (Res) Branca OK'!T13</f>
        <v>1.84189231569235E-4</v>
      </c>
      <c r="U13" s="197">
        <f>'B1 (Res) Branca OK'!U13</f>
        <v>-5.3182974871251499E-4</v>
      </c>
    </row>
    <row r="14" spans="1:25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5" x14ac:dyDescent="0.3">
      <c r="B15" s="40">
        <v>46223</v>
      </c>
      <c r="C15" s="41">
        <f>IF((F2-B15-1)&lt;0,0,(F2-B15-1))</f>
        <v>17</v>
      </c>
      <c r="D15" s="41">
        <f>E15-F2+1</f>
        <v>13</v>
      </c>
      <c r="E15" s="40">
        <v>46253</v>
      </c>
      <c r="F15" s="42"/>
      <c r="G15" s="42"/>
      <c r="H15" s="43"/>
      <c r="J15" s="44">
        <f>B15</f>
        <v>46223</v>
      </c>
      <c r="K15" s="45">
        <f>IF((M11-J15-1)&lt;0,0,(M11-J15-1))</f>
        <v>0</v>
      </c>
      <c r="L15" s="45">
        <f>M15-M11+1</f>
        <v>286</v>
      </c>
      <c r="M15" s="44">
        <f>E15</f>
        <v>46253</v>
      </c>
      <c r="O15" s="256" t="s">
        <v>151</v>
      </c>
      <c r="P15" s="259"/>
      <c r="Q15" s="258">
        <v>1025310390</v>
      </c>
    </row>
    <row r="16" spans="1:25" x14ac:dyDescent="0.3">
      <c r="B16" s="16"/>
      <c r="C16" s="16"/>
      <c r="D16" s="16"/>
      <c r="E16" s="16"/>
      <c r="F16" s="16"/>
      <c r="G16" s="16"/>
      <c r="H16" s="16"/>
      <c r="J16" s="237"/>
      <c r="K16" s="238"/>
      <c r="L16" s="238"/>
      <c r="M16" s="237"/>
    </row>
    <row r="17" spans="2:33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33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33" x14ac:dyDescent="0.3">
      <c r="B19" s="205" t="s">
        <v>211</v>
      </c>
      <c r="C19" s="206" t="s">
        <v>204</v>
      </c>
      <c r="D19" s="207">
        <v>0</v>
      </c>
      <c r="E19" s="208">
        <f>IFERROR((ROUND(D19*K19,2)+ROUND(G19,2)+ROUND(J19,2))/ROUND(D19,4), 0)</f>
        <v>0</v>
      </c>
      <c r="F19" s="209">
        <f>ROUND(D19*E19,2)</f>
        <v>0</v>
      </c>
      <c r="G19" s="209">
        <f>((D19*K19)/(1-$N$19-$N$20))*($N$19+$N$20)</f>
        <v>0</v>
      </c>
      <c r="H19" s="210">
        <f>(IF($I$19=12%,(D19*K19)/(1-$N$19-$N$20)/(1-$C$85)/$F$85*$C$85,(D19*K19)/(1-$N$19-$N$20)/(1-$I$19)))</f>
        <v>0</v>
      </c>
      <c r="I19" s="262">
        <v>0.12</v>
      </c>
      <c r="J19" s="210">
        <f>H19*$I$19</f>
        <v>0</v>
      </c>
      <c r="K19" s="208">
        <f>IF(AND($B$15&lt;$F$2,$E$15&lt;$F$2),C6,IF($B$15&lt;$F$2,I6,F6))</f>
        <v>1.0903406666666666</v>
      </c>
      <c r="L19" s="47" t="s">
        <v>27</v>
      </c>
      <c r="M19" s="209">
        <f>D52</f>
        <v>265</v>
      </c>
      <c r="N19" s="212">
        <f>'B1 (Res) Branca OK'!N19</f>
        <v>1.0999999999999999E-2</v>
      </c>
      <c r="O19" s="213">
        <f>ROUND(M19*N19,2)</f>
        <v>2.92</v>
      </c>
      <c r="P19" s="16"/>
      <c r="Q19" s="16"/>
      <c r="R19" s="230"/>
      <c r="S19" s="231"/>
      <c r="T19" s="16"/>
      <c r="U19" s="16"/>
      <c r="V19" s="16"/>
    </row>
    <row r="20" spans="2:33" x14ac:dyDescent="0.3">
      <c r="B20" s="205" t="s">
        <v>212</v>
      </c>
      <c r="C20" s="206" t="s">
        <v>204</v>
      </c>
      <c r="D20" s="207">
        <v>2</v>
      </c>
      <c r="E20" s="254">
        <f t="shared" ref="E20:E22" si="6">IFERROR((ROUND(D20*K20,2)+ROUND(G20,2)+ROUND(J20,2))/ROUND(D20,4), 0)</f>
        <v>0.83000000000000007</v>
      </c>
      <c r="F20" s="209">
        <f t="shared" ref="F20:F32" si="7">ROUND(D20*E20,2)</f>
        <v>1.66</v>
      </c>
      <c r="G20" s="209">
        <f>((D20*K20)/(1-$N$19-$N$20))*($N$19+$N$20)</f>
        <v>9.8280347223702436E-2</v>
      </c>
      <c r="H20" s="210">
        <f>(IF($I$19=12%,(D20*K20)/(1-$N$19-$N$20)/(1-$C$85)/$F$85*$C$85,(D20*K20)/(1-$N$19-$N$20)/(1-$I$19)))</f>
        <v>0.55308137056378559</v>
      </c>
      <c r="I20" s="211">
        <f>I19</f>
        <v>0.12</v>
      </c>
      <c r="J20" s="210">
        <f t="shared" ref="J20:J32" si="8">H20*$I$19</f>
        <v>6.6369764467654274E-2</v>
      </c>
      <c r="K20" s="208">
        <f>IF(AND($B$15&lt;$F$2,$E$15&lt;$F$2),C8,IF($B$15&lt;$F$2,I8,F8))</f>
        <v>0.74729699999999988</v>
      </c>
      <c r="L20" s="47" t="s">
        <v>19</v>
      </c>
      <c r="M20" s="209">
        <f>M19</f>
        <v>265</v>
      </c>
      <c r="N20" s="212">
        <f>'B1 (Res) Branca OK'!N20</f>
        <v>5.0700000000000002E-2</v>
      </c>
      <c r="O20" s="213">
        <f>ROUND(M20*N20,2)</f>
        <v>13.44</v>
      </c>
      <c r="P20" s="16"/>
      <c r="Q20" s="144" t="s">
        <v>155</v>
      </c>
      <c r="R20" s="144" t="s">
        <v>156</v>
      </c>
      <c r="S20" s="231"/>
      <c r="T20" s="16"/>
      <c r="U20" s="16"/>
      <c r="V20" s="16"/>
    </row>
    <row r="21" spans="2:33" x14ac:dyDescent="0.3">
      <c r="B21" s="205" t="s">
        <v>213</v>
      </c>
      <c r="C21" s="206" t="s">
        <v>204</v>
      </c>
      <c r="D21" s="207">
        <v>265</v>
      </c>
      <c r="E21" s="208">
        <f t="shared" si="6"/>
        <v>0.4487924528301887</v>
      </c>
      <c r="F21" s="209">
        <f t="shared" si="7"/>
        <v>118.93</v>
      </c>
      <c r="G21" s="209">
        <f>((D21*K21)/(1-$N$19-$N$20))*($N$19+$N$20)</f>
        <v>7.0443070174784177</v>
      </c>
      <c r="H21" s="210">
        <f>(IF($I$19=12%,(D21*K21)/(1-$N$19-$N$20)/(1-$C$85)/$F$85*$C$85,(D21*K21)/(1-$N$19-$N$20)/(1-$I$19)))</f>
        <v>39.642462506068895</v>
      </c>
      <c r="I21" s="211">
        <f>I19</f>
        <v>0.12</v>
      </c>
      <c r="J21" s="210">
        <f t="shared" si="8"/>
        <v>4.7570955007282674</v>
      </c>
      <c r="K21" s="268">
        <f>IF(AND($B$15&lt;$F$2,$E$15&lt;$F$2),C7,IF($B$15&lt;$F$2,I7,F7))</f>
        <v>0.40424899999999997</v>
      </c>
      <c r="L21" s="226"/>
      <c r="M21" s="227"/>
      <c r="N21" s="228"/>
      <c r="O21" s="229"/>
      <c r="P21" s="16"/>
      <c r="Q21" s="150">
        <f>IF(AND($B$15&lt;$F$2,$E$15&lt;$F$2),R6,IF($B$15&lt;$F$2,X6,U6))</f>
        <v>0.70086387009007511</v>
      </c>
      <c r="R21" s="151">
        <f>D51*Q21</f>
        <v>0</v>
      </c>
      <c r="S21" s="231"/>
      <c r="T21" s="16"/>
      <c r="U21" s="16"/>
      <c r="V21" s="16"/>
    </row>
    <row r="22" spans="2:33" x14ac:dyDescent="0.3">
      <c r="B22" s="205" t="s">
        <v>219</v>
      </c>
      <c r="C22" s="206" t="s">
        <v>204</v>
      </c>
      <c r="D22" s="207">
        <v>586</v>
      </c>
      <c r="E22" s="208">
        <f t="shared" si="6"/>
        <v>0.17952218430034131</v>
      </c>
      <c r="F22" s="209">
        <f>ROUND(D22*E22,2)</f>
        <v>105.2</v>
      </c>
      <c r="G22" s="209">
        <f>((D22*K22)/(1-$N$19-$N$20))*($N$19+$N$20)</f>
        <v>6.2308889241394008</v>
      </c>
      <c r="H22" s="210">
        <f>(IF($I$19=12%,(D22*K22)/(1-$N$19-$N$20)/(1-$C$85)/$F$85*$C$85,(D22*K22)/(1-$N$19-$N$20)/(1-$I$19)))</f>
        <v>35.064880043103962</v>
      </c>
      <c r="I22" s="211">
        <f>I20</f>
        <v>0.12</v>
      </c>
      <c r="J22" s="210">
        <f>H22*$I$19</f>
        <v>4.2077856051724751</v>
      </c>
      <c r="K22" s="208">
        <f>ROUND(K21+(K21*(-$H$46)),8)</f>
        <v>0.1616996</v>
      </c>
      <c r="L22" s="226"/>
      <c r="M22" s="227"/>
      <c r="N22" s="228"/>
      <c r="O22" s="229"/>
      <c r="P22" s="16"/>
      <c r="Q22" s="150">
        <f>IF(AND($B$15&lt;$F$2,$E$15&lt;$F$2),R7,IF($B$15&lt;$F$2,X7,U7))</f>
        <v>0.14017275368436605</v>
      </c>
      <c r="R22" s="151">
        <f>D52*Q22</f>
        <v>37.145779726357006</v>
      </c>
      <c r="S22" s="231"/>
      <c r="T22" s="16"/>
      <c r="U22" s="16"/>
      <c r="V22" s="16"/>
    </row>
    <row r="23" spans="2:33" x14ac:dyDescent="0.3">
      <c r="B23" s="205"/>
      <c r="C23" s="206"/>
      <c r="D23" s="214"/>
      <c r="E23" s="214"/>
      <c r="F23" s="209"/>
      <c r="G23" s="209"/>
      <c r="H23" s="210"/>
      <c r="I23" s="205"/>
      <c r="J23" s="210"/>
      <c r="K23" s="208"/>
      <c r="L23" s="226"/>
      <c r="M23" s="227"/>
      <c r="N23" s="228"/>
      <c r="O23" s="229"/>
      <c r="P23" s="16"/>
      <c r="Q23" s="150">
        <f>IF(AND($B$15&lt;$F$2,$E$15&lt;$F$2),R8,IF($B$15&lt;$F$2,X8,U8))</f>
        <v>0.42051836272134258</v>
      </c>
      <c r="R23" s="151">
        <f>D53*Q23</f>
        <v>0.84103672544268515</v>
      </c>
      <c r="S23" s="231"/>
      <c r="T23" s="16"/>
      <c r="U23" s="16"/>
      <c r="V23" s="16"/>
    </row>
    <row r="24" spans="2:33" x14ac:dyDescent="0.3">
      <c r="B24" s="205" t="s">
        <v>214</v>
      </c>
      <c r="C24" s="206" t="s">
        <v>204</v>
      </c>
      <c r="D24" s="214">
        <f>D19</f>
        <v>0</v>
      </c>
      <c r="E24" s="208">
        <f>IFERROR((ROUND(D24*K24,2)+ROUND(G24,2)+ROUND(J24,2))/ROUND(D24,4), 0)</f>
        <v>0</v>
      </c>
      <c r="F24" s="209">
        <f>ROUND(D24*E24,2)</f>
        <v>0</v>
      </c>
      <c r="G24" s="209">
        <f>((D24*K24)/(1-$N$19-$N$20))*($N$19+$N$20)</f>
        <v>0</v>
      </c>
      <c r="H24" s="210">
        <f>(IF($I$19=12%,(D24*K24)/(1-$N$19-$N$20)/(1-$C$85)/$F$85*$C$85,(D24*K24)/(1-$N$19-$N$20)/(1-$I$19)))</f>
        <v>0</v>
      </c>
      <c r="I24" s="205"/>
      <c r="J24" s="210">
        <f t="shared" si="8"/>
        <v>0</v>
      </c>
      <c r="K24" s="208">
        <f>IF(AND($B$15&lt;$F$2,$E$15&lt;$F$2),D6,IF($B$15&lt;$F$2,J6,G6))</f>
        <v>0.498533</v>
      </c>
      <c r="L24" s="226"/>
      <c r="M24" s="227"/>
      <c r="N24" s="228"/>
      <c r="O24" s="229"/>
      <c r="P24" s="16"/>
      <c r="Q24" s="150">
        <f>IF(AND($B$15&lt;$F$2,$E$15&lt;$F$2),R7,IF($B$15&lt;$F$2,(X7-(X7*H46)),U7))</f>
        <v>5.6069101473746427E-2</v>
      </c>
      <c r="R24" s="151">
        <f>D54*Q24</f>
        <v>32.856493463615408</v>
      </c>
      <c r="S24" s="16"/>
      <c r="T24" s="16"/>
      <c r="U24" s="16"/>
      <c r="V24" s="16"/>
    </row>
    <row r="25" spans="2:33" x14ac:dyDescent="0.3">
      <c r="B25" s="205" t="s">
        <v>215</v>
      </c>
      <c r="C25" s="206" t="s">
        <v>204</v>
      </c>
      <c r="D25" s="214">
        <f>D20</f>
        <v>2</v>
      </c>
      <c r="E25" s="254">
        <f t="shared" ref="E25:E27" si="9">IFERROR((ROUND(D25*K25,2)+ROUND(G25,2)+ROUND(J25,2))/ROUND(D25,4), 0)</f>
        <v>0.34500000000000003</v>
      </c>
      <c r="F25" s="209">
        <f>ROUND(D25*E25,2)</f>
        <v>0.69</v>
      </c>
      <c r="G25" s="209">
        <f>((D25*K25)/(1-$N$19-$N$20))*($N$19+$N$20)</f>
        <v>4.1086601868627663E-2</v>
      </c>
      <c r="H25" s="210">
        <f>(IF($I$19=12%,(D25*K25)/(1-$N$19-$N$20)/(1-$C$85)/$F$85*$C$85,(D25*K25)/(1-$N$19-$N$20)/(1-$I$19)))</f>
        <v>0.23121849601919942</v>
      </c>
      <c r="I25" s="205"/>
      <c r="J25" s="210">
        <f t="shared" si="8"/>
        <v>2.7746219522303928E-2</v>
      </c>
      <c r="K25" s="208">
        <f>IF(AND($B$15&lt;$F$2,$E$15&lt;$F$2),D8,IF($B$15&lt;$F$2,J8,G8))</f>
        <v>0.31241133333333332</v>
      </c>
      <c r="L25" s="226"/>
      <c r="M25" s="227"/>
      <c r="N25" s="228"/>
      <c r="O25" s="229"/>
      <c r="P25" s="16"/>
      <c r="R25" s="269">
        <f>-R24*H46</f>
        <v>-19.713896078169245</v>
      </c>
      <c r="S25" s="269" t="s">
        <v>245</v>
      </c>
      <c r="T25" s="269"/>
      <c r="U25" s="269"/>
      <c r="V25" s="269"/>
    </row>
    <row r="26" spans="2:33" x14ac:dyDescent="0.3">
      <c r="B26" s="205" t="s">
        <v>216</v>
      </c>
      <c r="C26" s="206" t="s">
        <v>204</v>
      </c>
      <c r="D26" s="214">
        <f>D21</f>
        <v>265</v>
      </c>
      <c r="E26" s="208">
        <f t="shared" si="9"/>
        <v>0.34683018867924531</v>
      </c>
      <c r="F26" s="209">
        <f>ROUND(D26*E26,2)</f>
        <v>91.91</v>
      </c>
      <c r="G26" s="209">
        <f>((D26*K26)/(1-$N$19-$N$20))*($N$19+$N$20)</f>
        <v>5.443974747593165</v>
      </c>
      <c r="H26" s="210">
        <f>(IF($I$19=12%,(D26*K26)/(1-$N$19-$N$20)/(1-$C$85)/$F$85*$C$85,(D26*K26)/(1-$N$19-$N$20)/(1-$I$19)))</f>
        <v>30.636450722543923</v>
      </c>
      <c r="I26" s="205"/>
      <c r="J26" s="210">
        <f t="shared" si="8"/>
        <v>3.6763740867052705</v>
      </c>
      <c r="K26" s="208">
        <f>IF(AND($B$15&lt;$F$2,$E$15&lt;$F$2),D7,IF($B$15&lt;$F$2,J7,G7))</f>
        <v>0.31241133333333332</v>
      </c>
      <c r="L26" s="226"/>
      <c r="M26" s="227"/>
      <c r="N26" s="228"/>
      <c r="O26" s="229"/>
      <c r="P26" s="16"/>
      <c r="Q26" s="16"/>
      <c r="R26" s="152">
        <f>SUM(R21:R25)</f>
        <v>51.129413837245849</v>
      </c>
      <c r="S26" s="16"/>
      <c r="T26" s="16"/>
      <c r="U26" s="16"/>
      <c r="V26" s="16"/>
    </row>
    <row r="27" spans="2:33" x14ac:dyDescent="0.3">
      <c r="B27" s="205" t="s">
        <v>220</v>
      </c>
      <c r="C27" s="206" t="s">
        <v>204</v>
      </c>
      <c r="D27" s="207">
        <f>D22</f>
        <v>586</v>
      </c>
      <c r="E27" s="208">
        <f t="shared" si="9"/>
        <v>0.13873720136518775</v>
      </c>
      <c r="F27" s="209">
        <f>ROUND(D27*E27,2)</f>
        <v>81.3</v>
      </c>
      <c r="G27" s="209">
        <f>((D27*K27)/(1-$N$19-$N$20))*($N$19+$N$20)</f>
        <v>4.8153496105573916</v>
      </c>
      <c r="H27" s="210">
        <f>(IF($I$19=12%,(D27*K27)/(1-$N$19-$N$20)/(1-$C$85)/$F$85*$C$85,(D27*K27)/(1-$N$19-$N$20)/(1-$I$19)))</f>
        <v>27.098807010610209</v>
      </c>
      <c r="I27" s="205"/>
      <c r="J27" s="210">
        <f>H27*$I$19</f>
        <v>3.2518568412732249</v>
      </c>
      <c r="K27" s="208">
        <f>ROUND(K26+(K26*(-$H$46)),8)</f>
        <v>0.12496453</v>
      </c>
      <c r="L27" s="226"/>
      <c r="M27" s="227"/>
      <c r="N27" s="228"/>
      <c r="O27" s="229"/>
      <c r="P27" s="16"/>
      <c r="Q27" s="16"/>
      <c r="R27" s="16"/>
      <c r="S27" s="231"/>
      <c r="T27" s="16"/>
      <c r="U27" s="16"/>
      <c r="V27" s="16"/>
    </row>
    <row r="28" spans="2:33" x14ac:dyDescent="0.3">
      <c r="B28" s="205"/>
      <c r="C28" s="206"/>
      <c r="D28" s="214"/>
      <c r="E28" s="208"/>
      <c r="F28" s="209"/>
      <c r="G28" s="209"/>
      <c r="H28" s="210"/>
      <c r="I28" s="205"/>
      <c r="J28" s="210"/>
      <c r="K28" s="208"/>
      <c r="L28" s="226"/>
      <c r="M28" s="227"/>
      <c r="N28" s="228"/>
      <c r="O28" s="229"/>
      <c r="P28" s="16"/>
      <c r="Q28" s="16"/>
      <c r="R28" s="230"/>
      <c r="S28" s="16"/>
      <c r="T28" s="16"/>
      <c r="U28" s="16"/>
      <c r="V28" s="16"/>
    </row>
    <row r="29" spans="2:33" x14ac:dyDescent="0.3">
      <c r="B29" s="205" t="s">
        <v>38</v>
      </c>
      <c r="C29" s="206" t="s">
        <v>204</v>
      </c>
      <c r="D29" s="214">
        <f>IF($K$13=M4,(($D$19+$D$20+$D$21+$D$22)*($K$15)/($K$15+$L$15)),0)+IF($L$13=M4,(($D$19+$D$20+$D$21+$D$22)*($L$15)/($K$15+$L$15)),0)</f>
        <v>853</v>
      </c>
      <c r="E29" s="208">
        <f>IFERROR((ROUND(D29*K29,2)+ROUND(G29,2)+ROUND(J29,2))/ROUND(D29,4), 0)</f>
        <v>1.2297772567409142E-2</v>
      </c>
      <c r="F29" s="227">
        <f t="shared" si="7"/>
        <v>10.49</v>
      </c>
      <c r="G29" s="209">
        <f>((D29*K29)/(1-$N$19-$N$20))*($N$19+$N$20)</f>
        <v>0.62149713631034853</v>
      </c>
      <c r="H29" s="210">
        <f>(IF($I$19=12%,(D29*K29)/(1-$N$19-$N$20)/(1-$C$85)/$F$85*$C$85,(D29*K29)/(1-$N$19-$N$20)/(1-$I$19)))</f>
        <v>3.4975302556633152</v>
      </c>
      <c r="I29" s="205"/>
      <c r="J29" s="210">
        <f t="shared" si="8"/>
        <v>0.41970363067959782</v>
      </c>
      <c r="K29" s="208">
        <f>J62</f>
        <v>1.1080175849941384E-2</v>
      </c>
      <c r="L29" s="79"/>
      <c r="M29" s="215"/>
      <c r="N29" s="215"/>
      <c r="O29" s="215"/>
      <c r="P29" s="16"/>
      <c r="Q29" s="16"/>
      <c r="R29" s="16"/>
      <c r="S29" s="16"/>
      <c r="T29" s="16"/>
      <c r="U29" s="16"/>
      <c r="V29" s="16"/>
    </row>
    <row r="30" spans="2:33" x14ac:dyDescent="0.3">
      <c r="B30" s="205" t="s">
        <v>39</v>
      </c>
      <c r="C30" s="206" t="s">
        <v>204</v>
      </c>
      <c r="D30" s="214">
        <f t="shared" ref="D30:D32" si="10">IF($K$13=M5,(($D$19+$D$20+$D$21+$D$22)*($K$15)/($K$15+$L$15)),0)+IF($L$13=M5,(($D$19+$D$20+$D$21+$D$22)*($L$15)/($K$15+$L$15)),0)</f>
        <v>0</v>
      </c>
      <c r="E30" s="208">
        <f t="shared" ref="E30:E32" si="11">IFERROR((ROUND(D30*K30,2)+ROUND(G30,2)+ROUND(J30,2))/ROUND(D30,4), 0)</f>
        <v>0</v>
      </c>
      <c r="F30" s="209">
        <f t="shared" si="7"/>
        <v>0</v>
      </c>
      <c r="G30" s="209">
        <f>((D30*K30)/(1-$N$19-$N$20))*($N$19+$N$20)</f>
        <v>0</v>
      </c>
      <c r="H30" s="210">
        <f t="shared" ref="H30:H32" si="12">(IF($I$19=12%,(D30*K30)/(1-$N$19-$N$20)/(1-$C$85)/$F$85*$C$85,(D30*K30)/(1-$N$19-$N$20)/(1-$I$19)))</f>
        <v>0</v>
      </c>
      <c r="I30" s="205"/>
      <c r="J30" s="210">
        <f t="shared" si="8"/>
        <v>0</v>
      </c>
      <c r="K30" s="208">
        <f t="shared" ref="K30:K32" si="13">J63</f>
        <v>4.4630000000000003E-2</v>
      </c>
      <c r="O30" s="62"/>
      <c r="P30" s="16"/>
      <c r="Q30" s="16"/>
      <c r="R30" s="232"/>
      <c r="S30" s="233"/>
      <c r="T30" s="54"/>
      <c r="U30" s="16"/>
      <c r="V30" s="16"/>
    </row>
    <row r="31" spans="2:33" x14ac:dyDescent="0.3">
      <c r="B31" s="205" t="s">
        <v>40</v>
      </c>
      <c r="C31" s="206" t="s">
        <v>204</v>
      </c>
      <c r="D31" s="214">
        <f t="shared" si="10"/>
        <v>0</v>
      </c>
      <c r="E31" s="208">
        <f t="shared" si="11"/>
        <v>0</v>
      </c>
      <c r="F31" s="209">
        <f t="shared" si="7"/>
        <v>0</v>
      </c>
      <c r="G31" s="209">
        <f>((D31*K31)/(1-$N$19-$N$20))*($N$19+$N$20)</f>
        <v>0</v>
      </c>
      <c r="H31" s="210">
        <f t="shared" si="12"/>
        <v>0</v>
      </c>
      <c r="I31" s="205"/>
      <c r="J31" s="210">
        <f t="shared" si="8"/>
        <v>0</v>
      </c>
      <c r="K31" s="208">
        <f t="shared" si="13"/>
        <v>7.8770000000000007E-2</v>
      </c>
      <c r="O31" s="62"/>
      <c r="P31" s="16"/>
      <c r="Q31" s="54"/>
      <c r="R31" s="232"/>
      <c r="S31" s="235"/>
      <c r="T31" s="54"/>
      <c r="U31" s="16"/>
      <c r="V31" s="16"/>
      <c r="AG31" s="164">
        <f>(D22*K30)/(1-$N$19-$N$20)/(1-$I$19)</f>
        <v>31.673795936558381</v>
      </c>
    </row>
    <row r="32" spans="2:33" x14ac:dyDescent="0.3">
      <c r="B32" s="205" t="s">
        <v>205</v>
      </c>
      <c r="C32" s="206" t="s">
        <v>204</v>
      </c>
      <c r="D32" s="214">
        <f t="shared" si="10"/>
        <v>0</v>
      </c>
      <c r="E32" s="208">
        <f t="shared" si="11"/>
        <v>0</v>
      </c>
      <c r="F32" s="209">
        <f t="shared" si="7"/>
        <v>0</v>
      </c>
      <c r="G32" s="209">
        <f>((D32*K32)/(1-$N$19-$N$20))*($N$19+$N$20)</f>
        <v>0</v>
      </c>
      <c r="H32" s="210">
        <f t="shared" si="12"/>
        <v>0</v>
      </c>
      <c r="I32" s="205"/>
      <c r="J32" s="210">
        <f t="shared" si="8"/>
        <v>0</v>
      </c>
      <c r="K32" s="208">
        <f t="shared" si="13"/>
        <v>0.14199999999999999</v>
      </c>
      <c r="O32" s="62"/>
      <c r="P32" s="16"/>
      <c r="Q32" s="16"/>
      <c r="R32" s="234"/>
      <c r="S32" s="235"/>
      <c r="T32" s="16"/>
      <c r="U32" s="16"/>
      <c r="V32" s="16"/>
    </row>
    <row r="33" spans="2:22" x14ac:dyDescent="0.3">
      <c r="B33" s="205"/>
      <c r="C33" s="206"/>
      <c r="D33" s="214"/>
      <c r="E33" s="208"/>
      <c r="F33" s="209"/>
      <c r="G33" s="209"/>
      <c r="H33" s="210"/>
      <c r="I33" s="205"/>
      <c r="J33" s="210"/>
      <c r="K33" s="208"/>
      <c r="O33" s="62"/>
      <c r="P33" s="16"/>
      <c r="Q33" s="16"/>
      <c r="R33" s="16"/>
      <c r="S33" s="235"/>
      <c r="T33" s="16"/>
      <c r="U33" s="16"/>
      <c r="V33" s="16"/>
    </row>
    <row r="34" spans="2:22" x14ac:dyDescent="0.3">
      <c r="B34" s="205" t="s">
        <v>207</v>
      </c>
      <c r="C34" s="205"/>
      <c r="D34" s="214"/>
      <c r="E34" s="205"/>
      <c r="F34" s="217"/>
      <c r="G34" s="205"/>
      <c r="H34" s="205"/>
      <c r="I34" s="205"/>
      <c r="J34" s="205"/>
      <c r="K34" s="205"/>
      <c r="O34" s="62"/>
      <c r="P34" s="16"/>
      <c r="Q34" s="16"/>
      <c r="R34" s="16"/>
      <c r="S34" s="235"/>
      <c r="T34" s="16"/>
      <c r="U34" s="16"/>
      <c r="V34" s="16"/>
    </row>
    <row r="35" spans="2:22" x14ac:dyDescent="0.3">
      <c r="B35" s="205" t="s">
        <v>206</v>
      </c>
      <c r="C35" s="205"/>
      <c r="D35" s="214"/>
      <c r="E35" s="205"/>
      <c r="F35" s="217"/>
      <c r="G35" s="205"/>
      <c r="H35" s="205"/>
      <c r="I35" s="205"/>
      <c r="J35" s="205"/>
      <c r="K35" s="205"/>
      <c r="O35" s="62"/>
      <c r="P35" s="16"/>
      <c r="Q35" s="16"/>
      <c r="R35" s="16"/>
      <c r="S35" s="235"/>
      <c r="T35" s="16"/>
      <c r="U35" s="16"/>
      <c r="V35" s="16"/>
    </row>
    <row r="36" spans="2:22" x14ac:dyDescent="0.3">
      <c r="B36" s="205" t="s">
        <v>231</v>
      </c>
      <c r="C36" s="205"/>
      <c r="D36" s="214"/>
      <c r="E36" s="205"/>
      <c r="F36" s="217"/>
      <c r="G36" s="205"/>
      <c r="H36" s="205"/>
      <c r="I36" s="205"/>
      <c r="J36" s="205"/>
      <c r="K36" s="205"/>
      <c r="O36" s="62"/>
      <c r="R36" s="16"/>
      <c r="S36" s="216"/>
    </row>
    <row r="37" spans="2:22" x14ac:dyDescent="0.3">
      <c r="B37" s="205" t="s">
        <v>208</v>
      </c>
      <c r="C37" s="205"/>
      <c r="D37" s="214"/>
      <c r="E37" s="205"/>
      <c r="F37" s="217"/>
      <c r="G37" s="205"/>
      <c r="H37" s="205"/>
      <c r="I37" s="205"/>
      <c r="J37" s="205"/>
      <c r="K37" s="205"/>
      <c r="O37" s="62"/>
    </row>
    <row r="38" spans="2:22" x14ac:dyDescent="0.3">
      <c r="B38" s="205"/>
      <c r="C38" s="205"/>
      <c r="D38" s="214"/>
      <c r="E38" s="205"/>
      <c r="F38" s="205"/>
      <c r="G38" s="205"/>
      <c r="H38" s="205"/>
      <c r="I38" s="205"/>
      <c r="J38" s="205"/>
      <c r="K38" s="205"/>
      <c r="O38" s="62"/>
    </row>
    <row r="39" spans="2:22" x14ac:dyDescent="0.3">
      <c r="B39" s="205"/>
      <c r="C39" s="205"/>
      <c r="D39" s="214"/>
      <c r="E39" s="205"/>
      <c r="F39" s="205"/>
      <c r="G39" s="205"/>
      <c r="H39" s="205"/>
      <c r="I39" s="205"/>
      <c r="J39" s="205"/>
      <c r="K39" s="205"/>
      <c r="O39" s="62"/>
    </row>
    <row r="40" spans="2:22" x14ac:dyDescent="0.3">
      <c r="B40" s="218" t="s">
        <v>209</v>
      </c>
      <c r="C40" s="215"/>
      <c r="D40" s="219"/>
      <c r="E40" s="215"/>
      <c r="F40" s="220">
        <f>SUM(F19:F39)</f>
        <v>410.18</v>
      </c>
      <c r="G40" s="221">
        <f>SUM(G19:G39)</f>
        <v>24.295384385171051</v>
      </c>
      <c r="H40" s="222">
        <f>SUM(H19:H39)</f>
        <v>136.7244304045733</v>
      </c>
      <c r="I40" s="215"/>
      <c r="J40" s="222">
        <f>SUM(J19:J39)</f>
        <v>16.406931648548792</v>
      </c>
      <c r="K40" s="215"/>
      <c r="L40" s="68"/>
      <c r="M40" s="68"/>
      <c r="N40" s="68"/>
      <c r="O40" s="79"/>
    </row>
    <row r="41" spans="2:22" ht="15" thickBot="1" x14ac:dyDescent="0.35"/>
    <row r="42" spans="2:22" ht="15" thickBot="1" x14ac:dyDescent="0.35">
      <c r="B42" s="249" t="s">
        <v>210</v>
      </c>
      <c r="C42" s="251">
        <f>D19+D20+D21+D22</f>
        <v>853</v>
      </c>
      <c r="D42" s="250">
        <f>IF(AND($B$15&lt;$F$2,$E$15&lt;$F$2),C9,IF($B$15&lt;$F$2,I9,F9))</f>
        <v>1.8620542215071594E-4</v>
      </c>
      <c r="E42" s="250">
        <f>IF(AND($B$15&lt;$F$2,$E$15&lt;$F$2),D9,IF($B$15&lt;$F$2,J9,G9))</f>
        <v>-2.7255669779292784E-3</v>
      </c>
      <c r="F42" s="252">
        <f>C42*(D42+E42)+((D22*(D42+E42))*(-$H$46))</f>
        <v>-1.2732358840673712</v>
      </c>
    </row>
    <row r="43" spans="2:22" ht="15" thickBot="1" x14ac:dyDescent="0.35">
      <c r="J43" s="242"/>
      <c r="K43" s="238"/>
      <c r="L43" s="238"/>
      <c r="M43" s="237"/>
    </row>
    <row r="44" spans="2:22" ht="15" thickBot="1" x14ac:dyDescent="0.35">
      <c r="B44" s="249" t="s">
        <v>230</v>
      </c>
      <c r="C44" s="251"/>
      <c r="D44" s="250"/>
      <c r="E44" s="250"/>
      <c r="F44" s="253">
        <f>SUM(H55+H68+H69+H70+H71)</f>
        <v>-258.60599999999999</v>
      </c>
      <c r="G44" s="16"/>
      <c r="H44" s="16"/>
      <c r="J44" s="237"/>
      <c r="K44" s="238"/>
      <c r="L44" s="238"/>
      <c r="M44" s="237"/>
    </row>
    <row r="45" spans="2:22" x14ac:dyDescent="0.3">
      <c r="B45" s="16"/>
      <c r="C45" s="16"/>
      <c r="D45" s="16"/>
      <c r="E45" s="16"/>
      <c r="F45" s="16"/>
      <c r="G45" s="16"/>
      <c r="H45" s="16"/>
      <c r="J45" s="237"/>
      <c r="K45" s="238"/>
      <c r="L45" s="238"/>
      <c r="M45" s="237"/>
    </row>
    <row r="46" spans="2:22" x14ac:dyDescent="0.3">
      <c r="G46" s="189" t="s">
        <v>166</v>
      </c>
      <c r="H46" s="190">
        <v>0.6</v>
      </c>
    </row>
    <row r="47" spans="2:22" x14ac:dyDescent="0.3">
      <c r="B47" s="271" t="s">
        <v>171</v>
      </c>
      <c r="C47" s="272"/>
      <c r="D47" s="272"/>
      <c r="E47" s="272"/>
      <c r="F47" s="272"/>
      <c r="G47" s="272"/>
      <c r="H47" s="273"/>
      <c r="I47" s="16"/>
      <c r="J47" s="16"/>
      <c r="K47" s="16"/>
      <c r="L47" s="16"/>
      <c r="M47" s="16"/>
      <c r="N47" s="16"/>
      <c r="O47" s="16"/>
      <c r="P47" s="16"/>
    </row>
    <row r="48" spans="2:22" x14ac:dyDescent="0.3">
      <c r="B48" s="36"/>
      <c r="D48" s="46" t="s">
        <v>8</v>
      </c>
      <c r="E48" s="46" t="s">
        <v>0</v>
      </c>
      <c r="F48" s="46" t="s">
        <v>1</v>
      </c>
      <c r="G48" s="46" t="s">
        <v>42</v>
      </c>
      <c r="H48" s="47" t="s">
        <v>9</v>
      </c>
      <c r="I48" s="16"/>
      <c r="J48" s="16"/>
      <c r="K48" s="16"/>
      <c r="L48" s="16"/>
      <c r="M48" s="16"/>
      <c r="N48" s="140"/>
      <c r="O48" s="16"/>
      <c r="P48" s="16"/>
    </row>
    <row r="49" spans="2:16" x14ac:dyDescent="0.3">
      <c r="B49" s="48" t="s">
        <v>73</v>
      </c>
      <c r="C49" s="49"/>
      <c r="D49" s="50"/>
      <c r="E49" s="50"/>
      <c r="F49" s="50"/>
      <c r="G49" s="50"/>
      <c r="H49" s="51">
        <f>SUM(H51:H60)+SUM(H73:H75)</f>
        <v>469.98834423701413</v>
      </c>
      <c r="I49" s="16"/>
      <c r="J49"/>
      <c r="K49"/>
      <c r="L49"/>
      <c r="M49" s="16"/>
    </row>
    <row r="50" spans="2:16" x14ac:dyDescent="0.3">
      <c r="B50" s="36"/>
      <c r="D50" s="46"/>
      <c r="E50" s="46"/>
      <c r="F50" s="46"/>
      <c r="G50" s="46"/>
      <c r="H50" s="52"/>
      <c r="I50" s="16"/>
      <c r="J50" s="1"/>
      <c r="K50" s="1"/>
      <c r="L50" s="1"/>
      <c r="M50" s="16"/>
      <c r="N50" s="16"/>
      <c r="O50" s="16"/>
      <c r="P50" s="16"/>
    </row>
    <row r="51" spans="2:16" x14ac:dyDescent="0.3">
      <c r="B51" s="36" t="s">
        <v>6</v>
      </c>
      <c r="D51" s="53">
        <f>D19</f>
        <v>0</v>
      </c>
      <c r="E51" s="54">
        <f t="shared" ref="E51:F53" si="14">IF(AND($B$15&lt;$F$2,$E$15&lt;$F$2),C6,IF($B$15&lt;$F$2,I6,F6))</f>
        <v>1.0903406666666666</v>
      </c>
      <c r="F51" s="55">
        <f t="shared" si="14"/>
        <v>0.498533</v>
      </c>
      <c r="G51" s="54">
        <f>E51+F51</f>
        <v>1.5888736666666667</v>
      </c>
      <c r="H51" s="56">
        <f>ROUND((D51*E51),2)+ROUND((D51*F51),2)</f>
        <v>0</v>
      </c>
      <c r="I51" s="16"/>
      <c r="J51" s="1"/>
      <c r="K51" s="1"/>
      <c r="L51" s="1"/>
      <c r="M51" s="16"/>
      <c r="N51" s="16"/>
      <c r="O51" s="16"/>
      <c r="P51" s="16"/>
    </row>
    <row r="52" spans="2:16" x14ac:dyDescent="0.3">
      <c r="B52" s="36" t="s">
        <v>7</v>
      </c>
      <c r="D52" s="53">
        <f>D21</f>
        <v>265</v>
      </c>
      <c r="E52" s="54">
        <f t="shared" si="14"/>
        <v>0.40424899999999997</v>
      </c>
      <c r="F52" s="55">
        <f t="shared" si="14"/>
        <v>0.31241133333333332</v>
      </c>
      <c r="G52" s="54">
        <f t="shared" ref="G52:G53" si="15">E52+F52</f>
        <v>0.71666033333333323</v>
      </c>
      <c r="H52" s="56">
        <f t="shared" ref="H52:H53" si="16">ROUND((D52*E52),2)+ROUND((D52*F52),2)</f>
        <v>189.92000000000002</v>
      </c>
      <c r="I52" s="16"/>
      <c r="J52" s="1"/>
      <c r="K52" s="1"/>
      <c r="L52" s="1"/>
      <c r="M52" s="16"/>
      <c r="N52" s="16"/>
      <c r="O52" s="16"/>
      <c r="P52" s="16"/>
    </row>
    <row r="53" spans="2:16" x14ac:dyDescent="0.3">
      <c r="B53" s="36" t="s">
        <v>141</v>
      </c>
      <c r="D53" s="53">
        <f>D20</f>
        <v>2</v>
      </c>
      <c r="E53" s="54">
        <f t="shared" si="14"/>
        <v>0.74729699999999988</v>
      </c>
      <c r="F53" s="55">
        <f t="shared" si="14"/>
        <v>0.31241133333333332</v>
      </c>
      <c r="G53" s="54">
        <f t="shared" si="15"/>
        <v>1.0597083333333333</v>
      </c>
      <c r="H53" s="56">
        <f t="shared" si="16"/>
        <v>2.11</v>
      </c>
      <c r="I53" s="16"/>
      <c r="J53" s="1"/>
      <c r="K53" s="1"/>
      <c r="L53" s="1"/>
      <c r="M53" s="16"/>
      <c r="N53" s="16"/>
      <c r="O53" s="16"/>
      <c r="P53" s="16"/>
    </row>
    <row r="54" spans="2:16" x14ac:dyDescent="0.3">
      <c r="B54" s="36" t="s">
        <v>187</v>
      </c>
      <c r="D54" s="53">
        <f>D22</f>
        <v>586</v>
      </c>
      <c r="E54" s="54">
        <f>E52</f>
        <v>0.40424899999999997</v>
      </c>
      <c r="F54" s="55">
        <f>F52</f>
        <v>0.31241133333333332</v>
      </c>
      <c r="G54" s="54">
        <f t="shared" ref="G54" si="17">E54+F54</f>
        <v>0.71666033333333323</v>
      </c>
      <c r="H54" s="56">
        <f t="shared" ref="H54" si="18">ROUND((D54*E54),2)+ROUND((D54*F54),2)</f>
        <v>419.96</v>
      </c>
      <c r="I54" s="16"/>
      <c r="J54" s="1"/>
      <c r="K54" s="1"/>
      <c r="L54" s="1"/>
      <c r="M54" s="16"/>
      <c r="N54" s="16"/>
      <c r="O54" s="16"/>
      <c r="P54" s="16"/>
    </row>
    <row r="55" spans="2:16" x14ac:dyDescent="0.3">
      <c r="B55" s="36" t="s">
        <v>186</v>
      </c>
      <c r="D55" s="58"/>
      <c r="E55" s="59"/>
      <c r="F55" s="60"/>
      <c r="G55" s="60"/>
      <c r="H55" s="56">
        <f>-H54*$H$46</f>
        <v>-251.97599999999997</v>
      </c>
      <c r="I55" s="149">
        <f>((D54*E54)-(D54*E54*H46))/D54</f>
        <v>0.1616996</v>
      </c>
      <c r="J55" s="1"/>
      <c r="K55" s="1"/>
      <c r="L55" s="1"/>
      <c r="M55" s="16"/>
      <c r="N55" s="16"/>
      <c r="O55" s="16"/>
      <c r="P55" s="16"/>
    </row>
    <row r="56" spans="2:16" x14ac:dyDescent="0.3">
      <c r="B56" s="36"/>
      <c r="D56" s="61"/>
      <c r="H56" s="62"/>
      <c r="I56" s="16"/>
      <c r="J56" s="1"/>
      <c r="K56" s="1"/>
      <c r="L56" s="1"/>
      <c r="M56" s="16"/>
      <c r="N56" s="16"/>
      <c r="O56" s="16"/>
      <c r="P56" s="16"/>
    </row>
    <row r="57" spans="2:16" x14ac:dyDescent="0.3">
      <c r="B57" s="36" t="s">
        <v>38</v>
      </c>
      <c r="D57" s="63">
        <f>IF($K$13=M4,((D51+D52+D53)*(K15)/(K15+L15)),0)+IF($L$13=M4,((D51+D52+D53)*(L15)/(K15+L15)),0)</f>
        <v>267</v>
      </c>
      <c r="F57" s="64">
        <f>N4</f>
        <v>1.8849999999999999E-2</v>
      </c>
      <c r="G57" s="64"/>
      <c r="H57" s="56">
        <f>ROUND(D57*(E57+F57),2)</f>
        <v>5.03</v>
      </c>
      <c r="I57" s="16"/>
      <c r="J57" s="16"/>
      <c r="K57" s="16"/>
      <c r="L57" s="16"/>
      <c r="M57" s="16"/>
      <c r="N57" s="16"/>
      <c r="O57" s="16"/>
      <c r="P57" s="16"/>
    </row>
    <row r="58" spans="2:16" x14ac:dyDescent="0.3">
      <c r="B58" s="36" t="s">
        <v>39</v>
      </c>
      <c r="D58" s="63">
        <f>IF($K$13=M5,((D51+D52+D53)*(K15)/(K15+L15)),0)+IF($L$13=M5,((D51+D52+D53)*(L15)/(K15+L15)),0)</f>
        <v>0</v>
      </c>
      <c r="F58" s="64">
        <f>N5</f>
        <v>4.4630000000000003E-2</v>
      </c>
      <c r="G58" s="64"/>
      <c r="H58" s="56">
        <f>ROUND(D58*(E58+F58),2)</f>
        <v>0</v>
      </c>
      <c r="I58" s="16"/>
      <c r="J58" s="140"/>
      <c r="K58" s="133"/>
      <c r="L58" s="267"/>
      <c r="M58" s="16"/>
      <c r="N58" s="16"/>
      <c r="O58" s="16"/>
      <c r="P58" s="16"/>
    </row>
    <row r="59" spans="2:16" x14ac:dyDescent="0.3">
      <c r="B59" s="36" t="s">
        <v>40</v>
      </c>
      <c r="D59" s="63">
        <f>IF($K$13=M6,((D51+D52+D53)*(K15)/(K15+L15)),0)+IF($L$13=M6,((D51+D52+D53)*(L15)/(K15+L15)),0)</f>
        <v>0</v>
      </c>
      <c r="F59" s="64">
        <f>N6</f>
        <v>7.8770000000000007E-2</v>
      </c>
      <c r="G59" s="64"/>
      <c r="H59" s="56">
        <f>ROUND(D59*(E59+F59),2)</f>
        <v>0</v>
      </c>
      <c r="I59" s="16"/>
      <c r="J59" s="140"/>
      <c r="K59" s="133"/>
      <c r="L59" s="133"/>
      <c r="M59" s="16"/>
      <c r="N59" s="16"/>
      <c r="O59" s="16"/>
      <c r="P59" s="16"/>
    </row>
    <row r="60" spans="2:16" x14ac:dyDescent="0.3">
      <c r="B60" s="36" t="s">
        <v>150</v>
      </c>
      <c r="D60" s="63">
        <f>IF($K$13=M7,((D51+D52+D53)*(K15)/(K15+L15)),0)+IF($L$13=M7,((D51+D52+D53)*(L15)/(K15+L15)),0)</f>
        <v>0</v>
      </c>
      <c r="F60" s="64">
        <f>N7</f>
        <v>0.14199999999999999</v>
      </c>
      <c r="G60" s="64"/>
      <c r="H60" s="56">
        <f>ROUND(D60*(E60+F60),2)</f>
        <v>0</v>
      </c>
      <c r="I60" s="16"/>
      <c r="J60" s="16"/>
      <c r="K60" s="16"/>
      <c r="L60" s="16"/>
      <c r="M60" s="16"/>
      <c r="N60" s="16"/>
      <c r="O60" s="16"/>
      <c r="P60" s="16"/>
    </row>
    <row r="61" spans="2:16" x14ac:dyDescent="0.3">
      <c r="B61" s="36"/>
      <c r="D61" s="63"/>
      <c r="F61" s="64"/>
      <c r="G61" s="64"/>
      <c r="H61" s="56"/>
      <c r="I61" s="16"/>
      <c r="J61" s="144" t="s">
        <v>221</v>
      </c>
      <c r="K61" s="16"/>
      <c r="L61" s="16"/>
      <c r="M61" s="16"/>
      <c r="N61" s="16"/>
      <c r="O61" s="16"/>
      <c r="P61" s="16"/>
    </row>
    <row r="62" spans="2:16" x14ac:dyDescent="0.3">
      <c r="B62" s="36"/>
      <c r="D62" s="63"/>
      <c r="F62" s="64"/>
      <c r="G62" s="64"/>
      <c r="H62" s="56"/>
      <c r="I62" s="16"/>
      <c r="J62" s="247">
        <f>IFERROR((((D57*F57)+(D63*F63))-(D63*F63*$H$46))/(D57+D63), N4)</f>
        <v>1.1080175849941384E-2</v>
      </c>
      <c r="K62" s="16"/>
      <c r="L62" s="16"/>
      <c r="M62" s="16"/>
      <c r="N62" s="16"/>
      <c r="O62" s="16"/>
      <c r="P62" s="16"/>
    </row>
    <row r="63" spans="2:16" x14ac:dyDescent="0.3">
      <c r="B63" s="36" t="s">
        <v>222</v>
      </c>
      <c r="D63" s="245">
        <f>IF($K$13=M4,(($D$54)*($K$15)/($K$15+$L$15)),0)+IF($L$13=M4,(($D$54)*($L$15)/($K$15+$L$15)),0)</f>
        <v>586</v>
      </c>
      <c r="F63" s="64">
        <f>F57</f>
        <v>1.8849999999999999E-2</v>
      </c>
      <c r="G63" s="64"/>
      <c r="H63" s="56">
        <f>ROUND(D63*(E63+F63),2)</f>
        <v>11.05</v>
      </c>
      <c r="I63" s="16"/>
      <c r="J63" s="247">
        <f t="shared" ref="J63:J65" si="19">IFERROR((((D58*F58)+(D64*F64))-(D64*F64*$H$46))/(D58+D64), N5)</f>
        <v>4.4630000000000003E-2</v>
      </c>
      <c r="K63" s="16"/>
      <c r="L63" s="16"/>
      <c r="M63" s="16"/>
      <c r="N63" s="16"/>
      <c r="O63" s="16"/>
      <c r="P63" s="16"/>
    </row>
    <row r="64" spans="2:16" x14ac:dyDescent="0.3">
      <c r="B64" s="36" t="s">
        <v>223</v>
      </c>
      <c r="D64" s="245">
        <f t="shared" ref="D64:D66" si="20">IF($K$13=M5,(($D$54)*($K$15)/($K$15+$L$15)),0)+IF($L$13=M5,(($D$54)*($L$15)/($K$15+$L$15)),0)</f>
        <v>0</v>
      </c>
      <c r="F64" s="64">
        <f>F58</f>
        <v>4.4630000000000003E-2</v>
      </c>
      <c r="G64" s="64"/>
      <c r="H64" s="56">
        <f>ROUND(D64*(E64+F64),2)</f>
        <v>0</v>
      </c>
      <c r="I64" s="16"/>
      <c r="J64" s="247">
        <f t="shared" si="19"/>
        <v>7.8770000000000007E-2</v>
      </c>
      <c r="K64" s="16"/>
      <c r="L64" s="16"/>
      <c r="M64" s="16"/>
      <c r="N64" s="16"/>
      <c r="O64" s="16"/>
      <c r="P64" s="16"/>
    </row>
    <row r="65" spans="2:16" x14ac:dyDescent="0.3">
      <c r="B65" s="36" t="s">
        <v>224</v>
      </c>
      <c r="D65" s="245">
        <f t="shared" si="20"/>
        <v>0</v>
      </c>
      <c r="F65" s="64">
        <f>F59</f>
        <v>7.8770000000000007E-2</v>
      </c>
      <c r="G65" s="64"/>
      <c r="H65" s="56">
        <f>ROUND(D65*(E65+F65),2)</f>
        <v>0</v>
      </c>
      <c r="I65" s="16"/>
      <c r="J65" s="247">
        <f t="shared" si="19"/>
        <v>0.14199999999999999</v>
      </c>
      <c r="K65" s="16"/>
      <c r="L65" s="16"/>
      <c r="M65" s="16"/>
      <c r="N65" s="16"/>
      <c r="O65" s="16"/>
      <c r="P65" s="16"/>
    </row>
    <row r="66" spans="2:16" x14ac:dyDescent="0.3">
      <c r="B66" s="36" t="s">
        <v>225</v>
      </c>
      <c r="D66" s="245">
        <f t="shared" si="20"/>
        <v>0</v>
      </c>
      <c r="F66" s="64">
        <f>F60</f>
        <v>0.14199999999999999</v>
      </c>
      <c r="G66" s="64"/>
      <c r="H66" s="56">
        <f>ROUND(D66*(E66+F66),2)</f>
        <v>0</v>
      </c>
      <c r="I66" s="16"/>
      <c r="J66" s="246"/>
      <c r="K66" s="16"/>
      <c r="L66" s="16"/>
      <c r="M66" s="16"/>
      <c r="N66" s="16"/>
      <c r="O66" s="16"/>
      <c r="P66" s="16"/>
    </row>
    <row r="67" spans="2:16" x14ac:dyDescent="0.3">
      <c r="B67" s="36"/>
      <c r="D67" s="63"/>
      <c r="F67" s="64"/>
      <c r="G67" s="64"/>
      <c r="H67" s="56"/>
      <c r="I67" s="16"/>
      <c r="J67" s="16"/>
      <c r="K67" s="248"/>
      <c r="L67" s="16"/>
      <c r="M67" s="16"/>
      <c r="N67" s="16"/>
      <c r="O67" s="16"/>
      <c r="P67" s="16"/>
    </row>
    <row r="68" spans="2:16" x14ac:dyDescent="0.3">
      <c r="B68" s="36" t="s">
        <v>226</v>
      </c>
      <c r="D68" s="243"/>
      <c r="F68" s="64"/>
      <c r="G68" s="64"/>
      <c r="H68" s="56">
        <f>-H63*$H$46</f>
        <v>-6.63</v>
      </c>
      <c r="I68" s="16"/>
      <c r="J68" s="16"/>
      <c r="K68" s="16"/>
      <c r="L68" s="16"/>
      <c r="M68" s="16"/>
      <c r="N68" s="16"/>
      <c r="O68" s="16"/>
      <c r="P68" s="16"/>
    </row>
    <row r="69" spans="2:16" x14ac:dyDescent="0.3">
      <c r="B69" s="36" t="s">
        <v>227</v>
      </c>
      <c r="D69" s="243"/>
      <c r="F69" s="64"/>
      <c r="G69" s="64"/>
      <c r="H69" s="56">
        <f>-H64*$H$46</f>
        <v>0</v>
      </c>
      <c r="I69" s="16"/>
      <c r="K69" s="16"/>
      <c r="M69" s="16"/>
      <c r="N69" s="16"/>
      <c r="O69" s="16"/>
      <c r="P69" s="16"/>
    </row>
    <row r="70" spans="2:16" x14ac:dyDescent="0.3">
      <c r="B70" s="36" t="s">
        <v>228</v>
      </c>
      <c r="D70" s="63"/>
      <c r="F70" s="64"/>
      <c r="G70" s="64"/>
      <c r="H70" s="56">
        <f>-H65*$H$46</f>
        <v>0</v>
      </c>
      <c r="I70" s="16"/>
      <c r="K70" s="16"/>
      <c r="M70" s="16"/>
      <c r="N70" s="16"/>
      <c r="O70" s="16"/>
      <c r="P70" s="16"/>
    </row>
    <row r="71" spans="2:16" x14ac:dyDescent="0.3">
      <c r="B71" s="36" t="s">
        <v>229</v>
      </c>
      <c r="D71" s="244"/>
      <c r="H71" s="56">
        <f>-H66*$H$49</f>
        <v>0</v>
      </c>
      <c r="I71" s="16"/>
      <c r="M71" s="16"/>
      <c r="N71" s="16"/>
      <c r="O71" s="16"/>
      <c r="P71" s="16"/>
    </row>
    <row r="72" spans="2:16" x14ac:dyDescent="0.3">
      <c r="B72" s="36"/>
      <c r="D72" s="73" t="s">
        <v>17</v>
      </c>
      <c r="E72" s="74"/>
      <c r="F72" s="74"/>
      <c r="G72" s="74"/>
      <c r="H72" s="75"/>
      <c r="I72" s="76"/>
      <c r="K72" s="77"/>
      <c r="M72" s="16"/>
      <c r="N72" s="16"/>
      <c r="O72" s="16"/>
      <c r="P72" s="16"/>
    </row>
    <row r="73" spans="2:16" x14ac:dyDescent="0.3">
      <c r="B73" s="36" t="s">
        <v>18</v>
      </c>
      <c r="D73" s="77">
        <f>(SUM(H51:H68)/(1-E73-E74))</f>
        <v>393.75892571672171</v>
      </c>
      <c r="E73" s="78">
        <f>N19</f>
        <v>1.0999999999999999E-2</v>
      </c>
      <c r="H73" s="56">
        <f>D73*E73</f>
        <v>4.3313481828839384</v>
      </c>
      <c r="I73" s="77"/>
      <c r="L73" s="16"/>
      <c r="M73" s="16"/>
      <c r="N73" s="16"/>
      <c r="O73" s="16"/>
      <c r="P73" s="16"/>
    </row>
    <row r="74" spans="2:16" x14ac:dyDescent="0.3">
      <c r="B74" s="36" t="s">
        <v>19</v>
      </c>
      <c r="D74" s="77">
        <f>D73</f>
        <v>393.75892571672171</v>
      </c>
      <c r="E74" s="78">
        <f>N20</f>
        <v>5.0700000000000002E-2</v>
      </c>
      <c r="H74" s="56">
        <f>D74*E74</f>
        <v>19.963577533837793</v>
      </c>
      <c r="I74" s="77"/>
      <c r="L74" s="16"/>
      <c r="M74" s="16"/>
      <c r="N74" s="16"/>
      <c r="O74" s="16"/>
      <c r="P74" s="16"/>
    </row>
    <row r="75" spans="2:16" x14ac:dyDescent="0.3">
      <c r="B75" s="36" t="s">
        <v>20</v>
      </c>
      <c r="D75" s="145">
        <f>IF((E75=17%),(D73)/(1-E75),D85)</f>
        <v>474.40834423701415</v>
      </c>
      <c r="E75" s="138">
        <v>0.17</v>
      </c>
      <c r="H75" s="56">
        <f>D75*E75</f>
        <v>80.649418520292414</v>
      </c>
      <c r="I75" s="77"/>
      <c r="L75" s="16"/>
      <c r="M75" s="16"/>
      <c r="N75" s="16"/>
      <c r="O75" s="16"/>
      <c r="P75" s="16"/>
    </row>
    <row r="76" spans="2:16" x14ac:dyDescent="0.3">
      <c r="B76" s="67"/>
      <c r="C76" s="68"/>
      <c r="D76" s="68"/>
      <c r="E76" s="68"/>
      <c r="F76" s="68"/>
      <c r="G76" s="68"/>
      <c r="H76" s="79"/>
      <c r="L76" s="16"/>
      <c r="M76" s="16"/>
      <c r="N76" s="16"/>
      <c r="O76" s="16"/>
      <c r="P76" s="16"/>
    </row>
    <row r="77" spans="2:16" x14ac:dyDescent="0.3">
      <c r="B77" s="185" t="s">
        <v>183</v>
      </c>
      <c r="C77" s="186"/>
      <c r="D77" s="187">
        <f>SUM(D51:D54)</f>
        <v>853</v>
      </c>
      <c r="E77" s="188">
        <f>IF(AND($B$15&lt;$F$2,$E$15&lt;$F$2),C9,IF($B$15&lt;$F$2,I9,F9))</f>
        <v>1.8620542215071594E-4</v>
      </c>
      <c r="F77" s="188">
        <f>IF(AND($B$15&lt;$F$2,$E$15&lt;$F$2),D9,IF($B$15&lt;$F$2,J9,G9))</f>
        <v>-2.7255669779292784E-3</v>
      </c>
      <c r="G77" s="186"/>
      <c r="H77" s="185">
        <f>D77*(E77+F77)+(D54*(E77+F77))*(-H46)</f>
        <v>-1.2732358840673712</v>
      </c>
      <c r="L77" s="16"/>
      <c r="M77" s="16"/>
      <c r="N77" s="16"/>
      <c r="O77" s="16"/>
      <c r="P77" s="16"/>
    </row>
    <row r="78" spans="2:16" x14ac:dyDescent="0.3">
      <c r="B78" s="118" t="s">
        <v>230</v>
      </c>
      <c r="C78" s="119"/>
      <c r="D78" s="119"/>
      <c r="E78" s="119"/>
      <c r="F78" s="119"/>
      <c r="G78" s="119"/>
      <c r="H78" s="120">
        <f>SUM(H55+H68+H69+H70+H71)</f>
        <v>-258.60599999999999</v>
      </c>
      <c r="I78" s="121" t="s">
        <v>65</v>
      </c>
      <c r="J78" s="122"/>
    </row>
    <row r="81" spans="1:16" x14ac:dyDescent="0.3">
      <c r="B81" s="14" t="s">
        <v>142</v>
      </c>
    </row>
    <row r="82" spans="1:16" x14ac:dyDescent="0.3">
      <c r="B82" s="123"/>
      <c r="C82" s="123"/>
      <c r="D82" s="124" t="s">
        <v>26</v>
      </c>
      <c r="F82" s="124"/>
    </row>
    <row r="83" spans="1:16" x14ac:dyDescent="0.3">
      <c r="B83" s="125" t="s">
        <v>27</v>
      </c>
      <c r="C83" s="4">
        <f>E73</f>
        <v>1.0999999999999999E-2</v>
      </c>
      <c r="D83" s="126">
        <f>SUM(H53:H60)/(1-C83-C84)</f>
        <v>186.63966748374722</v>
      </c>
      <c r="E83" s="127" t="s">
        <v>28</v>
      </c>
      <c r="F83" s="4">
        <f>C83</f>
        <v>1.0999999999999999E-2</v>
      </c>
      <c r="G83" s="128">
        <f>D83*F83</f>
        <v>2.0530363423212195</v>
      </c>
    </row>
    <row r="84" spans="1:16" x14ac:dyDescent="0.3">
      <c r="B84" s="125" t="s">
        <v>19</v>
      </c>
      <c r="C84" s="4">
        <f>E74</f>
        <v>5.0700000000000002E-2</v>
      </c>
      <c r="D84" s="126">
        <f>D83</f>
        <v>186.63966748374722</v>
      </c>
      <c r="E84" s="127" t="s">
        <v>28</v>
      </c>
      <c r="F84" s="4">
        <f>C84</f>
        <v>5.0700000000000002E-2</v>
      </c>
      <c r="G84" s="128">
        <f>D84*F84</f>
        <v>9.4626311414259838</v>
      </c>
    </row>
    <row r="85" spans="1:16" x14ac:dyDescent="0.3">
      <c r="A85" s="129" t="s">
        <v>29</v>
      </c>
      <c r="B85" s="125" t="s">
        <v>20</v>
      </c>
      <c r="C85" s="5">
        <v>0.04</v>
      </c>
      <c r="D85" s="130">
        <f>H85/F85*C85</f>
        <v>72.922957594704386</v>
      </c>
      <c r="E85" s="127" t="s">
        <v>28</v>
      </c>
      <c r="F85" s="6">
        <v>0.12</v>
      </c>
      <c r="G85" s="128">
        <f>D85*F85</f>
        <v>8.7507549113645258</v>
      </c>
      <c r="H85" s="128">
        <f>(H51+H52+H53+H57+H58+H59+H60)/(1-E73-E74)/(1-C85)</f>
        <v>218.76887278411314</v>
      </c>
      <c r="I85" s="146">
        <f>H85*C85</f>
        <v>8.7507549113645258</v>
      </c>
    </row>
    <row r="86" spans="1:16" x14ac:dyDescent="0.3">
      <c r="B86" s="123"/>
      <c r="C86" s="123"/>
      <c r="D86" s="123"/>
      <c r="E86" s="128">
        <f>(O75)/(1-C83-C84-C85)</f>
        <v>0</v>
      </c>
      <c r="F86" s="131"/>
      <c r="G86" s="131"/>
      <c r="H86" s="123"/>
      <c r="I86" s="123"/>
      <c r="J86" s="132"/>
      <c r="K86" s="132"/>
      <c r="L86" s="132"/>
      <c r="M86" s="124"/>
      <c r="N86" s="124"/>
      <c r="O86" s="133"/>
    </row>
    <row r="88" spans="1:16" x14ac:dyDescent="0.3">
      <c r="C88" s="16"/>
      <c r="D88" s="134" t="s">
        <v>30</v>
      </c>
      <c r="E88" s="135" t="s">
        <v>31</v>
      </c>
      <c r="F88" s="136"/>
      <c r="G88" s="16" t="s">
        <v>32</v>
      </c>
      <c r="H88" s="137">
        <f>H85/F85*C85</f>
        <v>72.922957594704386</v>
      </c>
    </row>
    <row r="89" spans="1:16" x14ac:dyDescent="0.3">
      <c r="C89" s="16"/>
      <c r="D89" s="16"/>
      <c r="E89" s="16" t="s">
        <v>33</v>
      </c>
      <c r="F89" s="16"/>
      <c r="G89" s="16"/>
      <c r="H89" s="16"/>
      <c r="J89" s="16"/>
    </row>
    <row r="90" spans="1:16" x14ac:dyDescent="0.3">
      <c r="L90" s="16"/>
      <c r="M90" s="16"/>
      <c r="N90" s="16"/>
      <c r="O90" s="16"/>
      <c r="P90" s="16"/>
    </row>
    <row r="91" spans="1:16" x14ac:dyDescent="0.3">
      <c r="L91" s="16"/>
      <c r="M91" s="16"/>
      <c r="N91" s="16"/>
      <c r="O91" s="16"/>
      <c r="P91" s="16"/>
    </row>
    <row r="92" spans="1:16" x14ac:dyDescent="0.3">
      <c r="B92" s="80" t="s">
        <v>43</v>
      </c>
      <c r="D92" s="74"/>
      <c r="E92" s="74" t="s">
        <v>14</v>
      </c>
      <c r="F92" s="74"/>
      <c r="G92" s="74"/>
      <c r="H92" s="76"/>
    </row>
    <row r="93" spans="1:16" x14ac:dyDescent="0.3">
      <c r="B93" s="81"/>
      <c r="C93" s="82" t="s">
        <v>9</v>
      </c>
    </row>
    <row r="94" spans="1:16" x14ac:dyDescent="0.3">
      <c r="B94" s="81" t="s">
        <v>44</v>
      </c>
      <c r="C94" s="83">
        <f>(SUM(H51:H60)*IF($B$15&lt;$F$2,D132,D104))</f>
        <v>162.46626965069748</v>
      </c>
    </row>
    <row r="95" spans="1:16" x14ac:dyDescent="0.3">
      <c r="B95" s="81" t="s">
        <v>45</v>
      </c>
      <c r="C95" s="83">
        <f>(SUM(H51:H60)*IF($B$15&lt;$F$2,F132,F104))</f>
        <v>95.807064070148243</v>
      </c>
    </row>
    <row r="96" spans="1:16" x14ac:dyDescent="0.3">
      <c r="B96" s="81" t="s">
        <v>46</v>
      </c>
      <c r="C96" s="83">
        <f>(SUM(H51:H60)*IF($B$15&lt;$F$2,E132,E104))</f>
        <v>30.874585571279024</v>
      </c>
    </row>
    <row r="97" spans="2:14" x14ac:dyDescent="0.3">
      <c r="B97" s="81" t="s">
        <v>47</v>
      </c>
      <c r="C97" s="83">
        <f>(SUM(H51:H60)*IF($B$15&lt;$F$2,G132,G104))</f>
        <v>75.898088847092779</v>
      </c>
    </row>
    <row r="98" spans="2:14" x14ac:dyDescent="0.3">
      <c r="B98" s="81" t="s">
        <v>48</v>
      </c>
      <c r="C98" s="84">
        <f>H73+H74+H75</f>
        <v>104.94434423701415</v>
      </c>
    </row>
    <row r="99" spans="2:14" x14ac:dyDescent="0.3">
      <c r="B99" s="85" t="s">
        <v>49</v>
      </c>
      <c r="C99" s="86">
        <f>SUM(C94:C98)</f>
        <v>469.99035237623161</v>
      </c>
      <c r="M99"/>
      <c r="N99"/>
    </row>
    <row r="101" spans="2:14" x14ac:dyDescent="0.3">
      <c r="B101" s="87">
        <f>'B1 (Res) Branca OK'!B76</f>
        <v>2024</v>
      </c>
      <c r="C101" s="87"/>
      <c r="D101" s="87" t="s">
        <v>44</v>
      </c>
      <c r="E101" s="87" t="s">
        <v>46</v>
      </c>
      <c r="F101" s="87" t="s">
        <v>45</v>
      </c>
      <c r="G101" s="87" t="s">
        <v>50</v>
      </c>
    </row>
    <row r="102" spans="2:14" x14ac:dyDescent="0.3">
      <c r="B102" s="87" t="s">
        <v>51</v>
      </c>
      <c r="C102" s="87"/>
      <c r="D102" s="87" t="s">
        <v>52</v>
      </c>
      <c r="E102" s="87" t="s">
        <v>52</v>
      </c>
      <c r="F102" s="87" t="s">
        <v>52</v>
      </c>
      <c r="G102" s="87" t="s">
        <v>52</v>
      </c>
    </row>
    <row r="103" spans="2:14" x14ac:dyDescent="0.3">
      <c r="B103" s="87"/>
      <c r="C103" s="87"/>
      <c r="D103" s="87"/>
      <c r="E103" s="87"/>
      <c r="F103" s="87"/>
      <c r="G103" s="87"/>
    </row>
    <row r="104" spans="2:14" x14ac:dyDescent="0.3">
      <c r="B104" s="87" t="s">
        <v>53</v>
      </c>
      <c r="C104" s="87"/>
      <c r="D104" s="88">
        <f>'B1 (Res) Branca OK'!D79</f>
        <v>0.45246416638672077</v>
      </c>
      <c r="E104" s="88">
        <f>'B1 (Res) Branca OK'!E79</f>
        <v>7.39594111182032E-2</v>
      </c>
      <c r="F104" s="88">
        <f>'B1 (Res) Branca OK'!F79</f>
        <v>0.27500913257019954</v>
      </c>
      <c r="G104" s="88">
        <f>'B1 (Res) Branca OK'!G79</f>
        <v>0.19856728992487654</v>
      </c>
    </row>
    <row r="105" spans="2:14" x14ac:dyDescent="0.3">
      <c r="B105" s="87" t="s">
        <v>54</v>
      </c>
      <c r="C105" s="87"/>
      <c r="D105" s="88">
        <f>'B1 (Res) Branca OK'!D80</f>
        <v>0.53149575868436638</v>
      </c>
      <c r="E105" s="88">
        <f>'B1 (Res) Branca OK'!E80</f>
        <v>8.6877848555460851E-2</v>
      </c>
      <c r="F105" s="88">
        <f>'B1 (Res) Branca OK'!F80</f>
        <v>0.32304478104372042</v>
      </c>
      <c r="G105" s="88">
        <f>'B1 (Res) Branca OK'!G80</f>
        <v>5.8581611716452382E-2</v>
      </c>
    </row>
    <row r="106" spans="2:14" x14ac:dyDescent="0.3">
      <c r="B106" s="87" t="s">
        <v>55</v>
      </c>
      <c r="C106" s="87"/>
      <c r="D106" s="88">
        <f>'B1 (Res) Branca OK'!D81</f>
        <v>0.45246416638672077</v>
      </c>
      <c r="E106" s="88">
        <f>'B1 (Res) Branca OK'!E81</f>
        <v>7.39594111182032E-2</v>
      </c>
      <c r="F106" s="88">
        <f>'B1 (Res) Branca OK'!F81</f>
        <v>0.27500913257019954</v>
      </c>
      <c r="G106" s="88">
        <f>'B1 (Res) Branca OK'!G81</f>
        <v>0.19856728992487654</v>
      </c>
    </row>
    <row r="107" spans="2:14" x14ac:dyDescent="0.3">
      <c r="B107" s="87" t="s">
        <v>56</v>
      </c>
      <c r="C107" s="87"/>
      <c r="D107" s="88">
        <f>'B1 (Res) Branca OK'!D82</f>
        <v>0.45246416638672077</v>
      </c>
      <c r="E107" s="88">
        <f>'B1 (Res) Branca OK'!E82</f>
        <v>7.39594111182032E-2</v>
      </c>
      <c r="F107" s="88">
        <f>'B1 (Res) Branca OK'!F82</f>
        <v>0.27500913257019954</v>
      </c>
      <c r="G107" s="88">
        <f>'B1 (Res) Branca OK'!G82</f>
        <v>0.19856728992487654</v>
      </c>
    </row>
    <row r="108" spans="2:14" x14ac:dyDescent="0.3">
      <c r="B108" s="87" t="s">
        <v>57</v>
      </c>
      <c r="C108" s="87"/>
      <c r="D108" s="88">
        <f>'B1 (Res) Branca OK'!D83</f>
        <v>0.45246416638672077</v>
      </c>
      <c r="E108" s="88">
        <f>'B1 (Res) Branca OK'!E83</f>
        <v>7.39594111182032E-2</v>
      </c>
      <c r="F108" s="88">
        <f>'B1 (Res) Branca OK'!F83</f>
        <v>0.27500913257019954</v>
      </c>
      <c r="G108" s="88">
        <f>'B1 (Res) Branca OK'!G83</f>
        <v>0.19856728992487654</v>
      </c>
    </row>
    <row r="109" spans="2:14" x14ac:dyDescent="0.3">
      <c r="B109" s="87" t="s">
        <v>58</v>
      </c>
      <c r="C109" s="87"/>
      <c r="D109" s="88">
        <f>'B1 (Res) Branca OK'!D84</f>
        <v>0.45246416638672077</v>
      </c>
      <c r="E109" s="88">
        <f>'B1 (Res) Branca OK'!E84</f>
        <v>7.39594111182032E-2</v>
      </c>
      <c r="F109" s="88">
        <f>'B1 (Res) Branca OK'!F84</f>
        <v>0.27500913257019954</v>
      </c>
      <c r="G109" s="88">
        <f>'B1 (Res) Branca OK'!G84</f>
        <v>0.19856728992487654</v>
      </c>
    </row>
    <row r="110" spans="2:14" x14ac:dyDescent="0.3">
      <c r="B110" s="87" t="s">
        <v>59</v>
      </c>
      <c r="C110" s="87"/>
      <c r="D110" s="88">
        <f>'B1 (Res) Branca OK'!D85</f>
        <v>0.45246416638672071</v>
      </c>
      <c r="E110" s="88">
        <f>'B1 (Res) Branca OK'!E85</f>
        <v>7.3959411118203186E-2</v>
      </c>
      <c r="F110" s="88">
        <f>'B1 (Res) Branca OK'!F85</f>
        <v>0.27500913257019949</v>
      </c>
      <c r="G110" s="88">
        <f>'B1 (Res) Branca OK'!G85</f>
        <v>0.19856728992487654</v>
      </c>
    </row>
    <row r="111" spans="2:14" x14ac:dyDescent="0.3">
      <c r="B111" s="87" t="s">
        <v>60</v>
      </c>
      <c r="C111" s="87"/>
      <c r="D111" s="88">
        <f>'B1 (Res) Branca OK'!D86</f>
        <v>0.45246416638672071</v>
      </c>
      <c r="E111" s="88">
        <f>'B1 (Res) Branca OK'!E86</f>
        <v>7.3959411118203186E-2</v>
      </c>
      <c r="F111" s="88">
        <f>'B1 (Res) Branca OK'!F86</f>
        <v>0.27500913257019949</v>
      </c>
      <c r="G111" s="88">
        <f>'B1 (Res) Branca OK'!G86</f>
        <v>0.19856728992487654</v>
      </c>
    </row>
    <row r="112" spans="2:14" x14ac:dyDescent="0.3">
      <c r="B112" s="87" t="s">
        <v>61</v>
      </c>
      <c r="C112" s="87"/>
      <c r="D112" s="88">
        <f>'B1 (Res) Branca OK'!D87</f>
        <v>0.45246416638672071</v>
      </c>
      <c r="E112" s="88">
        <f>'B1 (Res) Branca OK'!E87</f>
        <v>7.39594111182032E-2</v>
      </c>
      <c r="F112" s="88">
        <f>'B1 (Res) Branca OK'!F87</f>
        <v>0.27500913257019954</v>
      </c>
      <c r="G112" s="88">
        <f>'B1 (Res) Branca OK'!G87</f>
        <v>0.19856728992487657</v>
      </c>
    </row>
    <row r="113" spans="2:7" x14ac:dyDescent="0.3">
      <c r="B113" s="80"/>
      <c r="C113" s="80"/>
      <c r="D113" s="80"/>
      <c r="E113" s="80"/>
      <c r="F113" s="80"/>
      <c r="G113" s="80"/>
    </row>
    <row r="114" spans="2:7" x14ac:dyDescent="0.3">
      <c r="B114" s="80"/>
      <c r="C114" s="80"/>
      <c r="D114" s="80"/>
      <c r="E114" s="80"/>
      <c r="F114" s="80"/>
      <c r="G114" s="80"/>
    </row>
    <row r="115" spans="2:7" x14ac:dyDescent="0.3">
      <c r="B115" s="80">
        <f>'B1 (Res) Branca OK'!B90</f>
        <v>2023</v>
      </c>
      <c r="C115" s="87"/>
      <c r="D115" s="87" t="s">
        <v>44</v>
      </c>
      <c r="E115" s="87" t="s">
        <v>46</v>
      </c>
      <c r="F115" s="87" t="s">
        <v>45</v>
      </c>
      <c r="G115" s="87" t="s">
        <v>50</v>
      </c>
    </row>
    <row r="116" spans="2:7" x14ac:dyDescent="0.3">
      <c r="B116" s="87" t="s">
        <v>51</v>
      </c>
      <c r="C116" s="87"/>
      <c r="D116" s="87" t="s">
        <v>52</v>
      </c>
      <c r="E116" s="87" t="s">
        <v>52</v>
      </c>
      <c r="F116" s="87" t="s">
        <v>52</v>
      </c>
      <c r="G116" s="87" t="s">
        <v>52</v>
      </c>
    </row>
    <row r="117" spans="2:7" x14ac:dyDescent="0.3">
      <c r="B117" s="87"/>
      <c r="C117" s="87"/>
      <c r="D117" s="87"/>
      <c r="E117" s="87"/>
      <c r="F117" s="87"/>
      <c r="G117" s="87"/>
    </row>
    <row r="118" spans="2:7" x14ac:dyDescent="0.3">
      <c r="B118" s="87" t="s">
        <v>53</v>
      </c>
      <c r="C118" s="87"/>
      <c r="D118" s="88">
        <f>'B1 (Res) Branca OK'!D93</f>
        <v>0.43939696077133034</v>
      </c>
      <c r="E118" s="88">
        <f>'B1 (Res) Branca OK'!E93</f>
        <v>9.2697585625348772E-2</v>
      </c>
      <c r="F118" s="88">
        <f>'B1 (Res) Branca OK'!F93</f>
        <v>0.25285207888477268</v>
      </c>
      <c r="G118" s="88">
        <f>'B1 (Res) Branca OK'!G93</f>
        <v>0.21506308252114117</v>
      </c>
    </row>
    <row r="119" spans="2:7" x14ac:dyDescent="0.3">
      <c r="B119" s="87" t="s">
        <v>54</v>
      </c>
      <c r="C119" s="87"/>
      <c r="D119" s="88">
        <f>'B1 (Res) Branca OK'!D94</f>
        <v>0.52691619996872485</v>
      </c>
      <c r="E119" s="88">
        <f>'B1 (Res) Branca OK'!E94</f>
        <v>0.11116112291319068</v>
      </c>
      <c r="F119" s="88">
        <f>'B1 (Res) Branca OK'!F94</f>
        <v>0.30321524374287334</v>
      </c>
      <c r="G119" s="88">
        <f>'B1 (Res) Branca OK'!G94</f>
        <v>5.8707433375211129E-2</v>
      </c>
    </row>
    <row r="120" spans="2:7" x14ac:dyDescent="0.3">
      <c r="B120" s="87" t="s">
        <v>55</v>
      </c>
      <c r="C120" s="87"/>
      <c r="D120" s="88">
        <f>'B1 (Res) Branca OK'!D95</f>
        <v>0.43939300245552615</v>
      </c>
      <c r="E120" s="88">
        <f>'B1 (Res) Branca OK'!E95</f>
        <v>9.2696750557401245E-2</v>
      </c>
      <c r="F120" s="88">
        <f>'B1 (Res) Branca OK'!F95</f>
        <v>0.25284980106205335</v>
      </c>
      <c r="G120" s="88">
        <f>'B1 (Res) Branca OK'!G95</f>
        <v>0.21506044592501908</v>
      </c>
    </row>
    <row r="121" spans="2:7" x14ac:dyDescent="0.3">
      <c r="B121" s="87" t="s">
        <v>56</v>
      </c>
      <c r="C121" s="87"/>
      <c r="D121" s="88">
        <f>'B1 (Res) Branca OK'!D96</f>
        <v>0.43939300245552615</v>
      </c>
      <c r="E121" s="88">
        <f>'B1 (Res) Branca OK'!E96</f>
        <v>9.2696750557401245E-2</v>
      </c>
      <c r="F121" s="88">
        <f>'B1 (Res) Branca OK'!F96</f>
        <v>0.25284980106205335</v>
      </c>
      <c r="G121" s="88">
        <f>'B1 (Res) Branca OK'!G96</f>
        <v>0.21506044592501908</v>
      </c>
    </row>
    <row r="122" spans="2:7" x14ac:dyDescent="0.3">
      <c r="B122" s="87" t="s">
        <v>57</v>
      </c>
      <c r="C122" s="87"/>
      <c r="D122" s="88">
        <f>'B1 (Res) Branca OK'!D97</f>
        <v>0.43939300245552615</v>
      </c>
      <c r="E122" s="88">
        <f>'B1 (Res) Branca OK'!E97</f>
        <v>9.2696750557401328E-2</v>
      </c>
      <c r="F122" s="88">
        <f>'B1 (Res) Branca OK'!F97</f>
        <v>0.25284980106205335</v>
      </c>
      <c r="G122" s="88">
        <f>'B1 (Res) Branca OK'!G97</f>
        <v>0.21506044592501908</v>
      </c>
    </row>
    <row r="123" spans="2:7" x14ac:dyDescent="0.3">
      <c r="B123" s="87" t="s">
        <v>58</v>
      </c>
      <c r="C123" s="87"/>
      <c r="D123" s="88">
        <f>'B1 (Res) Branca OK'!D98</f>
        <v>0.43939300245552615</v>
      </c>
      <c r="E123" s="88">
        <f>'B1 (Res) Branca OK'!E98</f>
        <v>9.2696750557401328E-2</v>
      </c>
      <c r="F123" s="88">
        <f>'B1 (Res) Branca OK'!F98</f>
        <v>0.25284980106205335</v>
      </c>
      <c r="G123" s="88">
        <f>'B1 (Res) Branca OK'!G98</f>
        <v>0.21506044592501908</v>
      </c>
    </row>
    <row r="124" spans="2:7" x14ac:dyDescent="0.3">
      <c r="B124" s="87" t="s">
        <v>59</v>
      </c>
      <c r="C124" s="87"/>
      <c r="D124" s="88">
        <f>'B1 (Res) Branca OK'!D99</f>
        <v>0</v>
      </c>
      <c r="E124" s="88">
        <f>'B1 (Res) Branca OK'!E99</f>
        <v>0</v>
      </c>
      <c r="F124" s="88">
        <f>'B1 (Res) Branca OK'!F99</f>
        <v>0</v>
      </c>
      <c r="G124" s="88">
        <f>'B1 (Res) Branca OK'!G99</f>
        <v>0</v>
      </c>
    </row>
    <row r="125" spans="2:7" x14ac:dyDescent="0.3">
      <c r="B125" s="87" t="s">
        <v>60</v>
      </c>
      <c r="C125" s="87"/>
      <c r="D125" s="88">
        <f>'B1 (Res) Branca OK'!D100</f>
        <v>0.43938945729126549</v>
      </c>
      <c r="E125" s="88">
        <f>'B1 (Res) Branca OK'!E100</f>
        <v>9.2697336752737058E-2</v>
      </c>
      <c r="F125" s="88">
        <f>'B1 (Res) Branca OK'!F100</f>
        <v>0.25285140003260154</v>
      </c>
      <c r="G125" s="88">
        <f>'B1 (Res) Branca OK'!G100</f>
        <v>0.21506180592339591</v>
      </c>
    </row>
    <row r="126" spans="2:7" x14ac:dyDescent="0.3">
      <c r="B126" s="87" t="s">
        <v>61</v>
      </c>
      <c r="C126" s="87"/>
      <c r="D126" s="88">
        <f>'B1 (Res) Branca OK'!D101</f>
        <v>0.43938945729126527</v>
      </c>
      <c r="E126" s="88">
        <f>'B1 (Res) Branca OK'!E101</f>
        <v>9.2697336752736934E-2</v>
      </c>
      <c r="F126" s="88">
        <f>'B1 (Res) Branca OK'!F101</f>
        <v>0.25285140003260193</v>
      </c>
      <c r="G126" s="88">
        <f>'B1 (Res) Branca OK'!G101</f>
        <v>0.21506180592339585</v>
      </c>
    </row>
    <row r="127" spans="2:7" x14ac:dyDescent="0.3">
      <c r="B127" s="80"/>
      <c r="C127" s="80"/>
      <c r="D127" s="80"/>
      <c r="E127" s="80"/>
      <c r="F127" s="80"/>
      <c r="G127" s="80"/>
    </row>
    <row r="128" spans="2:7" x14ac:dyDescent="0.3">
      <c r="B128" s="89" t="s">
        <v>66</v>
      </c>
      <c r="C128" s="80"/>
      <c r="D128" s="80"/>
      <c r="E128" s="80"/>
      <c r="F128" s="80"/>
      <c r="G128" s="80"/>
    </row>
    <row r="129" spans="2:7" x14ac:dyDescent="0.3">
      <c r="B129" s="87"/>
      <c r="C129" s="87"/>
      <c r="D129" s="87" t="s">
        <v>44</v>
      </c>
      <c r="E129" s="87" t="s">
        <v>46</v>
      </c>
      <c r="F129" s="87" t="s">
        <v>45</v>
      </c>
      <c r="G129" s="87" t="s">
        <v>50</v>
      </c>
    </row>
    <row r="130" spans="2:7" x14ac:dyDescent="0.3">
      <c r="B130" s="87" t="s">
        <v>51</v>
      </c>
      <c r="C130" s="87"/>
      <c r="D130" s="88" t="s">
        <v>52</v>
      </c>
      <c r="E130" s="88" t="s">
        <v>52</v>
      </c>
      <c r="F130" s="88" t="s">
        <v>52</v>
      </c>
      <c r="G130" s="88" t="s">
        <v>52</v>
      </c>
    </row>
    <row r="131" spans="2:7" x14ac:dyDescent="0.3">
      <c r="B131" s="87"/>
      <c r="C131" s="87"/>
      <c r="D131" s="88"/>
      <c r="E131" s="88"/>
      <c r="F131" s="88"/>
      <c r="G131" s="88"/>
    </row>
    <row r="132" spans="2:7" x14ac:dyDescent="0.3">
      <c r="B132" s="87" t="s">
        <v>53</v>
      </c>
      <c r="C132" s="87"/>
      <c r="D132" s="88">
        <f t="shared" ref="D132:G140" si="21">((D118*$C$15)+(D104*$D$15))/($C$15+$D$15)</f>
        <v>0.44505941653799952</v>
      </c>
      <c r="E132" s="88">
        <f t="shared" si="21"/>
        <v>8.4577710005585699E-2</v>
      </c>
      <c r="F132" s="88">
        <f t="shared" si="21"/>
        <v>0.26245346881512432</v>
      </c>
      <c r="G132" s="88">
        <f t="shared" si="21"/>
        <v>0.20791490572942653</v>
      </c>
    </row>
    <row r="133" spans="2:7" x14ac:dyDescent="0.3">
      <c r="B133" s="87" t="s">
        <v>54</v>
      </c>
      <c r="C133" s="87"/>
      <c r="D133" s="88">
        <f t="shared" si="21"/>
        <v>0.52890067541216945</v>
      </c>
      <c r="E133" s="88">
        <f t="shared" si="21"/>
        <v>0.10063837069150774</v>
      </c>
      <c r="F133" s="88">
        <f t="shared" si="21"/>
        <v>0.31180804323990707</v>
      </c>
      <c r="G133" s="88">
        <f t="shared" si="21"/>
        <v>5.8652910656415667E-2</v>
      </c>
    </row>
    <row r="134" spans="2:7" x14ac:dyDescent="0.3">
      <c r="B134" s="87" t="s">
        <v>55</v>
      </c>
      <c r="C134" s="87"/>
      <c r="D134" s="88">
        <f t="shared" si="21"/>
        <v>0.44505717349237717</v>
      </c>
      <c r="E134" s="88">
        <f t="shared" si="21"/>
        <v>8.4577236800415415E-2</v>
      </c>
      <c r="F134" s="88">
        <f t="shared" si="21"/>
        <v>0.26245217804891668</v>
      </c>
      <c r="G134" s="88">
        <f t="shared" si="21"/>
        <v>0.20791341165829064</v>
      </c>
    </row>
    <row r="135" spans="2:7" x14ac:dyDescent="0.3">
      <c r="B135" s="87" t="s">
        <v>56</v>
      </c>
      <c r="C135" s="87"/>
      <c r="D135" s="88">
        <f t="shared" si="21"/>
        <v>0.44505717349237717</v>
      </c>
      <c r="E135" s="88">
        <f t="shared" si="21"/>
        <v>8.4577236800415415E-2</v>
      </c>
      <c r="F135" s="88">
        <f t="shared" si="21"/>
        <v>0.26245217804891668</v>
      </c>
      <c r="G135" s="88">
        <f t="shared" si="21"/>
        <v>0.20791341165829064</v>
      </c>
    </row>
    <row r="136" spans="2:7" x14ac:dyDescent="0.3">
      <c r="B136" s="87" t="s">
        <v>57</v>
      </c>
      <c r="C136" s="87"/>
      <c r="D136" s="88">
        <f t="shared" si="21"/>
        <v>0.44505717349237717</v>
      </c>
      <c r="E136" s="88">
        <f t="shared" si="21"/>
        <v>8.457723680041547E-2</v>
      </c>
      <c r="F136" s="88">
        <f t="shared" si="21"/>
        <v>0.26245217804891668</v>
      </c>
      <c r="G136" s="88">
        <f t="shared" si="21"/>
        <v>0.20791341165829064</v>
      </c>
    </row>
    <row r="137" spans="2:7" x14ac:dyDescent="0.3">
      <c r="B137" s="87" t="s">
        <v>58</v>
      </c>
      <c r="C137" s="87"/>
      <c r="D137" s="88">
        <f t="shared" si="21"/>
        <v>0.44505717349237717</v>
      </c>
      <c r="E137" s="88">
        <f t="shared" si="21"/>
        <v>8.457723680041547E-2</v>
      </c>
      <c r="F137" s="88">
        <f t="shared" si="21"/>
        <v>0.26245217804891668</v>
      </c>
      <c r="G137" s="88">
        <f t="shared" si="21"/>
        <v>0.20791341165829064</v>
      </c>
    </row>
    <row r="138" spans="2:7" x14ac:dyDescent="0.3">
      <c r="B138" s="87" t="s">
        <v>59</v>
      </c>
      <c r="C138" s="87"/>
      <c r="D138" s="88">
        <f t="shared" si="21"/>
        <v>0.19606780543424565</v>
      </c>
      <c r="E138" s="88">
        <f t="shared" si="21"/>
        <v>3.2049078151221384E-2</v>
      </c>
      <c r="F138" s="88">
        <f t="shared" si="21"/>
        <v>0.11917062411375311</v>
      </c>
      <c r="G138" s="88">
        <f t="shared" si="21"/>
        <v>8.6045825634113171E-2</v>
      </c>
    </row>
    <row r="139" spans="2:7" x14ac:dyDescent="0.3">
      <c r="B139" s="87" t="s">
        <v>60</v>
      </c>
      <c r="C139" s="87"/>
      <c r="D139" s="88">
        <f t="shared" si="21"/>
        <v>0.44505516456596272</v>
      </c>
      <c r="E139" s="88">
        <f t="shared" si="21"/>
        <v>8.4577568977772383E-2</v>
      </c>
      <c r="F139" s="88">
        <f t="shared" si="21"/>
        <v>0.26245308413222729</v>
      </c>
      <c r="G139" s="88">
        <f t="shared" si="21"/>
        <v>0.20791418232403752</v>
      </c>
    </row>
    <row r="140" spans="2:7" x14ac:dyDescent="0.3">
      <c r="B140" s="87" t="s">
        <v>61</v>
      </c>
      <c r="C140" s="87"/>
      <c r="D140" s="88">
        <f t="shared" si="21"/>
        <v>0.44505516456596261</v>
      </c>
      <c r="E140" s="88">
        <f t="shared" si="21"/>
        <v>8.4577568977772313E-2</v>
      </c>
      <c r="F140" s="88">
        <f t="shared" si="21"/>
        <v>0.26245308413222757</v>
      </c>
      <c r="G140" s="88">
        <f t="shared" si="21"/>
        <v>0.20791418232403749</v>
      </c>
    </row>
    <row r="145" spans="2:11" x14ac:dyDescent="0.3">
      <c r="B145" s="27" t="s">
        <v>138</v>
      </c>
      <c r="C145" s="28">
        <f>'B1 (Res) Branca OK'!C6</f>
        <v>0.93761000000000005</v>
      </c>
      <c r="D145" s="28">
        <f>'B1 (Res) Branca OK'!D6</f>
        <v>0.48448000000000002</v>
      </c>
      <c r="E145" s="28">
        <f>'B1 (Res) Branca OK'!E6</f>
        <v>1.4220900000000001</v>
      </c>
      <c r="F145" s="28">
        <f>'B1 (Res) Branca OK'!F6</f>
        <v>0.99902000000000002</v>
      </c>
      <c r="G145" s="28">
        <f>'B1 (Res) Branca OK'!G6</f>
        <v>0.51690999999999998</v>
      </c>
      <c r="H145" s="28">
        <f>'B1 (Res) Branca OK'!H6</f>
        <v>1.51593</v>
      </c>
      <c r="I145" s="28">
        <f>'B1 (Res) Branca OK'!I6</f>
        <v>0.96626800000000002</v>
      </c>
      <c r="J145" s="28">
        <f>'B1 (Res) Branca OK'!J6</f>
        <v>0.499614</v>
      </c>
      <c r="K145" s="29">
        <f t="shared" ref="K145:K147" si="22">I145+J145</f>
        <v>1.4658820000000001</v>
      </c>
    </row>
    <row r="146" spans="2:11" x14ac:dyDescent="0.3">
      <c r="B146" s="27" t="s">
        <v>139</v>
      </c>
      <c r="C146" s="28">
        <f>'B1 (Res) Branca OK'!C7</f>
        <v>0.36496000000000001</v>
      </c>
      <c r="D146" s="28">
        <f>'B1 (Res) Branca OK'!D7</f>
        <v>0.30579000000000001</v>
      </c>
      <c r="E146" s="28">
        <f>'B1 (Res) Branca OK'!E7</f>
        <v>0.67074999999999996</v>
      </c>
      <c r="F146" s="28">
        <f>'B1 (Res) Branca OK'!F7</f>
        <v>0.39741000000000004</v>
      </c>
      <c r="G146" s="28">
        <f>'B1 (Res) Branca OK'!G7</f>
        <v>0.32106999999999997</v>
      </c>
      <c r="H146" s="28">
        <f>'B1 (Res) Branca OK'!H7</f>
        <v>0.71848000000000001</v>
      </c>
      <c r="I146" s="28">
        <f>'B1 (Res) Branca OK'!I7</f>
        <v>0.3801033333333334</v>
      </c>
      <c r="J146" s="28">
        <f>'B1 (Res) Branca OK'!J7</f>
        <v>0.31292066666666668</v>
      </c>
      <c r="K146" s="29">
        <f t="shared" si="22"/>
        <v>0.69302400000000008</v>
      </c>
    </row>
    <row r="147" spans="2:11" x14ac:dyDescent="0.3">
      <c r="B147" s="27" t="s">
        <v>140</v>
      </c>
      <c r="C147" s="28">
        <f>'B1 (Res) Branca OK'!C8</f>
        <v>0.65128999999999992</v>
      </c>
      <c r="D147" s="28">
        <f>'B1 (Res) Branca OK'!D8</f>
        <v>0.30579000000000001</v>
      </c>
      <c r="E147" s="28">
        <f>'B1 (Res) Branca OK'!E8</f>
        <v>0.95707999999999993</v>
      </c>
      <c r="F147" s="28">
        <f>'B1 (Res) Branca OK'!F8</f>
        <v>0.69821</v>
      </c>
      <c r="G147" s="28">
        <f>'B1 (Res) Branca OK'!G8</f>
        <v>0.32106999999999997</v>
      </c>
      <c r="H147" s="28">
        <f>'B1 (Res) Branca OK'!H8</f>
        <v>1.01928</v>
      </c>
      <c r="I147" s="28">
        <f>'B1 (Res) Branca OK'!I8</f>
        <v>0.67318599999999995</v>
      </c>
      <c r="J147" s="28">
        <f>'B1 (Res) Branca OK'!J8</f>
        <v>0.31292066666666668</v>
      </c>
      <c r="K147" s="29">
        <f t="shared" si="22"/>
        <v>0.98610666666666669</v>
      </c>
    </row>
  </sheetData>
  <customSheetViews>
    <customSheetView guid="{93A7E07A-AC2D-4310-B7ED-B74DACBA50A7}" scale="80" showGridLines="0">
      <selection activeCell="K19" sqref="K19"/>
      <pageMargins left="0.511811024" right="0.511811024" top="0.78740157499999996" bottom="0.78740157499999996" header="0.31496062000000002" footer="0.31496062000000002"/>
      <pageSetup orientation="portrait" r:id="rId1"/>
    </customSheetView>
    <customSheetView guid="{EB662AE4-4B22-40EC-8355-9AD94D059B97}" scale="80" showGridLines="0" topLeftCell="A7">
      <selection activeCell="A26" sqref="A26:XFD26"/>
      <pageMargins left="0.511811024" right="0.511811024" top="0.78740157499999996" bottom="0.78740157499999996" header="0.31496062000000002" footer="0.31496062000000002"/>
      <pageSetup orientation="portrait" r:id="rId2"/>
    </customSheetView>
    <customSheetView guid="{A8592FA0-1011-4F02-BFB0-BB1C65ED9311}" scale="80" showGridLines="0">
      <selection activeCell="N35" sqref="N35"/>
      <pageMargins left="0.511811024" right="0.511811024" top="0.78740157499999996" bottom="0.78740157499999996" header="0.31496062000000002" footer="0.31496062000000002"/>
      <pageSetup orientation="portrait" r:id="rId3"/>
    </customSheetView>
  </customSheetViews>
  <mergeCells count="10">
    <mergeCell ref="R4:T4"/>
    <mergeCell ref="U4:W4"/>
    <mergeCell ref="K12:L12"/>
    <mergeCell ref="B47:H47"/>
    <mergeCell ref="H2:I2"/>
    <mergeCell ref="B4:B5"/>
    <mergeCell ref="C4:E4"/>
    <mergeCell ref="F4:H4"/>
    <mergeCell ref="I4:K4"/>
    <mergeCell ref="Q4:Q5"/>
  </mergeCells>
  <conditionalFormatting sqref="K13:L13">
    <cfRule type="cellIs" dxfId="98" priority="1" operator="equal">
      <formula>"Escassez Hídrica"</formula>
    </cfRule>
    <cfRule type="cellIs" dxfId="97" priority="2" operator="equal">
      <formula>"VERDE"</formula>
    </cfRule>
    <cfRule type="cellIs" dxfId="96" priority="3" operator="equal">
      <formula>"BVM2"</formula>
    </cfRule>
    <cfRule type="cellIs" dxfId="95" priority="4" operator="equal">
      <formula>"BVM1"</formula>
    </cfRule>
    <cfRule type="cellIs" dxfId="94" priority="5" operator="equal">
      <formula>"BAM"</formula>
    </cfRule>
  </conditionalFormatting>
  <conditionalFormatting sqref="M3">
    <cfRule type="cellIs" dxfId="93" priority="16" operator="equal">
      <formula>"VERDE"</formula>
    </cfRule>
    <cfRule type="cellIs" dxfId="92" priority="17" operator="equal">
      <formula>"BVM2"</formula>
    </cfRule>
    <cfRule type="cellIs" dxfId="91" priority="18" operator="equal">
      <formula>"BVM1"</formula>
    </cfRule>
    <cfRule type="cellIs" dxfId="90" priority="19" operator="equal">
      <formula>"BAM"</formula>
    </cfRule>
  </conditionalFormatting>
  <conditionalFormatting sqref="M7">
    <cfRule type="containsText" dxfId="89" priority="11" operator="containsText" text="Escassez Hídrica">
      <formula>NOT(ISERROR(SEARCH("Escassez Hídrica",M7)))</formula>
    </cfRule>
    <cfRule type="cellIs" dxfId="88" priority="12" operator="equal">
      <formula>"VERDE"</formula>
    </cfRule>
    <cfRule type="cellIs" dxfId="87" priority="13" operator="equal">
      <formula>"BVM2"</formula>
    </cfRule>
    <cfRule type="cellIs" dxfId="86" priority="14" operator="equal">
      <formula>"BVM1"</formula>
    </cfRule>
    <cfRule type="cellIs" dxfId="85" priority="15" operator="equal">
      <formula>"BAM"</formula>
    </cfRule>
  </conditionalFormatting>
  <dataValidations disablePrompts="1" count="1">
    <dataValidation type="list" allowBlank="1" showInputMessage="1" showErrorMessage="1" sqref="K13:L13" xr:uid="{F64E338E-3C47-44D9-B8D5-94507E3E7F17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20"/>
  <sheetViews>
    <sheetView showGridLines="0" topLeftCell="A10" zoomScale="80" zoomScaleNormal="80" workbookViewId="0">
      <selection activeCell="P19" sqref="P19"/>
    </sheetView>
  </sheetViews>
  <sheetFormatPr defaultColWidth="9.109375" defaultRowHeight="14.4" x14ac:dyDescent="0.3"/>
  <cols>
    <col min="1" max="1" width="5.44140625" style="14" customWidth="1"/>
    <col min="2" max="2" width="27" style="14" customWidth="1"/>
    <col min="3" max="3" width="12.6640625" style="14" customWidth="1"/>
    <col min="4" max="4" width="13.88671875" style="14" customWidth="1"/>
    <col min="5" max="10" width="12.6640625" style="14" customWidth="1"/>
    <col min="11" max="12" width="14.33203125" style="14" customWidth="1"/>
    <col min="13" max="16" width="12.6640625" style="14" customWidth="1"/>
    <col min="17" max="17" width="15.88671875" style="14" bestFit="1" customWidth="1"/>
    <col min="18" max="18" width="12.109375" style="14" bestFit="1" customWidth="1"/>
    <col min="19" max="19" width="13.109375" style="14" bestFit="1" customWidth="1"/>
    <col min="20" max="20" width="14.8867187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26" width="11.33203125" style="14" bestFit="1" customWidth="1"/>
    <col min="27" max="16384" width="9.109375" style="14"/>
  </cols>
  <sheetData>
    <row r="1" spans="1:28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8" ht="18" x14ac:dyDescent="0.3">
      <c r="B2" s="17" t="s">
        <v>10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8" x14ac:dyDescent="0.3">
      <c r="M3" s="20" t="s">
        <v>22</v>
      </c>
      <c r="N3" s="165">
        <f>'B1 (Res) Branca OK'!N3</f>
        <v>0</v>
      </c>
    </row>
    <row r="4" spans="1:28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  <c r="X4" s="279" t="s">
        <v>69</v>
      </c>
      <c r="Y4" s="280"/>
      <c r="Z4" s="281"/>
    </row>
    <row r="5" spans="1:28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  <c r="Z5"/>
    </row>
    <row r="6" spans="1:28" x14ac:dyDescent="0.3">
      <c r="B6" s="27" t="s">
        <v>146</v>
      </c>
      <c r="C6" s="28">
        <f>'TABELA DE TARIFAS ANTIGAS'!G86/1000</f>
        <v>1.0610299999999999</v>
      </c>
      <c r="D6" s="28">
        <f>'TABELA DE TARIFAS ANTIGAS'!H86/1000</f>
        <v>0.48448000000000002</v>
      </c>
      <c r="E6" s="28">
        <f t="shared" ref="E6:E8" si="0">C6+D6</f>
        <v>1.5455099999999999</v>
      </c>
      <c r="F6" s="28">
        <f>'TABELA DE TARIFAS NOVAS'!G88/1000</f>
        <v>1.1286700000000001</v>
      </c>
      <c r="G6" s="28">
        <f>'TABELA DE TARIFAS NOVAS'!H88/1000</f>
        <v>0.51690999999999998</v>
      </c>
      <c r="H6" s="28">
        <f t="shared" ref="H6:H9" si="1">F6+G6</f>
        <v>1.64558</v>
      </c>
      <c r="I6" s="28">
        <f t="shared" ref="I6:J9" si="2">((C6*$C$15)+(F6*$D$15))/($D$15+$C$15)</f>
        <v>1.0925953333333334</v>
      </c>
      <c r="J6" s="28">
        <f t="shared" si="2"/>
        <v>0.499614</v>
      </c>
      <c r="K6" s="29">
        <f t="shared" ref="K6:K9" si="3">I6+J6</f>
        <v>1.5922093333333334</v>
      </c>
      <c r="M6" s="7" t="s">
        <v>37</v>
      </c>
      <c r="N6" s="8">
        <f>'B1 (Res) Branca OK'!N6</f>
        <v>7.8770000000000007E-2</v>
      </c>
      <c r="Q6" s="27" t="str">
        <f>B6</f>
        <v>B3 Ponta</v>
      </c>
      <c r="R6" s="28">
        <f>'FIO B'!H31/1000</f>
        <v>0.69302445456809059</v>
      </c>
      <c r="S6"/>
      <c r="T6"/>
      <c r="U6" s="28">
        <f>'FIO B'!K31/1000</f>
        <v>0.71111541346497797</v>
      </c>
      <c r="V6"/>
      <c r="W6"/>
      <c r="X6" s="28">
        <f>((R6*$C$46)+(U6*$D$46))/($D$46+$C$46)</f>
        <v>0.70146690205330464</v>
      </c>
      <c r="Y6"/>
      <c r="Z6"/>
    </row>
    <row r="7" spans="1:28" customFormat="1" x14ac:dyDescent="0.3">
      <c r="B7" s="27" t="s">
        <v>147</v>
      </c>
      <c r="C7" s="28">
        <f>'TABELA DE TARIFAS ANTIGAS'!G88/1000</f>
        <v>0.38965</v>
      </c>
      <c r="D7" s="28">
        <f>'TABELA DE TARIFAS ANTIGAS'!H88/1000</f>
        <v>0.30579000000000001</v>
      </c>
      <c r="E7" s="28">
        <f t="shared" si="0"/>
        <v>0.69544000000000006</v>
      </c>
      <c r="F7" s="28">
        <f>'TABELA DE TARIFAS NOVAS'!G90/1000</f>
        <v>0.42333999999999999</v>
      </c>
      <c r="G7" s="28">
        <f>'TABELA DE TARIFAS NOVAS'!H90/1000</f>
        <v>0.32106999999999997</v>
      </c>
      <c r="H7" s="28">
        <f t="shared" si="1"/>
        <v>0.74441000000000002</v>
      </c>
      <c r="I7" s="28">
        <f t="shared" si="2"/>
        <v>0.40537199999999995</v>
      </c>
      <c r="J7" s="28">
        <f t="shared" si="2"/>
        <v>0.31292066666666668</v>
      </c>
      <c r="K7" s="29">
        <f t="shared" si="3"/>
        <v>0.71829266666666669</v>
      </c>
      <c r="M7" s="20" t="s">
        <v>149</v>
      </c>
      <c r="N7" s="142">
        <f>'B1 (Res) Branca OK'!N7</f>
        <v>0.14199999999999999</v>
      </c>
      <c r="Q7" s="27" t="str">
        <f t="shared" ref="Q7:Q8" si="4">B7</f>
        <v>B3 Fora Ponta</v>
      </c>
      <c r="R7" s="28">
        <f>'FIO B'!H33/1000</f>
        <v>0.13860487080740844</v>
      </c>
      <c r="U7" s="28">
        <f>'FIO B'!K33/1000</f>
        <v>0.14222306206192598</v>
      </c>
      <c r="X7" s="28">
        <f>((R7*$C$46)+(U7*$D$46))/($D$46+$C$46)</f>
        <v>0.14029336005951662</v>
      </c>
      <c r="AA7" s="14"/>
      <c r="AB7" s="14"/>
    </row>
    <row r="8" spans="1:28" customFormat="1" x14ac:dyDescent="0.3">
      <c r="B8" s="27" t="s">
        <v>148</v>
      </c>
      <c r="C8" s="28">
        <f>'TABELA DE TARIFAS ANTIGAS'!G87/1000</f>
        <v>0.72533999999999998</v>
      </c>
      <c r="D8" s="28">
        <f>'TABELA DE TARIFAS ANTIGAS'!H87/1000</f>
        <v>0.30579000000000001</v>
      </c>
      <c r="E8" s="28">
        <f t="shared" si="0"/>
        <v>1.0311300000000001</v>
      </c>
      <c r="F8" s="28">
        <f>'TABELA DE TARIFAS NOVAS'!G89/1000</f>
        <v>0.77600999999999998</v>
      </c>
      <c r="G8" s="28">
        <f>'TABELA DE TARIFAS NOVAS'!H89/1000</f>
        <v>0.32106999999999997</v>
      </c>
      <c r="H8" s="28">
        <f t="shared" si="1"/>
        <v>1.0970800000000001</v>
      </c>
      <c r="I8" s="28">
        <f t="shared" si="2"/>
        <v>0.74898600000000004</v>
      </c>
      <c r="J8" s="28">
        <f t="shared" si="2"/>
        <v>0.31292066666666668</v>
      </c>
      <c r="K8" s="29">
        <f t="shared" si="3"/>
        <v>1.0619066666666668</v>
      </c>
      <c r="Q8" s="27" t="str">
        <f t="shared" si="4"/>
        <v>B3 Interm.</v>
      </c>
      <c r="R8" s="28">
        <f>'FIO B'!H32/1000</f>
        <v>0.41581471295327371</v>
      </c>
      <c r="U8" s="28">
        <f>'FIO B'!K32/1000</f>
        <v>0.42666928934112502</v>
      </c>
      <c r="X8" s="28">
        <f>((R8*$C$46)+(U8*$D$46))/($D$46+$C$46)</f>
        <v>0.42088018193427101</v>
      </c>
      <c r="AA8" s="14"/>
      <c r="AB8" s="14"/>
    </row>
    <row r="9" spans="1:28" customFormat="1" x14ac:dyDescent="0.3">
      <c r="B9" s="184" t="s">
        <v>182</v>
      </c>
      <c r="C9" s="29">
        <f>'B1 (Res) Branca OK'!C9</f>
        <v>1.8774721494831901E-4</v>
      </c>
      <c r="D9" s="29">
        <f>'B1 (Res) Branca OK'!D9</f>
        <v>-4.4031307414479802E-3</v>
      </c>
      <c r="E9" s="29">
        <f>SUM(C9+D9)</f>
        <v>-4.2153835264996612E-3</v>
      </c>
      <c r="F9" s="29">
        <f>T13</f>
        <v>1.84189231569235E-4</v>
      </c>
      <c r="G9" s="29">
        <f>U13</f>
        <v>-5.3182974871251499E-4</v>
      </c>
      <c r="H9" s="29">
        <f t="shared" si="1"/>
        <v>-3.4764051714327999E-4</v>
      </c>
      <c r="I9" s="28">
        <f t="shared" si="2"/>
        <v>1.8608682270474647E-4</v>
      </c>
      <c r="J9" s="28">
        <f t="shared" si="2"/>
        <v>-2.5965236115047629E-3</v>
      </c>
      <c r="K9" s="29">
        <f t="shared" si="3"/>
        <v>-2.4104367888000164E-3</v>
      </c>
      <c r="AA9" s="14"/>
      <c r="AB9" s="14"/>
    </row>
    <row r="10" spans="1:28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  <c r="Z10" s="16"/>
    </row>
    <row r="11" spans="1:28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f>EOMONTH(B15,0)+1</f>
        <v>46235</v>
      </c>
      <c r="P11" s="173" t="s">
        <v>179</v>
      </c>
      <c r="Q11" s="174"/>
      <c r="R11" s="175"/>
      <c r="S11" s="175"/>
      <c r="T11" s="176"/>
      <c r="U11" s="176"/>
    </row>
    <row r="12" spans="1:28" x14ac:dyDescent="0.3">
      <c r="B12" s="34" t="s">
        <v>34</v>
      </c>
      <c r="C12" s="255">
        <v>160008463</v>
      </c>
      <c r="E12" s="16"/>
      <c r="F12" s="16"/>
      <c r="G12" s="16"/>
      <c r="H12" s="35">
        <f>E15</f>
        <v>46254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v>0</v>
      </c>
    </row>
    <row r="13" spans="1:28" x14ac:dyDescent="0.3">
      <c r="B13" s="36"/>
      <c r="H13" s="37"/>
      <c r="K13" s="20" t="str">
        <f>'B1 (Res) Branca OK'!K13</f>
        <v>BAM</v>
      </c>
      <c r="L13" s="20" t="str">
        <f>'B1 (Res) Branca OK'!L13</f>
        <v>BAM</v>
      </c>
      <c r="P13" s="181" t="s">
        <v>181</v>
      </c>
      <c r="Q13" s="182"/>
      <c r="R13" s="183"/>
      <c r="S13" s="183"/>
      <c r="T13" s="197">
        <f>'B1 (Res) Branca OK'!T13</f>
        <v>1.84189231569235E-4</v>
      </c>
      <c r="U13" s="197">
        <f>'B1 (Res) Branca OK'!U13</f>
        <v>-5.3182974871251499E-4</v>
      </c>
    </row>
    <row r="14" spans="1:28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8" x14ac:dyDescent="0.3">
      <c r="B15" s="40">
        <v>46224</v>
      </c>
      <c r="C15" s="41">
        <f>IF((F2-B15-1)&lt;0,0,(F2-B15-1))</f>
        <v>16</v>
      </c>
      <c r="D15" s="41">
        <f>E15-F2+1</f>
        <v>14</v>
      </c>
      <c r="E15" s="40">
        <v>46254</v>
      </c>
      <c r="F15" s="42"/>
      <c r="G15" s="42"/>
      <c r="H15" s="43"/>
      <c r="J15" s="44">
        <f>B15</f>
        <v>46224</v>
      </c>
      <c r="K15" s="45">
        <f>IF((M11-J15-1)&lt;0,0,(M11-J15-1))</f>
        <v>10</v>
      </c>
      <c r="L15" s="45">
        <f>M15-M11+1</f>
        <v>20</v>
      </c>
      <c r="M15" s="44">
        <f>E15</f>
        <v>46254</v>
      </c>
      <c r="O15" s="256" t="s">
        <v>151</v>
      </c>
      <c r="P15" s="257"/>
      <c r="Q15" s="258">
        <v>1025310394</v>
      </c>
    </row>
    <row r="16" spans="1:28" s="16" customFormat="1" x14ac:dyDescent="0.3">
      <c r="F16" s="42"/>
      <c r="G16" s="42"/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19</v>
      </c>
      <c r="E19" s="208">
        <f>IFERROR((ROUND(D19*K19,2)+ROUND(G19,2)+ROUND(J19,2))/ROUND(D19,4), 0)</f>
        <v>1.4031578947368424</v>
      </c>
      <c r="F19" s="209">
        <f>ROUND(D19*E19,2)</f>
        <v>26.66</v>
      </c>
      <c r="G19" s="209">
        <f>((D19*K19)/(1-$N$19-$N$20))*($N$19+$N$20)</f>
        <v>1.3650746128814522</v>
      </c>
      <c r="H19" s="210">
        <f>ROUND((D19*K19)/(1-$N$19-$N$20)/(1-$I$19),8)</f>
        <v>26.655886679999998</v>
      </c>
      <c r="I19" s="211">
        <v>0.17</v>
      </c>
      <c r="J19" s="210">
        <f>H19*$I$19</f>
        <v>4.5315007355999999</v>
      </c>
      <c r="K19" s="208">
        <f>IF(AND($B$15&lt;$F$2,$E$15&lt;$F$2),C6,IF($B$15&lt;$F$2,I6,F6))</f>
        <v>1.0925953333333334</v>
      </c>
      <c r="L19" s="47" t="s">
        <v>27</v>
      </c>
      <c r="M19" s="209">
        <f>D66</f>
        <v>289.87530640520089</v>
      </c>
      <c r="N19" s="212">
        <f>'B1 (Res) Branca OK'!N19</f>
        <v>1.0999999999999999E-2</v>
      </c>
      <c r="O19" s="213">
        <f>ROUND(M19*N19,2)</f>
        <v>3.19</v>
      </c>
      <c r="P19" s="16"/>
      <c r="Q19" s="16"/>
      <c r="R19" s="144" t="s">
        <v>155</v>
      </c>
      <c r="S19" s="144" t="s">
        <v>156</v>
      </c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16</v>
      </c>
      <c r="E20" s="208">
        <f t="shared" ref="E20:E24" si="5">IFERROR((ROUND(D20*K20,2)+ROUND(G20,2)+ROUND(J20,2))/ROUND(D20,4), 0)</f>
        <v>0.96187500000000004</v>
      </c>
      <c r="F20" s="209">
        <f t="shared" ref="F20:F28" si="6">ROUND(D20*E20,2)</f>
        <v>15.39</v>
      </c>
      <c r="G20" s="209">
        <f>((D20*K20)/(1-$N$19-$N$20))*($N$19+$N$20)</f>
        <v>0.78801980091655133</v>
      </c>
      <c r="H20" s="210">
        <f>ROUND((D20*K20)/(1-$N$19-$N$20)/(1-$I$19),8)</f>
        <v>15.387705779999999</v>
      </c>
      <c r="I20" s="211">
        <f>I19</f>
        <v>0.17</v>
      </c>
      <c r="J20" s="210">
        <f t="shared" ref="J20:J28" si="7">H20*$I$19</f>
        <v>2.6159099825999999</v>
      </c>
      <c r="K20" s="208">
        <f>IF(AND($B$15&lt;$F$2,$E$15&lt;$F$2),C8,IF($B$15&lt;$F$2,I8,F8))</f>
        <v>0.74898600000000004</v>
      </c>
      <c r="L20" s="47" t="s">
        <v>19</v>
      </c>
      <c r="M20" s="209">
        <f>M19</f>
        <v>289.87530640520089</v>
      </c>
      <c r="N20" s="212">
        <f>'B1 (Res) Branca OK'!N20</f>
        <v>5.0700000000000002E-2</v>
      </c>
      <c r="O20" s="213">
        <f>ROUND(M20*N20,2)</f>
        <v>14.7</v>
      </c>
      <c r="P20" s="16"/>
      <c r="Q20" s="16"/>
      <c r="R20" s="150">
        <f>IF(AND($B$46&lt;$F$2,$E$46&lt;$F$2),R6,IF($B$46&lt;$F$2,X6,U6))</f>
        <v>0.70146690205330464</v>
      </c>
      <c r="S20" s="151">
        <f>D52*R20</f>
        <v>13.327871139012789</v>
      </c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304</v>
      </c>
      <c r="E21" s="208">
        <f t="shared" si="5"/>
        <v>0.52049342105263163</v>
      </c>
      <c r="F21" s="209">
        <f t="shared" si="6"/>
        <v>158.22999999999999</v>
      </c>
      <c r="G21" s="209">
        <f>((D21*K21)/(1-$N$19-$N$20))*($N$19+$N$20)</f>
        <v>8.1034653411488851</v>
      </c>
      <c r="H21" s="210">
        <f>ROUND((D21*K21)/(1-$N$19-$N$20)/(1-$I$19),8)</f>
        <v>158.23681124999999</v>
      </c>
      <c r="I21" s="211">
        <f>I19</f>
        <v>0.17</v>
      </c>
      <c r="J21" s="210">
        <f t="shared" si="7"/>
        <v>26.900257912499999</v>
      </c>
      <c r="K21" s="208">
        <f>IF(AND($B$15&lt;$F$2,$E$15&lt;$F$2),C7,IF($B$15&lt;$F$2,I7,F7))</f>
        <v>0.40537199999999995</v>
      </c>
      <c r="L21" s="226"/>
      <c r="M21" s="227"/>
      <c r="N21" s="228"/>
      <c r="O21" s="229"/>
      <c r="P21" s="16"/>
      <c r="Q21" s="16"/>
      <c r="R21" s="150">
        <f>IF(AND($B$46&lt;$F$2,$E$46&lt;$F$2),R7,IF($B$46&lt;$F$2,X7,U7))</f>
        <v>0.14029336005951662</v>
      </c>
      <c r="S21" s="151">
        <f>D53*R21</f>
        <v>42.649181458093054</v>
      </c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19</v>
      </c>
      <c r="E22" s="208">
        <f t="shared" si="5"/>
        <v>0.64105263157894732</v>
      </c>
      <c r="F22" s="209">
        <f t="shared" si="6"/>
        <v>12.18</v>
      </c>
      <c r="G22" s="209">
        <f>((D22*K22)/(1-$N$19-$N$20))*($N$19+$N$20)</f>
        <v>0.62421133134391993</v>
      </c>
      <c r="H22" s="210">
        <f>(D22*K22)/(1-$N$19-$N$20)/(1-$I$19)</f>
        <v>12.189008832944483</v>
      </c>
      <c r="I22" s="205"/>
      <c r="J22" s="210">
        <f t="shared" si="7"/>
        <v>2.0721315016005621</v>
      </c>
      <c r="K22" s="208">
        <f>IF(AND($B$15&lt;$F$2,$E$15&lt;$F$2),D6,IF($B$15&lt;$F$2,J6,G6))</f>
        <v>0.499614</v>
      </c>
      <c r="L22" s="226"/>
      <c r="M22" s="227"/>
      <c r="N22" s="228"/>
      <c r="O22" s="229"/>
      <c r="P22" s="16"/>
      <c r="Q22" s="16"/>
      <c r="R22" s="150">
        <f>IF(AND($B$46&lt;$F$2,$E$46&lt;$F$2),R8,IF($B$46&lt;$F$2,X8,U8))</f>
        <v>0.42088018193427101</v>
      </c>
      <c r="S22" s="151">
        <f>D54*R22</f>
        <v>6.7340829109483362</v>
      </c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16</v>
      </c>
      <c r="E23" s="208">
        <f t="shared" si="5"/>
        <v>0.40187499999999998</v>
      </c>
      <c r="F23" s="209">
        <f t="shared" si="6"/>
        <v>6.43</v>
      </c>
      <c r="G23" s="209">
        <f t="shared" ref="G23:G24" si="8">((D23*K23)/(1-$N$19-$N$20))*($N$19+$N$20)</f>
        <v>0.32922869245799141</v>
      </c>
      <c r="H23" s="210">
        <f t="shared" ref="H23:H24" si="9">(D23*K23)/(1-$N$19-$N$20)/(1-$I$19)</f>
        <v>6.4288666977405517</v>
      </c>
      <c r="I23" s="205"/>
      <c r="J23" s="210">
        <f t="shared" si="7"/>
        <v>1.0929073386158938</v>
      </c>
      <c r="K23" s="208">
        <f>IF(AND($B$15&lt;$F$2,$E$15&lt;$F$2),D8,IF($B$15&lt;$F$2,J8,G8))</f>
        <v>0.31292066666666668</v>
      </c>
      <c r="L23" s="226"/>
      <c r="M23" s="227"/>
      <c r="N23" s="228"/>
      <c r="O23" s="229"/>
      <c r="P23" s="16"/>
      <c r="Q23" s="16"/>
      <c r="S23" s="152">
        <f>SUM(S20:S22)</f>
        <v>62.711135508054177</v>
      </c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304</v>
      </c>
      <c r="E24" s="208">
        <f t="shared" si="5"/>
        <v>0.40184210526315789</v>
      </c>
      <c r="F24" s="209">
        <f t="shared" si="6"/>
        <v>122.16</v>
      </c>
      <c r="G24" s="209">
        <f t="shared" si="8"/>
        <v>6.2553451567018366</v>
      </c>
      <c r="H24" s="210">
        <f t="shared" si="9"/>
        <v>122.14846725707049</v>
      </c>
      <c r="I24" s="205"/>
      <c r="J24" s="210">
        <f t="shared" si="7"/>
        <v>20.765239433701986</v>
      </c>
      <c r="K24" s="208">
        <f>IF(AND($B$15&lt;$F$2,$E$15&lt;$F$2),D7,IF($B$15&lt;$F$2,J7,G7))</f>
        <v>0.31292066666666668</v>
      </c>
      <c r="L24" s="226"/>
      <c r="M24" s="227"/>
      <c r="N24" s="228"/>
      <c r="O24" s="229"/>
      <c r="P24" s="16"/>
      <c r="Q24" s="16"/>
      <c r="R24" s="16"/>
      <c r="S24" s="16"/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IF($K$13=M4,(($D$19+$D$20+$D$21)*($K$15)/($K$15+$L$15)),0)+IF($L$13=M4,(($D$19+$D$20+$D$21)*($L$15)/($K$15+$L$15)),0)</f>
        <v>339</v>
      </c>
      <c r="E25" s="208">
        <f>IFERROR((ROUND(D25*K25,2)+ROUND(G25,2)+ROUND(J25,2))/ROUND(D25,4), 0)</f>
        <v>2.4188790560471973E-2</v>
      </c>
      <c r="F25" s="209">
        <f t="shared" si="6"/>
        <v>8.1999999999999993</v>
      </c>
      <c r="G25" s="209">
        <f>((D25*K25)/(1-$N$19-$N$20))*($N$19+$N$20)</f>
        <v>0.42019850261110514</v>
      </c>
      <c r="H25" s="210">
        <f>(D25*K25)/(1-$N$19-$N$20)/(1-$I$19)</f>
        <v>8.2052391597724146</v>
      </c>
      <c r="I25" s="205"/>
      <c r="J25" s="210">
        <f t="shared" si="7"/>
        <v>1.3948906571613107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232"/>
      <c r="S25" s="16"/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 t="shared" ref="D26:D28" si="10">IF($K$13=M5,(($D$19+$D$20+$D$21)*($K$15)/($K$15+$L$15)),0)+IF($L$13=M5,(($D$19+$D$20+$D$21)*($L$15)/($K$15+$L$15)),0)</f>
        <v>0</v>
      </c>
      <c r="E26" s="208">
        <f>K26/(1-$N$19-$N$20)/(1-$I$19)</f>
        <v>5.7306921386922526E-2</v>
      </c>
      <c r="F26" s="209">
        <f t="shared" si="6"/>
        <v>0</v>
      </c>
      <c r="G26" s="209">
        <f>((D26*K26)/(1-$N$19-$N$20))*($N$19+$N$20)</f>
        <v>0</v>
      </c>
      <c r="H26" s="210">
        <f>(D26*K26)/(1-$N$19-$N$20)/(1-$I$19)</f>
        <v>0</v>
      </c>
      <c r="I26" s="205"/>
      <c r="J26" s="210">
        <f t="shared" si="7"/>
        <v>0</v>
      </c>
      <c r="K26" s="208">
        <f>N5</f>
        <v>4.4630000000000003E-2</v>
      </c>
      <c r="O26" s="62"/>
      <c r="P26" s="16"/>
      <c r="Q26" s="16"/>
      <c r="R26" s="232"/>
      <c r="S26" s="233"/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 t="shared" si="10"/>
        <v>0</v>
      </c>
      <c r="E27" s="208">
        <f>K27/(1-$N$19-$N$20)/(1-$I$19)</f>
        <v>0.10114421236047248</v>
      </c>
      <c r="F27" s="209">
        <f t="shared" si="6"/>
        <v>0</v>
      </c>
      <c r="G27" s="209">
        <f>((D27*K27)/(1-$N$19-$N$20))*($N$19+$N$20)</f>
        <v>0</v>
      </c>
      <c r="H27" s="210">
        <f>(D27*K27)/(1-$N$19-$N$20)/(1-$I$19)</f>
        <v>0</v>
      </c>
      <c r="I27" s="205"/>
      <c r="J27" s="210">
        <f t="shared" si="7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 t="shared" si="10"/>
        <v>0</v>
      </c>
      <c r="E28" s="208">
        <f>K28/(1-$N$19-$N$20)/(1-$I$19)</f>
        <v>0.18233436784546261</v>
      </c>
      <c r="F28" s="209">
        <f t="shared" si="6"/>
        <v>0</v>
      </c>
      <c r="G28" s="209">
        <f>((D28*K28)/(1-$N$19-$N$20))*($N$19+$N$20)</f>
        <v>0</v>
      </c>
      <c r="H28" s="210">
        <f>(D28*K28)/(1-$N$19-$N$20)/(1-$I$19)</f>
        <v>0</v>
      </c>
      <c r="I28" s="205"/>
      <c r="J28" s="210">
        <f t="shared" si="7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207</v>
      </c>
      <c r="C29" s="205"/>
      <c r="D29" s="214"/>
      <c r="E29" s="205"/>
      <c r="F29" s="217"/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206</v>
      </c>
      <c r="C30" s="205"/>
      <c r="D30" s="214"/>
      <c r="E30" s="205"/>
      <c r="F30" s="217"/>
      <c r="G30" s="205"/>
      <c r="H30" s="205"/>
      <c r="I30" s="205"/>
      <c r="J30" s="205"/>
      <c r="K30" s="205"/>
      <c r="O30" s="62"/>
      <c r="P30" s="16"/>
      <c r="Q30" s="16"/>
      <c r="R30" s="16"/>
      <c r="S30" s="235"/>
      <c r="T30" s="16"/>
      <c r="U30" s="16"/>
      <c r="V30" s="16"/>
    </row>
    <row r="31" spans="2:22" x14ac:dyDescent="0.3">
      <c r="B31" s="205" t="s">
        <v>231</v>
      </c>
      <c r="C31" s="205"/>
      <c r="D31" s="214"/>
      <c r="E31" s="205"/>
      <c r="F31" s="217"/>
      <c r="G31" s="205"/>
      <c r="H31" s="205"/>
      <c r="I31" s="205"/>
      <c r="J31" s="205"/>
      <c r="K31" s="205"/>
      <c r="O31" s="62"/>
      <c r="S31" s="216"/>
    </row>
    <row r="32" spans="2:22" x14ac:dyDescent="0.3">
      <c r="B32" s="205" t="s">
        <v>208</v>
      </c>
      <c r="C32" s="205"/>
      <c r="D32" s="214"/>
      <c r="E32" s="205"/>
      <c r="F32" s="217">
        <v>61.03</v>
      </c>
      <c r="G32" s="205"/>
      <c r="H32" s="205"/>
      <c r="I32" s="205"/>
      <c r="J32" s="205"/>
      <c r="K32" s="205"/>
      <c r="O32" s="62"/>
    </row>
    <row r="33" spans="2:26" x14ac:dyDescent="0.3">
      <c r="B33" s="205"/>
      <c r="C33" s="205"/>
      <c r="D33" s="214"/>
      <c r="E33" s="205"/>
      <c r="F33" s="205"/>
      <c r="G33" s="205"/>
      <c r="H33" s="205"/>
      <c r="I33" s="205"/>
      <c r="J33" s="205"/>
      <c r="K33" s="205"/>
      <c r="O33" s="62"/>
    </row>
    <row r="34" spans="2:26" x14ac:dyDescent="0.3">
      <c r="B34" s="205"/>
      <c r="C34" s="205"/>
      <c r="D34" s="214"/>
      <c r="E34" s="205"/>
      <c r="F34" s="205"/>
      <c r="G34" s="205"/>
      <c r="H34" s="205"/>
      <c r="I34" s="205"/>
      <c r="J34" s="205"/>
      <c r="K34" s="205"/>
      <c r="O34" s="62"/>
    </row>
    <row r="35" spans="2:26" x14ac:dyDescent="0.3">
      <c r="B35" s="218" t="s">
        <v>209</v>
      </c>
      <c r="C35" s="215"/>
      <c r="D35" s="219"/>
      <c r="E35" s="215"/>
      <c r="F35" s="220">
        <f>SUM(F19:F34)</f>
        <v>410.28</v>
      </c>
      <c r="G35" s="221">
        <f>SUM(G19:G34)</f>
        <v>17.885543438061742</v>
      </c>
      <c r="H35" s="222">
        <f>SUM(H19:H34)</f>
        <v>349.25198565752794</v>
      </c>
      <c r="I35" s="215"/>
      <c r="J35" s="222">
        <f>SUM(J19:J34)</f>
        <v>59.372837561779754</v>
      </c>
      <c r="K35" s="215"/>
      <c r="L35" s="68"/>
      <c r="M35" s="68"/>
      <c r="N35" s="68"/>
      <c r="O35" s="79"/>
    </row>
    <row r="37" spans="2:26" x14ac:dyDescent="0.3">
      <c r="B37" s="223" t="s">
        <v>210</v>
      </c>
      <c r="C37" s="224">
        <f>D19+D20+D21</f>
        <v>339</v>
      </c>
      <c r="D37" s="225">
        <f>IF(AND($B$15&lt;$F$2,$E$15&lt;$F$2),C9,IF($B$15&lt;$F$2,I9,F9))</f>
        <v>1.8608682270474647E-4</v>
      </c>
      <c r="E37" s="225">
        <f>IF(AND($B$15&lt;$F$2,$E$15&lt;$F$2),D9,IF($B$15&lt;$F$2,J9,G9))</f>
        <v>-2.5965236115047629E-3</v>
      </c>
      <c r="F37" s="223">
        <f>C37*(D37+E37)</f>
        <v>-0.8171380714032056</v>
      </c>
    </row>
    <row r="38" spans="2:26" ht="14.25" customHeight="1" x14ac:dyDescent="0.3">
      <c r="G38" s="16"/>
      <c r="H38" s="16"/>
      <c r="I38" s="16"/>
      <c r="J38" s="16"/>
      <c r="K38" s="16"/>
      <c r="O38" s="18"/>
      <c r="V38" s="16"/>
      <c r="W38" s="16"/>
      <c r="X38" s="16"/>
      <c r="Y38" s="16"/>
      <c r="Z38" s="16"/>
    </row>
    <row r="39" spans="2:26" ht="14.25" customHeight="1" x14ac:dyDescent="0.3">
      <c r="G39" s="16"/>
      <c r="H39" s="16"/>
      <c r="I39" s="16"/>
      <c r="J39" s="16"/>
      <c r="K39" s="16"/>
      <c r="O39" s="18"/>
      <c r="V39" s="16"/>
      <c r="W39" s="16"/>
      <c r="X39" s="16"/>
      <c r="Y39" s="16"/>
      <c r="Z39" s="16"/>
    </row>
    <row r="40" spans="2:26" ht="14.25" customHeight="1" x14ac:dyDescent="0.3">
      <c r="G40" s="16"/>
      <c r="H40" s="16"/>
      <c r="I40" s="16"/>
      <c r="J40" s="16"/>
      <c r="K40" s="16"/>
      <c r="O40" s="18"/>
      <c r="V40" s="16"/>
      <c r="W40" s="16"/>
      <c r="X40" s="16"/>
      <c r="Y40" s="16"/>
      <c r="Z40" s="16"/>
    </row>
    <row r="41" spans="2:26" ht="14.25" customHeight="1" x14ac:dyDescent="0.3">
      <c r="G41" s="16"/>
      <c r="H41" s="16"/>
      <c r="I41" s="16"/>
      <c r="J41" s="16"/>
      <c r="K41" s="16"/>
      <c r="O41" s="18"/>
      <c r="V41" s="16"/>
      <c r="W41" s="16"/>
      <c r="X41" s="16"/>
      <c r="Y41" s="16"/>
      <c r="Z41" s="16"/>
    </row>
    <row r="42" spans="2:26" x14ac:dyDescent="0.3">
      <c r="B42" s="30"/>
      <c r="C42" s="31"/>
      <c r="D42" s="32"/>
      <c r="E42" s="31"/>
      <c r="F42" s="31"/>
      <c r="G42" s="31"/>
      <c r="H42" s="33" t="s">
        <v>35</v>
      </c>
      <c r="I42" s="16"/>
      <c r="L42" s="18" t="s">
        <v>71</v>
      </c>
      <c r="M42" s="19">
        <f>EOMONTH(B46,0)+1</f>
        <v>46235</v>
      </c>
    </row>
    <row r="43" spans="2:26" x14ac:dyDescent="0.3">
      <c r="B43" s="34" t="s">
        <v>34</v>
      </c>
      <c r="C43" s="141">
        <f>C12</f>
        <v>160008463</v>
      </c>
      <c r="E43" s="16"/>
      <c r="F43" s="16"/>
      <c r="G43" s="16"/>
      <c r="H43" s="35">
        <f>E46</f>
        <v>46254</v>
      </c>
      <c r="K43" s="283" t="s">
        <v>72</v>
      </c>
      <c r="L43" s="283"/>
    </row>
    <row r="44" spans="2:26" x14ac:dyDescent="0.3">
      <c r="B44" s="36"/>
      <c r="H44" s="37"/>
      <c r="K44" s="20" t="str">
        <f>K13</f>
        <v>BAM</v>
      </c>
      <c r="L44" s="20" t="str">
        <f>L13</f>
        <v>BAM</v>
      </c>
    </row>
    <row r="45" spans="2:26" ht="27.6" x14ac:dyDescent="0.3">
      <c r="B45" s="38" t="s">
        <v>5</v>
      </c>
      <c r="C45" s="38" t="s">
        <v>4</v>
      </c>
      <c r="D45" s="38" t="s">
        <v>25</v>
      </c>
      <c r="E45" s="38" t="s">
        <v>3</v>
      </c>
      <c r="F45" s="16"/>
      <c r="G45" s="16"/>
      <c r="H45" s="39"/>
      <c r="J45" s="38" t="s">
        <v>5</v>
      </c>
      <c r="K45" s="38" t="s">
        <v>4</v>
      </c>
      <c r="L45" s="38" t="s">
        <v>25</v>
      </c>
      <c r="M45" s="38" t="s">
        <v>3</v>
      </c>
    </row>
    <row r="46" spans="2:26" x14ac:dyDescent="0.3">
      <c r="B46" s="40">
        <f>B15</f>
        <v>46224</v>
      </c>
      <c r="C46" s="41">
        <f>IF((F2-B46-1)&lt;0,0,(F2-B46-1))</f>
        <v>16</v>
      </c>
      <c r="D46" s="41">
        <f>E46-F2+1</f>
        <v>14</v>
      </c>
      <c r="E46" s="40">
        <f>E15</f>
        <v>46254</v>
      </c>
      <c r="F46" s="42"/>
      <c r="G46" s="42"/>
      <c r="H46" s="43"/>
      <c r="J46" s="44">
        <f>B46</f>
        <v>46224</v>
      </c>
      <c r="K46" s="45">
        <f>IF((M42-J46-1)&lt;0,0,(M42-J46-1))</f>
        <v>10</v>
      </c>
      <c r="L46" s="45">
        <f>M46-M42+1</f>
        <v>20</v>
      </c>
      <c r="M46" s="44">
        <f>E46</f>
        <v>46254</v>
      </c>
    </row>
    <row r="48" spans="2:26" x14ac:dyDescent="0.3">
      <c r="B48" s="271" t="s">
        <v>172</v>
      </c>
      <c r="C48" s="272"/>
      <c r="D48" s="272"/>
      <c r="E48" s="272"/>
      <c r="F48" s="272"/>
      <c r="G48" s="272"/>
      <c r="H48" s="273"/>
      <c r="I48" s="16"/>
      <c r="J48" s="16"/>
      <c r="K48" s="16"/>
      <c r="L48" s="16"/>
      <c r="M48" s="16"/>
      <c r="N48" s="16"/>
      <c r="O48" s="16"/>
      <c r="P48" s="16"/>
    </row>
    <row r="49" spans="2:16" x14ac:dyDescent="0.3">
      <c r="B49" s="36"/>
      <c r="D49" s="46" t="s">
        <v>8</v>
      </c>
      <c r="E49" s="46" t="s">
        <v>0</v>
      </c>
      <c r="F49" s="46" t="s">
        <v>1</v>
      </c>
      <c r="G49" s="46" t="s">
        <v>42</v>
      </c>
      <c r="H49" s="47" t="s">
        <v>9</v>
      </c>
      <c r="I49" s="16"/>
      <c r="J49" s="16"/>
      <c r="K49" s="16"/>
      <c r="L49" s="16"/>
      <c r="M49" s="16"/>
      <c r="N49" s="16"/>
      <c r="O49" s="16"/>
      <c r="P49" s="16"/>
    </row>
    <row r="50" spans="2:16" x14ac:dyDescent="0.3">
      <c r="B50" s="48" t="s">
        <v>73</v>
      </c>
      <c r="C50" s="49"/>
      <c r="D50" s="50"/>
      <c r="E50" s="50"/>
      <c r="F50" s="50"/>
      <c r="G50" s="50"/>
      <c r="H50" s="51">
        <f>SUM(H52:H60)+SUM(H66:H68)</f>
        <v>349.24735711469987</v>
      </c>
      <c r="I50" s="16"/>
      <c r="J50" s="16"/>
      <c r="K50" s="16"/>
      <c r="L50" s="16"/>
      <c r="M50" s="16"/>
      <c r="N50" s="16"/>
      <c r="O50" s="16"/>
      <c r="P50" s="16"/>
    </row>
    <row r="51" spans="2:16" x14ac:dyDescent="0.3">
      <c r="B51" s="36"/>
      <c r="D51" s="46"/>
      <c r="E51" s="46"/>
      <c r="F51" s="46"/>
      <c r="G51" s="46"/>
      <c r="H51" s="52"/>
      <c r="I51" s="16"/>
      <c r="J51" s="16"/>
      <c r="K51" s="16"/>
      <c r="L51" s="16"/>
      <c r="M51" s="16"/>
      <c r="N51" s="16"/>
      <c r="O51" s="16"/>
      <c r="P51" s="16"/>
    </row>
    <row r="52" spans="2:16" x14ac:dyDescent="0.3">
      <c r="B52" s="36" t="s">
        <v>6</v>
      </c>
      <c r="D52" s="53">
        <f>D19</f>
        <v>19</v>
      </c>
      <c r="E52" s="54">
        <f t="shared" ref="E52:F54" si="11">IF(AND($B$46&lt;$F$2,$E$46&lt;$F$2),C6,IF($B$46&lt;$F$2,I6,F6))</f>
        <v>1.0925953333333334</v>
      </c>
      <c r="F52" s="55">
        <f t="shared" si="11"/>
        <v>0.499614</v>
      </c>
      <c r="G52" s="54">
        <v>1.325</v>
      </c>
      <c r="H52" s="56">
        <f>ROUND((D52*E52),2)+ROUND((D52*F52),2)</f>
        <v>30.25</v>
      </c>
      <c r="I52" s="16"/>
      <c r="J52"/>
      <c r="K52"/>
      <c r="L52"/>
      <c r="M52" s="16"/>
      <c r="N52" s="16"/>
      <c r="O52" s="16"/>
      <c r="P52" s="16"/>
    </row>
    <row r="53" spans="2:16" x14ac:dyDescent="0.3">
      <c r="B53" s="36" t="s">
        <v>7</v>
      </c>
      <c r="D53" s="53">
        <f>D21</f>
        <v>304</v>
      </c>
      <c r="E53" s="54">
        <f t="shared" si="11"/>
        <v>0.40537199999999995</v>
      </c>
      <c r="F53" s="55">
        <f t="shared" si="11"/>
        <v>0.31292066666666668</v>
      </c>
      <c r="G53" s="54">
        <v>0.53280000000000005</v>
      </c>
      <c r="H53" s="56">
        <f t="shared" ref="H53:H54" si="12">ROUND((D53*E53),2)+ROUND((D53*F53),2)</f>
        <v>218.36</v>
      </c>
      <c r="I53" s="16"/>
      <c r="J53"/>
      <c r="K53"/>
      <c r="L53"/>
      <c r="M53" s="16"/>
      <c r="N53" s="16"/>
      <c r="O53" s="16"/>
      <c r="P53" s="16"/>
    </row>
    <row r="54" spans="2:16" x14ac:dyDescent="0.3">
      <c r="B54" s="36" t="s">
        <v>141</v>
      </c>
      <c r="D54" s="53">
        <f>D20</f>
        <v>16</v>
      </c>
      <c r="E54" s="54">
        <f t="shared" si="11"/>
        <v>0.74898600000000004</v>
      </c>
      <c r="F54" s="55">
        <f t="shared" si="11"/>
        <v>0.31292066666666668</v>
      </c>
      <c r="G54" s="54">
        <v>0.84406000000000003</v>
      </c>
      <c r="H54" s="56">
        <f t="shared" si="12"/>
        <v>16.990000000000002</v>
      </c>
      <c r="I54" s="16"/>
      <c r="J54" s="16"/>
      <c r="K54" s="16"/>
      <c r="L54" s="57"/>
      <c r="M54" s="16"/>
      <c r="N54" s="16"/>
      <c r="O54" s="16"/>
      <c r="P54" s="16"/>
    </row>
    <row r="55" spans="2:16" x14ac:dyDescent="0.3">
      <c r="B55" s="36"/>
      <c r="D55" s="58"/>
      <c r="E55" s="59"/>
      <c r="F55" s="60"/>
      <c r="G55" s="60"/>
      <c r="H55" s="56"/>
      <c r="I55" s="16"/>
      <c r="J55" s="16"/>
      <c r="K55" s="16"/>
      <c r="L55" s="16"/>
      <c r="M55" s="16"/>
      <c r="N55" s="16"/>
      <c r="O55" s="16"/>
      <c r="P55" s="16"/>
    </row>
    <row r="56" spans="2:16" x14ac:dyDescent="0.3">
      <c r="B56" s="36"/>
      <c r="D56" s="61"/>
      <c r="H56" s="62"/>
      <c r="I56" s="16"/>
      <c r="J56" s="16"/>
      <c r="K56" s="16"/>
      <c r="L56" s="16"/>
      <c r="M56" s="16"/>
      <c r="N56" s="16"/>
      <c r="O56" s="16"/>
      <c r="P56" s="16"/>
    </row>
    <row r="57" spans="2:16" x14ac:dyDescent="0.3">
      <c r="B57" s="36" t="s">
        <v>38</v>
      </c>
      <c r="D57" s="63">
        <f>IF($K$44=M4,((D52+D53+D54)*(K46)/(K46+L46)),0)+IF($L$44=M4,((D52+D53+D54)*(L46)/(K46+L46)),0)</f>
        <v>339</v>
      </c>
      <c r="F57" s="64">
        <f>N4</f>
        <v>1.8849999999999999E-2</v>
      </c>
      <c r="G57" s="64"/>
      <c r="H57" s="56">
        <f>ROUND(D57*(E57+F57),2)</f>
        <v>6.39</v>
      </c>
      <c r="I57" s="16"/>
      <c r="J57" s="16"/>
      <c r="K57" s="16"/>
      <c r="L57" s="16"/>
      <c r="M57" s="16"/>
      <c r="N57" s="16"/>
      <c r="O57" s="16"/>
      <c r="P57" s="16"/>
    </row>
    <row r="58" spans="2:16" x14ac:dyDescent="0.3">
      <c r="B58" s="36" t="s">
        <v>39</v>
      </c>
      <c r="D58" s="63">
        <f>IF($K$44=M5,((D52+D53+D54)*(K46)/(K46+L46)),0)+IF($L$44=M5,((D52+D53+D54)*(L46)/(K46+L46)),0)</f>
        <v>0</v>
      </c>
      <c r="F58" s="64">
        <f>N5</f>
        <v>4.4630000000000003E-2</v>
      </c>
      <c r="G58" s="64"/>
      <c r="H58" s="56">
        <f>ROUND(D58*(E58+F58),2)</f>
        <v>0</v>
      </c>
      <c r="I58" s="16"/>
      <c r="J58" s="16"/>
      <c r="K58" s="16"/>
      <c r="L58" s="16"/>
      <c r="M58" s="16"/>
      <c r="N58" s="16"/>
      <c r="O58" s="16"/>
      <c r="P58" s="16"/>
    </row>
    <row r="59" spans="2:16" x14ac:dyDescent="0.3">
      <c r="B59" s="36" t="s">
        <v>40</v>
      </c>
      <c r="D59" s="63">
        <f>IF($K$44=M6,((D52+D53+D54)*(K46)/(K46+L46)),0)+IF($L$44=M6,((D52+D53+D54)*(L46)/(K46+L46)),0)</f>
        <v>0</v>
      </c>
      <c r="F59" s="64">
        <f>N6</f>
        <v>7.8770000000000007E-2</v>
      </c>
      <c r="G59" s="64"/>
      <c r="H59" s="56">
        <f>ROUND(D59*(E59+F59),2)</f>
        <v>0</v>
      </c>
      <c r="I59" s="16"/>
      <c r="J59" s="16"/>
      <c r="K59" s="16"/>
      <c r="L59" s="16"/>
      <c r="M59" s="16"/>
      <c r="N59" s="16"/>
      <c r="O59" s="16"/>
      <c r="P59" s="16"/>
    </row>
    <row r="60" spans="2:16" x14ac:dyDescent="0.3">
      <c r="B60" s="36" t="s">
        <v>150</v>
      </c>
      <c r="D60" s="63">
        <f>IF($K$44=M7,((D52+D53+D54)*(K46)/(K46+L46)),0)+IF($L$44=M7,((D52+D53+D54)*(L46)/(K46+L46)),0)</f>
        <v>0</v>
      </c>
      <c r="F60" s="64">
        <f>N7</f>
        <v>0.14199999999999999</v>
      </c>
      <c r="G60" s="64"/>
      <c r="H60" s="56">
        <f>ROUND(D60*(E60+F60),2)</f>
        <v>0</v>
      </c>
      <c r="I60" s="16"/>
      <c r="J60" s="16"/>
      <c r="K60" s="16"/>
      <c r="L60" s="16"/>
      <c r="M60" s="16"/>
      <c r="N60" s="16"/>
      <c r="O60" s="16"/>
      <c r="P60" s="16"/>
    </row>
    <row r="61" spans="2:16" x14ac:dyDescent="0.3">
      <c r="B61" s="36"/>
      <c r="D61" s="61"/>
      <c r="H61" s="56"/>
      <c r="I61" s="16"/>
      <c r="J61" s="16"/>
      <c r="K61" s="16"/>
      <c r="L61" s="16"/>
      <c r="M61" s="16"/>
      <c r="N61" s="16"/>
      <c r="O61" s="16"/>
      <c r="P61" s="16"/>
    </row>
    <row r="62" spans="2:16" x14ac:dyDescent="0.3">
      <c r="B62" s="36"/>
      <c r="D62" s="63"/>
      <c r="F62" s="64"/>
      <c r="G62" s="64"/>
      <c r="H62" s="56"/>
      <c r="I62" s="16"/>
      <c r="J62" s="16"/>
      <c r="K62" s="16"/>
      <c r="L62" s="16"/>
      <c r="M62" s="16"/>
      <c r="N62" s="16"/>
      <c r="O62" s="16"/>
      <c r="P62" s="16"/>
    </row>
    <row r="63" spans="2:16" x14ac:dyDescent="0.3">
      <c r="B63" s="67"/>
      <c r="C63" s="68"/>
      <c r="D63" s="69"/>
      <c r="E63" s="70"/>
      <c r="F63" s="68"/>
      <c r="G63" s="68"/>
      <c r="H63" s="66"/>
      <c r="I63" s="16"/>
      <c r="J63" s="16"/>
      <c r="K63" s="16"/>
      <c r="L63" s="16"/>
      <c r="M63" s="16"/>
      <c r="N63" s="16"/>
      <c r="O63" s="16"/>
      <c r="P63" s="16"/>
    </row>
    <row r="64" spans="2:16" x14ac:dyDescent="0.3">
      <c r="B64" s="30"/>
      <c r="C64" s="31"/>
      <c r="D64" s="31"/>
      <c r="E64" s="31"/>
      <c r="F64" s="31"/>
      <c r="G64" s="31"/>
      <c r="H64" s="72"/>
      <c r="I64" s="16"/>
      <c r="L64" s="16"/>
      <c r="M64" s="16"/>
      <c r="N64" s="16"/>
      <c r="O64" s="16"/>
      <c r="P64" s="16"/>
    </row>
    <row r="65" spans="2:16" x14ac:dyDescent="0.3">
      <c r="B65" s="36"/>
      <c r="D65" s="73" t="s">
        <v>17</v>
      </c>
      <c r="E65" s="74"/>
      <c r="F65" s="74"/>
      <c r="G65" s="74"/>
      <c r="H65" s="75"/>
      <c r="I65" s="76"/>
      <c r="K65" s="77"/>
      <c r="L65" s="16"/>
      <c r="M65" s="16"/>
      <c r="N65" s="16"/>
      <c r="O65" s="16"/>
      <c r="P65" s="16"/>
    </row>
    <row r="66" spans="2:16" x14ac:dyDescent="0.3">
      <c r="B66" s="36" t="s">
        <v>18</v>
      </c>
      <c r="D66" s="77">
        <f>(SUM(H52:H63)/(1-E66-E67))</f>
        <v>289.87530640520089</v>
      </c>
      <c r="E66" s="78">
        <f>N19</f>
        <v>1.0999999999999999E-2</v>
      </c>
      <c r="H66" s="56">
        <f>D66*E66</f>
        <v>3.1886283704572094</v>
      </c>
      <c r="I66" s="77"/>
      <c r="L66" s="16"/>
      <c r="M66" s="16"/>
      <c r="N66" s="16"/>
      <c r="O66" s="16"/>
      <c r="P66" s="16"/>
    </row>
    <row r="67" spans="2:16" x14ac:dyDescent="0.3">
      <c r="B67" s="36" t="s">
        <v>19</v>
      </c>
      <c r="D67" s="77">
        <f>D66</f>
        <v>289.87530640520089</v>
      </c>
      <c r="E67" s="78">
        <f>N20</f>
        <v>5.0700000000000002E-2</v>
      </c>
      <c r="H67" s="56">
        <f>D67*E67</f>
        <v>14.696678034743686</v>
      </c>
      <c r="I67" s="77"/>
      <c r="L67" s="16"/>
      <c r="M67" s="16"/>
      <c r="N67" s="16"/>
      <c r="O67" s="16"/>
      <c r="P67" s="16"/>
    </row>
    <row r="68" spans="2:16" x14ac:dyDescent="0.3">
      <c r="B68" s="36" t="s">
        <v>20</v>
      </c>
      <c r="D68" s="145">
        <f>D66/(1-E68)</f>
        <v>349.24735711469987</v>
      </c>
      <c r="E68" s="138">
        <f>I19</f>
        <v>0.17</v>
      </c>
      <c r="H68" s="56">
        <f>D68*E68</f>
        <v>59.372050709498978</v>
      </c>
      <c r="I68" s="77"/>
      <c r="L68" s="16"/>
      <c r="M68" s="16"/>
      <c r="N68" s="16"/>
      <c r="O68" s="16"/>
      <c r="P68" s="16"/>
    </row>
    <row r="69" spans="2:16" x14ac:dyDescent="0.3">
      <c r="B69" s="67"/>
      <c r="C69" s="68"/>
      <c r="D69" s="68"/>
      <c r="E69" s="68"/>
      <c r="F69" s="68"/>
      <c r="G69" s="68"/>
      <c r="H69" s="79"/>
      <c r="L69" s="16"/>
      <c r="M69" s="16"/>
      <c r="N69" s="16"/>
      <c r="O69" s="16"/>
      <c r="P69" s="16"/>
    </row>
    <row r="70" spans="2:16" x14ac:dyDescent="0.3">
      <c r="B70" s="185" t="s">
        <v>183</v>
      </c>
      <c r="C70" s="186"/>
      <c r="D70" s="187">
        <f>SUM(D52:D54)</f>
        <v>339</v>
      </c>
      <c r="E70" s="188">
        <f>IF(AND($B$46&lt;$F$2,$E$46&lt;$F$2),C9,IF($B$46&lt;$F$2,I9,F9))</f>
        <v>1.8608682270474647E-4</v>
      </c>
      <c r="F70" s="188">
        <f>IF(AND($B$46&lt;$F$2,$E$46&lt;$F$2),D9,IF($B$46&lt;$F$2,J9,G9))</f>
        <v>-2.5965236115047629E-3</v>
      </c>
      <c r="G70" s="186"/>
      <c r="H70" s="185">
        <f>D70*(E70+F70)</f>
        <v>-0.8171380714032056</v>
      </c>
      <c r="L70" s="16"/>
      <c r="M70" s="16"/>
      <c r="N70" s="16"/>
      <c r="O70" s="16"/>
      <c r="P70" s="16"/>
    </row>
    <row r="71" spans="2:16" x14ac:dyDescent="0.3">
      <c r="L71" s="16"/>
      <c r="M71" s="16"/>
      <c r="N71" s="16"/>
      <c r="O71" s="16"/>
      <c r="P71" s="16"/>
    </row>
    <row r="72" spans="2:16" x14ac:dyDescent="0.3">
      <c r="B72" s="80" t="s">
        <v>43</v>
      </c>
      <c r="D72" s="74"/>
      <c r="E72" s="74" t="s">
        <v>14</v>
      </c>
      <c r="F72" s="74"/>
      <c r="G72" s="74"/>
      <c r="H72" s="76"/>
    </row>
    <row r="73" spans="2:16" x14ac:dyDescent="0.3">
      <c r="B73" s="81"/>
      <c r="C73" s="82" t="s">
        <v>9</v>
      </c>
    </row>
    <row r="74" spans="2:16" x14ac:dyDescent="0.3">
      <c r="B74" s="81" t="s">
        <v>44</v>
      </c>
      <c r="C74" s="83">
        <f>(SUM(H52:H63)*IF($B$46&lt;$F$2,D112,D84))</f>
        <v>121.17018234601483</v>
      </c>
    </row>
    <row r="75" spans="2:16" x14ac:dyDescent="0.3">
      <c r="B75" s="81" t="s">
        <v>45</v>
      </c>
      <c r="C75" s="83">
        <f>(SUM(H52:H63)*IF($B$46&lt;$F$2,F112,F84))</f>
        <v>71.585602217422306</v>
      </c>
    </row>
    <row r="76" spans="2:16" x14ac:dyDescent="0.3">
      <c r="B76" s="81" t="s">
        <v>46</v>
      </c>
      <c r="C76" s="83">
        <f>(SUM(H52:H63)*IF($B$46&lt;$F$2,E112,E84))</f>
        <v>22.834404808279302</v>
      </c>
    </row>
    <row r="77" spans="2:16" x14ac:dyDescent="0.3">
      <c r="B77" s="81" t="s">
        <v>47</v>
      </c>
      <c r="C77" s="83">
        <f>(SUM(H52:H63)*IF($B$46&lt;$F$2,G112,G84))</f>
        <v>56.401218855071448</v>
      </c>
    </row>
    <row r="78" spans="2:16" x14ac:dyDescent="0.3">
      <c r="B78" s="81" t="s">
        <v>48</v>
      </c>
      <c r="C78" s="84">
        <f>H66+H67+H68</f>
        <v>77.257357114699872</v>
      </c>
    </row>
    <row r="79" spans="2:16" x14ac:dyDescent="0.3">
      <c r="B79" s="85" t="s">
        <v>49</v>
      </c>
      <c r="C79" s="86">
        <f>SUM(C74:C78)</f>
        <v>349.2487653414878</v>
      </c>
    </row>
    <row r="81" spans="2:15" x14ac:dyDescent="0.3">
      <c r="B81" s="87">
        <f>'B1 (Res) Branca OK'!B76</f>
        <v>2024</v>
      </c>
      <c r="C81" s="87"/>
      <c r="D81" s="87" t="s">
        <v>44</v>
      </c>
      <c r="E81" s="87" t="s">
        <v>46</v>
      </c>
      <c r="F81" s="87" t="s">
        <v>45</v>
      </c>
      <c r="G81" s="87" t="s">
        <v>50</v>
      </c>
    </row>
    <row r="82" spans="2:15" x14ac:dyDescent="0.3">
      <c r="B82" s="87" t="s">
        <v>51</v>
      </c>
      <c r="C82" s="87"/>
      <c r="D82" s="87" t="s">
        <v>52</v>
      </c>
      <c r="E82" s="87" t="s">
        <v>52</v>
      </c>
      <c r="F82" s="87" t="s">
        <v>52</v>
      </c>
      <c r="G82" s="87" t="s">
        <v>52</v>
      </c>
    </row>
    <row r="83" spans="2:15" x14ac:dyDescent="0.3">
      <c r="B83" s="87"/>
      <c r="C83" s="87"/>
      <c r="D83" s="87"/>
      <c r="E83" s="87"/>
      <c r="F83" s="87"/>
      <c r="G83" s="87"/>
    </row>
    <row r="84" spans="2:15" x14ac:dyDescent="0.3">
      <c r="B84" s="87" t="s">
        <v>53</v>
      </c>
      <c r="C84" s="87"/>
      <c r="D84" s="88">
        <f>'B1 (Res) Branca OK'!D79</f>
        <v>0.45246416638672077</v>
      </c>
      <c r="E84" s="88">
        <f>'B1 (Res) Branca OK'!E79</f>
        <v>7.39594111182032E-2</v>
      </c>
      <c r="F84" s="88">
        <f>'B1 (Res) Branca OK'!F79</f>
        <v>0.27500913257019954</v>
      </c>
      <c r="G84" s="88">
        <f>'B1 (Res) Branca OK'!G79</f>
        <v>0.19856728992487654</v>
      </c>
    </row>
    <row r="85" spans="2:15" x14ac:dyDescent="0.3">
      <c r="B85" s="87" t="s">
        <v>54</v>
      </c>
      <c r="C85" s="87"/>
      <c r="D85" s="88">
        <f>'B1 (Res) Branca OK'!D80</f>
        <v>0.53149575868436638</v>
      </c>
      <c r="E85" s="88">
        <f>'B1 (Res) Branca OK'!E80</f>
        <v>8.6877848555460851E-2</v>
      </c>
      <c r="F85" s="88">
        <f>'B1 (Res) Branca OK'!F80</f>
        <v>0.32304478104372042</v>
      </c>
      <c r="G85" s="88">
        <f>'B1 (Res) Branca OK'!G80</f>
        <v>5.8581611716452382E-2</v>
      </c>
    </row>
    <row r="86" spans="2:15" x14ac:dyDescent="0.3">
      <c r="B86" s="87" t="s">
        <v>55</v>
      </c>
      <c r="C86" s="87"/>
      <c r="D86" s="88">
        <f>'B1 (Res) Branca OK'!D81</f>
        <v>0.45246416638672077</v>
      </c>
      <c r="E86" s="88">
        <f>'B1 (Res) Branca OK'!E81</f>
        <v>7.39594111182032E-2</v>
      </c>
      <c r="F86" s="88">
        <f>'B1 (Res) Branca OK'!F81</f>
        <v>0.27500913257019954</v>
      </c>
      <c r="G86" s="88">
        <f>'B1 (Res) Branca OK'!G81</f>
        <v>0.19856728992487654</v>
      </c>
    </row>
    <row r="87" spans="2:15" x14ac:dyDescent="0.3">
      <c r="B87" s="87" t="s">
        <v>56</v>
      </c>
      <c r="C87" s="87"/>
      <c r="D87" s="88">
        <f>'B1 (Res) Branca OK'!D82</f>
        <v>0.45246416638672077</v>
      </c>
      <c r="E87" s="88">
        <f>'B1 (Res) Branca OK'!E82</f>
        <v>7.39594111182032E-2</v>
      </c>
      <c r="F87" s="88">
        <f>'B1 (Res) Branca OK'!F82</f>
        <v>0.27500913257019954</v>
      </c>
      <c r="G87" s="88">
        <f>'B1 (Res) Branca OK'!G82</f>
        <v>0.19856728992487654</v>
      </c>
      <c r="K87" s="15"/>
    </row>
    <row r="88" spans="2:15" x14ac:dyDescent="0.3">
      <c r="B88" s="87" t="s">
        <v>57</v>
      </c>
      <c r="C88" s="87"/>
      <c r="D88" s="88">
        <f>'B1 (Res) Branca OK'!D83</f>
        <v>0.45246416638672077</v>
      </c>
      <c r="E88" s="88">
        <f>'B1 (Res) Branca OK'!E83</f>
        <v>7.39594111182032E-2</v>
      </c>
      <c r="F88" s="88">
        <f>'B1 (Res) Branca OK'!F83</f>
        <v>0.27500913257019954</v>
      </c>
      <c r="G88" s="88">
        <f>'B1 (Res) Branca OK'!G83</f>
        <v>0.19856728992487654</v>
      </c>
    </row>
    <row r="89" spans="2:15" x14ac:dyDescent="0.3">
      <c r="B89" s="87" t="s">
        <v>58</v>
      </c>
      <c r="C89" s="87"/>
      <c r="D89" s="88">
        <f>'B1 (Res) Branca OK'!D84</f>
        <v>0.45246416638672077</v>
      </c>
      <c r="E89" s="88">
        <f>'B1 (Res) Branca OK'!E84</f>
        <v>7.39594111182032E-2</v>
      </c>
      <c r="F89" s="88">
        <f>'B1 (Res) Branca OK'!F84</f>
        <v>0.27500913257019954</v>
      </c>
      <c r="G89" s="88">
        <f>'B1 (Res) Branca OK'!G84</f>
        <v>0.19856728992487654</v>
      </c>
    </row>
    <row r="90" spans="2:15" x14ac:dyDescent="0.3">
      <c r="B90" s="87" t="s">
        <v>59</v>
      </c>
      <c r="C90" s="87"/>
      <c r="D90" s="88">
        <f>'B1 (Res) Branca OK'!D85</f>
        <v>0.45246416638672071</v>
      </c>
      <c r="E90" s="88">
        <f>'B1 (Res) Branca OK'!E85</f>
        <v>7.3959411118203186E-2</v>
      </c>
      <c r="F90" s="88">
        <f>'B1 (Res) Branca OK'!F85</f>
        <v>0.27500913257019949</v>
      </c>
      <c r="G90" s="88">
        <f>'B1 (Res) Branca OK'!G85</f>
        <v>0.19856728992487654</v>
      </c>
    </row>
    <row r="91" spans="2:15" x14ac:dyDescent="0.3">
      <c r="B91" s="87" t="s">
        <v>60</v>
      </c>
      <c r="C91" s="87"/>
      <c r="D91" s="88">
        <f>'B1 (Res) Branca OK'!D86</f>
        <v>0.45246416638672071</v>
      </c>
      <c r="E91" s="88">
        <f>'B1 (Res) Branca OK'!E86</f>
        <v>7.3959411118203186E-2</v>
      </c>
      <c r="F91" s="88">
        <f>'B1 (Res) Branca OK'!F86</f>
        <v>0.27500913257019949</v>
      </c>
      <c r="G91" s="88">
        <f>'B1 (Res) Branca OK'!G86</f>
        <v>0.19856728992487654</v>
      </c>
    </row>
    <row r="92" spans="2:15" x14ac:dyDescent="0.3">
      <c r="B92" s="87" t="s">
        <v>61</v>
      </c>
      <c r="C92" s="87"/>
      <c r="D92" s="88">
        <f>'B1 (Res) Branca OK'!D87</f>
        <v>0.45246416638672071</v>
      </c>
      <c r="E92" s="88">
        <f>'B1 (Res) Branca OK'!E87</f>
        <v>7.39594111182032E-2</v>
      </c>
      <c r="F92" s="88">
        <f>'B1 (Res) Branca OK'!F87</f>
        <v>0.27500913257019954</v>
      </c>
      <c r="G92" s="88">
        <f>'B1 (Res) Branca OK'!G87</f>
        <v>0.19856728992487657</v>
      </c>
      <c r="M92"/>
      <c r="N92"/>
      <c r="O92"/>
    </row>
    <row r="93" spans="2:15" x14ac:dyDescent="0.3">
      <c r="B93" s="80"/>
      <c r="C93" s="80"/>
      <c r="D93" s="80"/>
      <c r="E93" s="80"/>
      <c r="F93" s="80"/>
      <c r="G93" s="80"/>
    </row>
    <row r="94" spans="2:15" x14ac:dyDescent="0.3">
      <c r="B94" s="80"/>
      <c r="C94" s="80"/>
      <c r="D94" s="80"/>
      <c r="E94" s="80"/>
      <c r="F94" s="80"/>
      <c r="G94" s="80"/>
    </row>
    <row r="95" spans="2:15" x14ac:dyDescent="0.3">
      <c r="B95" s="80">
        <f>'B1 (Res) Branca OK'!B90</f>
        <v>2023</v>
      </c>
      <c r="C95" s="87"/>
      <c r="D95" s="87" t="s">
        <v>44</v>
      </c>
      <c r="E95" s="87" t="s">
        <v>46</v>
      </c>
      <c r="F95" s="87" t="s">
        <v>45</v>
      </c>
      <c r="G95" s="87" t="s">
        <v>50</v>
      </c>
    </row>
    <row r="96" spans="2:15" x14ac:dyDescent="0.3">
      <c r="B96" s="87" t="s">
        <v>51</v>
      </c>
      <c r="C96" s="87"/>
      <c r="D96" s="87" t="s">
        <v>52</v>
      </c>
      <c r="E96" s="87" t="s">
        <v>52</v>
      </c>
      <c r="F96" s="87" t="s">
        <v>52</v>
      </c>
      <c r="G96" s="87" t="s">
        <v>52</v>
      </c>
    </row>
    <row r="97" spans="2:7" x14ac:dyDescent="0.3">
      <c r="B97" s="87"/>
      <c r="C97" s="87"/>
      <c r="D97" s="87"/>
      <c r="E97" s="87"/>
      <c r="F97" s="87"/>
      <c r="G97" s="87"/>
    </row>
    <row r="98" spans="2:7" x14ac:dyDescent="0.3">
      <c r="B98" s="87" t="s">
        <v>53</v>
      </c>
      <c r="C98" s="87"/>
      <c r="D98" s="88">
        <f>'B1 (Res) Branca OK'!D93</f>
        <v>0.43939696077133034</v>
      </c>
      <c r="E98" s="88">
        <f>'B1 (Res) Branca OK'!E93</f>
        <v>9.2697585625348772E-2</v>
      </c>
      <c r="F98" s="88">
        <f>'B1 (Res) Branca OK'!F93</f>
        <v>0.25285207888477268</v>
      </c>
      <c r="G98" s="88">
        <f>'B1 (Res) Branca OK'!G93</f>
        <v>0.21506308252114117</v>
      </c>
    </row>
    <row r="99" spans="2:7" x14ac:dyDescent="0.3">
      <c r="B99" s="87" t="s">
        <v>54</v>
      </c>
      <c r="C99" s="87"/>
      <c r="D99" s="88">
        <f>'B1 (Res) Branca OK'!D94</f>
        <v>0.52691619996872485</v>
      </c>
      <c r="E99" s="88">
        <f>'B1 (Res) Branca OK'!E94</f>
        <v>0.11116112291319068</v>
      </c>
      <c r="F99" s="88">
        <f>'B1 (Res) Branca OK'!F94</f>
        <v>0.30321524374287334</v>
      </c>
      <c r="G99" s="88">
        <f>'B1 (Res) Branca OK'!G94</f>
        <v>5.8707433375211129E-2</v>
      </c>
    </row>
    <row r="100" spans="2:7" x14ac:dyDescent="0.3">
      <c r="B100" s="87" t="s">
        <v>55</v>
      </c>
      <c r="C100" s="87"/>
      <c r="D100" s="88">
        <f>'B1 (Res) Branca OK'!D95</f>
        <v>0.43939300245552615</v>
      </c>
      <c r="E100" s="88">
        <f>'B1 (Res) Branca OK'!E95</f>
        <v>9.2696750557401245E-2</v>
      </c>
      <c r="F100" s="88">
        <f>'B1 (Res) Branca OK'!F95</f>
        <v>0.25284980106205335</v>
      </c>
      <c r="G100" s="88">
        <f>'B1 (Res) Branca OK'!G95</f>
        <v>0.21506044592501908</v>
      </c>
    </row>
    <row r="101" spans="2:7" x14ac:dyDescent="0.3">
      <c r="B101" s="87" t="s">
        <v>56</v>
      </c>
      <c r="C101" s="87"/>
      <c r="D101" s="88">
        <f>'B1 (Res) Branca OK'!D96</f>
        <v>0.43939300245552615</v>
      </c>
      <c r="E101" s="88">
        <f>'B1 (Res) Branca OK'!E96</f>
        <v>9.2696750557401245E-2</v>
      </c>
      <c r="F101" s="88">
        <f>'B1 (Res) Branca OK'!F96</f>
        <v>0.25284980106205335</v>
      </c>
      <c r="G101" s="88">
        <f>'B1 (Res) Branca OK'!G96</f>
        <v>0.21506044592501908</v>
      </c>
    </row>
    <row r="102" spans="2:7" x14ac:dyDescent="0.3">
      <c r="B102" s="87" t="s">
        <v>57</v>
      </c>
      <c r="C102" s="87"/>
      <c r="D102" s="88">
        <f>'B1 (Res) Branca OK'!D97</f>
        <v>0.43939300245552615</v>
      </c>
      <c r="E102" s="88">
        <f>'B1 (Res) Branca OK'!E97</f>
        <v>9.2696750557401328E-2</v>
      </c>
      <c r="F102" s="88">
        <f>'B1 (Res) Branca OK'!F97</f>
        <v>0.25284980106205335</v>
      </c>
      <c r="G102" s="88">
        <f>'B1 (Res) Branca OK'!G97</f>
        <v>0.21506044592501908</v>
      </c>
    </row>
    <row r="103" spans="2:7" x14ac:dyDescent="0.3">
      <c r="B103" s="87" t="s">
        <v>58</v>
      </c>
      <c r="C103" s="87"/>
      <c r="D103" s="88">
        <f>'B1 (Res) Branca OK'!D98</f>
        <v>0.43939300245552615</v>
      </c>
      <c r="E103" s="88">
        <f>'B1 (Res) Branca OK'!E98</f>
        <v>9.2696750557401328E-2</v>
      </c>
      <c r="F103" s="88">
        <f>'B1 (Res) Branca OK'!F98</f>
        <v>0.25284980106205335</v>
      </c>
      <c r="G103" s="88">
        <f>'B1 (Res) Branca OK'!G98</f>
        <v>0.21506044592501908</v>
      </c>
    </row>
    <row r="104" spans="2:7" x14ac:dyDescent="0.3">
      <c r="B104" s="87" t="s">
        <v>59</v>
      </c>
      <c r="C104" s="87"/>
      <c r="D104" s="88">
        <f>'B1 (Res) Branca OK'!D99</f>
        <v>0</v>
      </c>
      <c r="E104" s="88">
        <f>'B1 (Res) Branca OK'!E99</f>
        <v>0</v>
      </c>
      <c r="F104" s="88">
        <f>'B1 (Res) Branca OK'!F99</f>
        <v>0</v>
      </c>
      <c r="G104" s="88">
        <f>'B1 (Res) Branca OK'!G99</f>
        <v>0</v>
      </c>
    </row>
    <row r="105" spans="2:7" x14ac:dyDescent="0.3">
      <c r="B105" s="87" t="s">
        <v>60</v>
      </c>
      <c r="C105" s="87"/>
      <c r="D105" s="88">
        <f>'B1 (Res) Branca OK'!D100</f>
        <v>0.43938945729126549</v>
      </c>
      <c r="E105" s="88">
        <f>'B1 (Res) Branca OK'!E100</f>
        <v>9.2697336752737058E-2</v>
      </c>
      <c r="F105" s="88">
        <f>'B1 (Res) Branca OK'!F100</f>
        <v>0.25285140003260154</v>
      </c>
      <c r="G105" s="88">
        <f>'B1 (Res) Branca OK'!G100</f>
        <v>0.21506180592339591</v>
      </c>
    </row>
    <row r="106" spans="2:7" x14ac:dyDescent="0.3">
      <c r="B106" s="87" t="s">
        <v>61</v>
      </c>
      <c r="C106" s="87"/>
      <c r="D106" s="88">
        <f>'B1 (Res) Branca OK'!D101</f>
        <v>0.43938945729126527</v>
      </c>
      <c r="E106" s="88">
        <f>'B1 (Res) Branca OK'!E101</f>
        <v>9.2697336752736934E-2</v>
      </c>
      <c r="F106" s="88">
        <f>'B1 (Res) Branca OK'!F101</f>
        <v>0.25285140003260193</v>
      </c>
      <c r="G106" s="88">
        <f>'B1 (Res) Branca OK'!G101</f>
        <v>0.21506180592339585</v>
      </c>
    </row>
    <row r="107" spans="2:7" x14ac:dyDescent="0.3">
      <c r="B107" s="80"/>
      <c r="C107" s="80"/>
      <c r="D107" s="80"/>
      <c r="E107" s="80"/>
      <c r="F107" s="80"/>
      <c r="G107" s="80"/>
    </row>
    <row r="108" spans="2:7" x14ac:dyDescent="0.3">
      <c r="B108" s="89" t="s">
        <v>66</v>
      </c>
      <c r="C108" s="80"/>
      <c r="D108" s="80"/>
      <c r="E108" s="80"/>
      <c r="F108" s="80"/>
      <c r="G108" s="80"/>
    </row>
    <row r="109" spans="2:7" x14ac:dyDescent="0.3">
      <c r="B109" s="87"/>
      <c r="C109" s="87"/>
      <c r="D109" s="87" t="s">
        <v>44</v>
      </c>
      <c r="E109" s="87" t="s">
        <v>46</v>
      </c>
      <c r="F109" s="87" t="s">
        <v>45</v>
      </c>
      <c r="G109" s="87" t="s">
        <v>50</v>
      </c>
    </row>
    <row r="110" spans="2:7" x14ac:dyDescent="0.3">
      <c r="B110" s="87" t="s">
        <v>51</v>
      </c>
      <c r="C110" s="87"/>
      <c r="D110" s="88" t="s">
        <v>52</v>
      </c>
      <c r="E110" s="88" t="s">
        <v>52</v>
      </c>
      <c r="F110" s="88" t="s">
        <v>52</v>
      </c>
      <c r="G110" s="88" t="s">
        <v>52</v>
      </c>
    </row>
    <row r="111" spans="2:7" x14ac:dyDescent="0.3">
      <c r="B111" s="87"/>
      <c r="C111" s="87"/>
      <c r="D111" s="88"/>
      <c r="E111" s="88"/>
      <c r="F111" s="88"/>
      <c r="G111" s="88"/>
    </row>
    <row r="112" spans="2:7" x14ac:dyDescent="0.3">
      <c r="B112" s="87" t="s">
        <v>53</v>
      </c>
      <c r="C112" s="87"/>
      <c r="D112" s="88">
        <f t="shared" ref="D112:G120" si="13">((D98*$C$46)+(D84*$D$46))/($C$46+$D$46)</f>
        <v>0.44549499005851251</v>
      </c>
      <c r="E112" s="88">
        <f t="shared" si="13"/>
        <v>8.3953104188680835E-2</v>
      </c>
      <c r="F112" s="88">
        <f t="shared" si="13"/>
        <v>0.26319203727130519</v>
      </c>
      <c r="G112" s="88">
        <f t="shared" si="13"/>
        <v>0.20736504597621769</v>
      </c>
    </row>
    <row r="113" spans="2:7" x14ac:dyDescent="0.3">
      <c r="B113" s="87" t="s">
        <v>54</v>
      </c>
      <c r="C113" s="87"/>
      <c r="D113" s="88">
        <f t="shared" si="13"/>
        <v>0.52905332736935751</v>
      </c>
      <c r="E113" s="88">
        <f t="shared" si="13"/>
        <v>9.9828928212916751E-2</v>
      </c>
      <c r="F113" s="88">
        <f t="shared" si="13"/>
        <v>0.31246902781660196</v>
      </c>
      <c r="G113" s="88">
        <f t="shared" si="13"/>
        <v>5.8648716601123717E-2</v>
      </c>
    </row>
    <row r="114" spans="2:7" x14ac:dyDescent="0.3">
      <c r="B114" s="87" t="s">
        <v>55</v>
      </c>
      <c r="C114" s="87"/>
      <c r="D114" s="88">
        <f t="shared" si="13"/>
        <v>0.44549287895675033</v>
      </c>
      <c r="E114" s="88">
        <f t="shared" si="13"/>
        <v>8.3952658819108836E-2</v>
      </c>
      <c r="F114" s="88">
        <f t="shared" si="13"/>
        <v>0.26319082243252157</v>
      </c>
      <c r="G114" s="88">
        <f t="shared" si="13"/>
        <v>0.20736363979161923</v>
      </c>
    </row>
    <row r="115" spans="2:7" x14ac:dyDescent="0.3">
      <c r="B115" s="87" t="s">
        <v>56</v>
      </c>
      <c r="C115" s="87"/>
      <c r="D115" s="88">
        <f t="shared" si="13"/>
        <v>0.44549287895675033</v>
      </c>
      <c r="E115" s="88">
        <f t="shared" si="13"/>
        <v>8.3952658819108836E-2</v>
      </c>
      <c r="F115" s="88">
        <f t="shared" si="13"/>
        <v>0.26319082243252157</v>
      </c>
      <c r="G115" s="88">
        <f t="shared" si="13"/>
        <v>0.20736363979161923</v>
      </c>
    </row>
    <row r="116" spans="2:7" x14ac:dyDescent="0.3">
      <c r="B116" s="87" t="s">
        <v>57</v>
      </c>
      <c r="C116" s="87"/>
      <c r="D116" s="88">
        <f t="shared" si="13"/>
        <v>0.44549287895675033</v>
      </c>
      <c r="E116" s="88">
        <f t="shared" si="13"/>
        <v>8.3952658819108864E-2</v>
      </c>
      <c r="F116" s="88">
        <f t="shared" si="13"/>
        <v>0.26319082243252157</v>
      </c>
      <c r="G116" s="88">
        <f t="shared" si="13"/>
        <v>0.20736363979161923</v>
      </c>
    </row>
    <row r="117" spans="2:7" x14ac:dyDescent="0.3">
      <c r="B117" s="87" t="s">
        <v>58</v>
      </c>
      <c r="C117" s="87"/>
      <c r="D117" s="88">
        <f t="shared" si="13"/>
        <v>0.44549287895675033</v>
      </c>
      <c r="E117" s="88">
        <f t="shared" si="13"/>
        <v>8.3952658819108864E-2</v>
      </c>
      <c r="F117" s="88">
        <f t="shared" si="13"/>
        <v>0.26319082243252157</v>
      </c>
      <c r="G117" s="88">
        <f t="shared" si="13"/>
        <v>0.20736363979161923</v>
      </c>
    </row>
    <row r="118" spans="2:7" x14ac:dyDescent="0.3">
      <c r="B118" s="87" t="s">
        <v>59</v>
      </c>
      <c r="C118" s="87"/>
      <c r="D118" s="88">
        <f t="shared" si="13"/>
        <v>0.21114994431380299</v>
      </c>
      <c r="E118" s="88">
        <f t="shared" si="13"/>
        <v>3.4514391855161489E-2</v>
      </c>
      <c r="F118" s="88">
        <f t="shared" si="13"/>
        <v>0.12833759519942642</v>
      </c>
      <c r="G118" s="88">
        <f t="shared" si="13"/>
        <v>9.2664735298275722E-2</v>
      </c>
    </row>
    <row r="119" spans="2:7" x14ac:dyDescent="0.3">
      <c r="B119" s="87" t="s">
        <v>60</v>
      </c>
      <c r="C119" s="87"/>
      <c r="D119" s="88">
        <f t="shared" si="13"/>
        <v>0.4454909882024779</v>
      </c>
      <c r="E119" s="88">
        <f t="shared" si="13"/>
        <v>8.3952971456621242E-2</v>
      </c>
      <c r="F119" s="88">
        <f t="shared" si="13"/>
        <v>0.26319167521681391</v>
      </c>
      <c r="G119" s="88">
        <f t="shared" si="13"/>
        <v>0.20736436512408687</v>
      </c>
    </row>
    <row r="120" spans="2:7" x14ac:dyDescent="0.3">
      <c r="B120" s="87" t="s">
        <v>61</v>
      </c>
      <c r="C120" s="87"/>
      <c r="D120" s="88">
        <f t="shared" si="13"/>
        <v>0.44549098820247779</v>
      </c>
      <c r="E120" s="88">
        <f t="shared" si="13"/>
        <v>8.3952971456621187E-2</v>
      </c>
      <c r="F120" s="88">
        <f t="shared" si="13"/>
        <v>0.26319167521681414</v>
      </c>
      <c r="G120" s="88">
        <f t="shared" si="13"/>
        <v>0.20736436512408687</v>
      </c>
    </row>
  </sheetData>
  <customSheetViews>
    <customSheetView guid="{93A7E07A-AC2D-4310-B7ED-B74DACBA50A7}" scale="80" showGridLines="0">
      <selection activeCell="D25" sqref="D25"/>
      <pageMargins left="0.511811024" right="0.511811024" top="0.78740157499999996" bottom="0.78740157499999996" header="0.31496062000000002" footer="0.31496062000000002"/>
      <pageSetup orientation="portrait" r:id="rId1"/>
    </customSheetView>
    <customSheetView guid="{EB662AE4-4B22-40EC-8355-9AD94D059B97}" scale="70" showGridLines="0" topLeftCell="A6">
      <selection activeCell="I38" sqref="I38"/>
      <pageMargins left="0.511811024" right="0.511811024" top="0.78740157499999996" bottom="0.78740157499999996" header="0.31496062000000002" footer="0.31496062000000002"/>
      <pageSetup orientation="portrait" r:id="rId2"/>
    </customSheetView>
    <customSheetView guid="{E99E9347-E83C-4BCD-9209-A3E8998220A9}" scale="80" showGridLines="0" topLeftCell="A13">
      <selection activeCell="B16" sqref="B16"/>
      <pageMargins left="0.511811024" right="0.511811024" top="0.78740157499999996" bottom="0.78740157499999996" header="0.31496062000000002" footer="0.31496062000000002"/>
      <pageSetup orientation="portrait" r:id="rId3"/>
    </customSheetView>
    <customSheetView guid="{A8592FA0-1011-4F02-BFB0-BB1C65ED9311}" scale="80" showGridLines="0">
      <selection activeCell="D25" sqref="D25"/>
      <pageMargins left="0.511811024" right="0.511811024" top="0.78740157499999996" bottom="0.78740157499999996" header="0.31496062000000002" footer="0.31496062000000002"/>
      <pageSetup orientation="portrait" r:id="rId4"/>
    </customSheetView>
  </customSheetViews>
  <mergeCells count="12">
    <mergeCell ref="H2:I2"/>
    <mergeCell ref="Q4:Q5"/>
    <mergeCell ref="R4:T4"/>
    <mergeCell ref="U4:W4"/>
    <mergeCell ref="X4:Z4"/>
    <mergeCell ref="B48:H48"/>
    <mergeCell ref="B4:B5"/>
    <mergeCell ref="C4:E4"/>
    <mergeCell ref="F4:H4"/>
    <mergeCell ref="I4:K4"/>
    <mergeCell ref="K43:L43"/>
    <mergeCell ref="K12:L12"/>
  </mergeCells>
  <conditionalFormatting sqref="K13:L13">
    <cfRule type="cellIs" dxfId="84" priority="1" operator="equal">
      <formula>"Escassez Hídrica"</formula>
    </cfRule>
    <cfRule type="cellIs" dxfId="83" priority="2" operator="equal">
      <formula>"VERDE"</formula>
    </cfRule>
    <cfRule type="cellIs" dxfId="82" priority="3" operator="equal">
      <formula>"BVM2"</formula>
    </cfRule>
    <cfRule type="cellIs" dxfId="81" priority="4" operator="equal">
      <formula>"BVM1"</formula>
    </cfRule>
    <cfRule type="cellIs" dxfId="80" priority="5" operator="equal">
      <formula>"BAM"</formula>
    </cfRule>
  </conditionalFormatting>
  <conditionalFormatting sqref="K44:L44">
    <cfRule type="cellIs" dxfId="79" priority="6" operator="equal">
      <formula>"Escassez Hídrica"</formula>
    </cfRule>
    <cfRule type="cellIs" dxfId="78" priority="7" operator="equal">
      <formula>"VERDE"</formula>
    </cfRule>
    <cfRule type="cellIs" dxfId="77" priority="8" operator="equal">
      <formula>"BVM2"</formula>
    </cfRule>
    <cfRule type="cellIs" dxfId="76" priority="9" operator="equal">
      <formula>"BVM1"</formula>
    </cfRule>
    <cfRule type="cellIs" dxfId="75" priority="10" operator="equal">
      <formula>"BAM"</formula>
    </cfRule>
  </conditionalFormatting>
  <conditionalFormatting sqref="M3">
    <cfRule type="cellIs" dxfId="74" priority="29" operator="equal">
      <formula>"VERDE"</formula>
    </cfRule>
    <cfRule type="cellIs" dxfId="73" priority="30" operator="equal">
      <formula>"BVM2"</formula>
    </cfRule>
    <cfRule type="cellIs" dxfId="72" priority="31" operator="equal">
      <formula>"BVM1"</formula>
    </cfRule>
    <cfRule type="cellIs" dxfId="71" priority="32" operator="equal">
      <formula>"BAM"</formula>
    </cfRule>
  </conditionalFormatting>
  <conditionalFormatting sqref="M7">
    <cfRule type="containsText" dxfId="70" priority="16" operator="containsText" text="Escassez Hídrica">
      <formula>NOT(ISERROR(SEARCH("Escassez Hídrica",M7)))</formula>
    </cfRule>
    <cfRule type="cellIs" dxfId="69" priority="17" operator="equal">
      <formula>"VERDE"</formula>
    </cfRule>
    <cfRule type="cellIs" dxfId="68" priority="18" operator="equal">
      <formula>"BVM2"</formula>
    </cfRule>
    <cfRule type="cellIs" dxfId="67" priority="19" operator="equal">
      <formula>"BVM1"</formula>
    </cfRule>
    <cfRule type="cellIs" dxfId="66" priority="20" operator="equal">
      <formula>"BAM"</formula>
    </cfRule>
  </conditionalFormatting>
  <dataValidations disablePrompts="1" count="1">
    <dataValidation type="list" allowBlank="1" showInputMessage="1" showErrorMessage="1" sqref="K44:L44 K13:L13" xr:uid="{00000000-0002-0000-0500-000000000000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ABBE-8F8E-42E4-8A92-CCB684321E1D}">
  <dimension ref="A1:AB124"/>
  <sheetViews>
    <sheetView showGridLines="0" topLeftCell="A10" zoomScale="80" zoomScaleNormal="80" workbookViewId="0">
      <selection activeCell="U17" sqref="U17"/>
    </sheetView>
  </sheetViews>
  <sheetFormatPr defaultColWidth="9.109375" defaultRowHeight="14.4" x14ac:dyDescent="0.3"/>
  <cols>
    <col min="1" max="1" width="5.44140625" style="14" customWidth="1"/>
    <col min="2" max="2" width="31.6640625" style="14" bestFit="1" customWidth="1"/>
    <col min="3" max="3" width="12.6640625" style="14" customWidth="1"/>
    <col min="4" max="4" width="13.88671875" style="14" customWidth="1"/>
    <col min="5" max="10" width="12.6640625" style="14" customWidth="1"/>
    <col min="11" max="12" width="14.33203125" style="14" customWidth="1"/>
    <col min="13" max="16" width="12.6640625" style="14" customWidth="1"/>
    <col min="17" max="17" width="14.33203125" style="14" bestFit="1" customWidth="1"/>
    <col min="18" max="18" width="13.6640625" style="14" customWidth="1"/>
    <col min="19" max="19" width="13.109375" style="14" bestFit="1" customWidth="1"/>
    <col min="20" max="20" width="11.3320312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26" width="11.33203125" style="14" bestFit="1" customWidth="1"/>
    <col min="27" max="16384" width="9.109375" style="14"/>
  </cols>
  <sheetData>
    <row r="1" spans="1:28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8" ht="18" x14ac:dyDescent="0.3">
      <c r="B2" s="17" t="s">
        <v>10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8" x14ac:dyDescent="0.3">
      <c r="M3" s="20" t="s">
        <v>22</v>
      </c>
      <c r="N3" s="165">
        <f>'B1 (Res) Branca OK'!N3</f>
        <v>0</v>
      </c>
    </row>
    <row r="4" spans="1:28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  <c r="X4" s="279" t="s">
        <v>69</v>
      </c>
      <c r="Y4" s="280"/>
      <c r="Z4" s="281"/>
    </row>
    <row r="5" spans="1:28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  <c r="Z5"/>
    </row>
    <row r="6" spans="1:28" x14ac:dyDescent="0.3">
      <c r="B6" s="27" t="s">
        <v>146</v>
      </c>
      <c r="C6" s="28">
        <f>'TABELA DE TARIFAS ANTIGAS'!G86/1000</f>
        <v>1.0610299999999999</v>
      </c>
      <c r="D6" s="28">
        <f>'TABELA DE TARIFAS ANTIGAS'!H86/1000</f>
        <v>0.48448000000000002</v>
      </c>
      <c r="E6" s="28">
        <f t="shared" ref="E6:E8" si="0">C6+D6</f>
        <v>1.5455099999999999</v>
      </c>
      <c r="F6" s="28">
        <f>'TABELA DE TARIFAS NOVAS'!G88/1000</f>
        <v>1.1286700000000001</v>
      </c>
      <c r="G6" s="28">
        <f>'TABELA DE TARIFAS NOVAS'!H88/1000</f>
        <v>0.51690999999999998</v>
      </c>
      <c r="H6" s="28">
        <f t="shared" ref="H6:H9" si="1">F6+G6</f>
        <v>1.64558</v>
      </c>
      <c r="I6" s="28">
        <f t="shared" ref="I6:J9" si="2">((C6*$C$50)+(F6*$D$50))/($D$50+$C$50)</f>
        <v>1.0903406666666666</v>
      </c>
      <c r="J6" s="28">
        <f t="shared" si="2"/>
        <v>0.498533</v>
      </c>
      <c r="K6" s="29">
        <f t="shared" ref="K6:K9" si="3">I6+J6</f>
        <v>1.5888736666666667</v>
      </c>
      <c r="M6" s="7" t="s">
        <v>37</v>
      </c>
      <c r="N6" s="8">
        <f>'B1 (Res) Branca OK'!N6</f>
        <v>7.8770000000000007E-2</v>
      </c>
      <c r="Q6" s="27" t="str">
        <f>B6</f>
        <v>B3 Ponta</v>
      </c>
      <c r="R6" s="28">
        <f>'FIO B'!H31/1000</f>
        <v>0.69302445456809059</v>
      </c>
      <c r="S6"/>
      <c r="T6"/>
      <c r="U6" s="28">
        <f>'FIO B'!K31/1000</f>
        <v>0.71111541346497797</v>
      </c>
      <c r="V6"/>
      <c r="W6"/>
      <c r="X6" s="28">
        <f>((R6*$C$50)+(U6*$D$50))/($D$50+$C$50)</f>
        <v>0.70086387009007511</v>
      </c>
      <c r="Y6"/>
      <c r="Z6"/>
    </row>
    <row r="7" spans="1:28" customFormat="1" x14ac:dyDescent="0.3">
      <c r="B7" s="27" t="s">
        <v>147</v>
      </c>
      <c r="C7" s="28">
        <f>'TABELA DE TARIFAS ANTIGAS'!G88/1000</f>
        <v>0.38965</v>
      </c>
      <c r="D7" s="28">
        <f>'TABELA DE TARIFAS ANTIGAS'!H88/1000</f>
        <v>0.30579000000000001</v>
      </c>
      <c r="E7" s="28">
        <f t="shared" si="0"/>
        <v>0.69544000000000006</v>
      </c>
      <c r="F7" s="28">
        <f>'TABELA DE TARIFAS NOVAS'!G90/1000</f>
        <v>0.42333999999999999</v>
      </c>
      <c r="G7" s="28">
        <f>'TABELA DE TARIFAS NOVAS'!H90/1000</f>
        <v>0.32106999999999997</v>
      </c>
      <c r="H7" s="28">
        <f t="shared" si="1"/>
        <v>0.74441000000000002</v>
      </c>
      <c r="I7" s="28">
        <f t="shared" si="2"/>
        <v>0.40424899999999997</v>
      </c>
      <c r="J7" s="28">
        <f t="shared" si="2"/>
        <v>0.31241133333333332</v>
      </c>
      <c r="K7" s="29">
        <f t="shared" si="3"/>
        <v>0.71666033333333323</v>
      </c>
      <c r="M7" s="20" t="s">
        <v>149</v>
      </c>
      <c r="N7" s="142">
        <f>'B1 (Res) Branca OK'!N7</f>
        <v>0.14199999999999999</v>
      </c>
      <c r="Q7" s="27" t="str">
        <f t="shared" ref="Q7:Q8" si="4">B7</f>
        <v>B3 Fora Ponta</v>
      </c>
      <c r="R7" s="28">
        <f>'FIO B'!H33/1000</f>
        <v>0.13860487080740844</v>
      </c>
      <c r="U7" s="28">
        <f>'FIO B'!K33/1000</f>
        <v>0.14222306206192598</v>
      </c>
      <c r="X7" s="28">
        <f>((R7*$C$50)+(U7*$D$50))/($D$50+$C$50)</f>
        <v>0.14017275368436605</v>
      </c>
      <c r="AA7" s="14"/>
      <c r="AB7" s="14"/>
    </row>
    <row r="8" spans="1:28" customFormat="1" x14ac:dyDescent="0.3">
      <c r="B8" s="27" t="s">
        <v>148</v>
      </c>
      <c r="C8" s="28">
        <f>'TABELA DE TARIFAS ANTIGAS'!G87/1000</f>
        <v>0.72533999999999998</v>
      </c>
      <c r="D8" s="28">
        <f>'TABELA DE TARIFAS ANTIGAS'!H87/1000</f>
        <v>0.30579000000000001</v>
      </c>
      <c r="E8" s="28">
        <f t="shared" si="0"/>
        <v>1.0311300000000001</v>
      </c>
      <c r="F8" s="28">
        <f>'TABELA DE TARIFAS NOVAS'!G89/1000</f>
        <v>0.77600999999999998</v>
      </c>
      <c r="G8" s="28">
        <f>'TABELA DE TARIFAS NOVAS'!H89/1000</f>
        <v>0.32106999999999997</v>
      </c>
      <c r="H8" s="28">
        <f t="shared" si="1"/>
        <v>1.0970800000000001</v>
      </c>
      <c r="I8" s="28">
        <f t="shared" si="2"/>
        <v>0.74729699999999988</v>
      </c>
      <c r="J8" s="28">
        <f t="shared" si="2"/>
        <v>0.31241133333333332</v>
      </c>
      <c r="K8" s="29">
        <f t="shared" si="3"/>
        <v>1.0597083333333333</v>
      </c>
      <c r="Q8" s="27" t="str">
        <f t="shared" si="4"/>
        <v>B3 Interm.</v>
      </c>
      <c r="R8" s="28">
        <f>'FIO B'!H32/1000</f>
        <v>0.41581471295327371</v>
      </c>
      <c r="U8" s="28">
        <f>'FIO B'!K32/1000</f>
        <v>0.42666928934112502</v>
      </c>
      <c r="X8" s="28">
        <f>((R8*$C$50)+(U8*$D$50))/($D$50+$C$50)</f>
        <v>0.42051836272134258</v>
      </c>
      <c r="AA8" s="14"/>
      <c r="AB8" s="14"/>
    </row>
    <row r="9" spans="1:28" customFormat="1" x14ac:dyDescent="0.3">
      <c r="B9" s="184" t="s">
        <v>182</v>
      </c>
      <c r="C9" s="29">
        <f>'B1 (Res) Branca OK'!C9</f>
        <v>1.8774721494831901E-4</v>
      </c>
      <c r="D9" s="29">
        <f>'B1 (Res) Branca OK'!D9</f>
        <v>-4.4031307414479802E-3</v>
      </c>
      <c r="E9" s="29">
        <f>SUM(C9+D9)</f>
        <v>-4.2153835264996612E-3</v>
      </c>
      <c r="F9" s="29">
        <f>T13</f>
        <v>1.84189231569235E-4</v>
      </c>
      <c r="G9" s="29">
        <f>U13</f>
        <v>-5.3182974871251499E-4</v>
      </c>
      <c r="H9" s="29">
        <f t="shared" si="1"/>
        <v>-3.4764051714327999E-4</v>
      </c>
      <c r="I9" s="28">
        <f t="shared" si="2"/>
        <v>1.8620542215071594E-4</v>
      </c>
      <c r="J9" s="28">
        <f t="shared" si="2"/>
        <v>-2.7255669779292784E-3</v>
      </c>
      <c r="K9" s="29">
        <f t="shared" si="3"/>
        <v>-2.5393615557785625E-3</v>
      </c>
      <c r="AA9" s="14"/>
      <c r="AB9" s="14"/>
    </row>
    <row r="10" spans="1:28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  <c r="Z10" s="16"/>
    </row>
    <row r="11" spans="1:28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f>EOMONTH(B15,0)+1</f>
        <v>46235</v>
      </c>
      <c r="P11" s="173" t="s">
        <v>179</v>
      </c>
      <c r="Q11" s="174"/>
      <c r="R11" s="175"/>
      <c r="S11" s="175"/>
      <c r="T11" s="176"/>
      <c r="U11" s="176"/>
    </row>
    <row r="12" spans="1:28" x14ac:dyDescent="0.3">
      <c r="B12" s="34" t="s">
        <v>34</v>
      </c>
      <c r="C12" s="255">
        <v>475728</v>
      </c>
      <c r="E12" s="16"/>
      <c r="F12" s="16"/>
      <c r="G12" s="16"/>
      <c r="H12" s="35">
        <f>E15</f>
        <v>46253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v>0</v>
      </c>
    </row>
    <row r="13" spans="1:28" x14ac:dyDescent="0.3">
      <c r="B13" s="36"/>
      <c r="H13" s="37"/>
      <c r="K13" s="20" t="str">
        <f>'B2 (Rural) Branca OK'!K13</f>
        <v>BAM</v>
      </c>
      <c r="L13" s="20" t="str">
        <f>'B1 (Res) Branca OK'!L13</f>
        <v>BAM</v>
      </c>
      <c r="P13" s="181" t="s">
        <v>181</v>
      </c>
      <c r="Q13" s="182"/>
      <c r="R13" s="183"/>
      <c r="S13" s="183"/>
      <c r="T13" s="197">
        <f>'B1 (Res) Branca OK'!T13</f>
        <v>1.84189231569235E-4</v>
      </c>
      <c r="U13" s="197">
        <f>'B1 (Res) Branca OK'!U13</f>
        <v>-5.3182974871251499E-4</v>
      </c>
    </row>
    <row r="14" spans="1:28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8" x14ac:dyDescent="0.3">
      <c r="B15" s="40">
        <v>46223</v>
      </c>
      <c r="C15" s="41">
        <f>IF((F2-B15-1)&lt;0,0,(F2-B15-1))</f>
        <v>17</v>
      </c>
      <c r="D15" s="41">
        <f>E15-F2+1</f>
        <v>13</v>
      </c>
      <c r="E15" s="40">
        <v>46253</v>
      </c>
      <c r="F15" s="42"/>
      <c r="G15" s="42"/>
      <c r="H15" s="43"/>
      <c r="J15" s="44">
        <f>B15</f>
        <v>46223</v>
      </c>
      <c r="K15" s="45">
        <f>IF((M11-J15-1)&lt;0,0,(M11-J15-1))</f>
        <v>11</v>
      </c>
      <c r="L15" s="45">
        <f>M15-M11+1</f>
        <v>19</v>
      </c>
      <c r="M15" s="44">
        <f>E15</f>
        <v>46253</v>
      </c>
    </row>
    <row r="16" spans="1:28" s="16" customFormat="1" x14ac:dyDescent="0.3">
      <c r="F16" s="42"/>
      <c r="G16" s="42"/>
      <c r="P16" s="143" t="s">
        <v>152</v>
      </c>
      <c r="Q16" s="149"/>
      <c r="R16" s="239">
        <v>1025310395</v>
      </c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33</v>
      </c>
      <c r="E19" s="208">
        <f>IFERROR((ROUND(D19*K19,2)+ROUND(G19,2)+ROUND(J19,2))/ROUND(D19,4), 0)</f>
        <v>1.4</v>
      </c>
      <c r="F19" s="209">
        <f>ROUND(D19*E19,2)</f>
        <v>46.2</v>
      </c>
      <c r="G19" s="209">
        <f>((D19*K19)/(1-$N$19-$N$20))*($N$19+$N$20)</f>
        <v>2.3660264642438453</v>
      </c>
      <c r="H19" s="210">
        <f>ROUND((D19*K19)/(1-$N$19-$N$20)/(1-$I$19),8)</f>
        <v>46.201528269999997</v>
      </c>
      <c r="I19" s="211">
        <v>0.17</v>
      </c>
      <c r="J19" s="210">
        <f>H19*$I$19</f>
        <v>7.8542598058999999</v>
      </c>
      <c r="K19" s="208">
        <f>IF(AND($B$15&lt;$F$2,$E$15&lt;$F$2),C6,IF($B$15&lt;$F$2,I6,F6))</f>
        <v>1.0903406666666666</v>
      </c>
      <c r="L19" s="47" t="s">
        <v>27</v>
      </c>
      <c r="M19" s="209">
        <f>D70</f>
        <v>228.62623894276885</v>
      </c>
      <c r="N19" s="212">
        <f>'B1 (Res) Branca OK'!N19</f>
        <v>1.0999999999999999E-2</v>
      </c>
      <c r="O19" s="213">
        <f>ROUND(M19*N19,2)</f>
        <v>2.5099999999999998</v>
      </c>
      <c r="P19" s="16"/>
      <c r="Q19" s="16"/>
      <c r="R19" s="144" t="s">
        <v>155</v>
      </c>
      <c r="S19" s="144" t="s">
        <v>156</v>
      </c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14</v>
      </c>
      <c r="E20" s="208">
        <f t="shared" ref="E20:E24" si="5">IFERROR((ROUND(D20*K20,2)+ROUND(G20,2)+ROUND(J20,2))/ROUND(D20,4), 0)</f>
        <v>0.9592857142857143</v>
      </c>
      <c r="F20" s="209">
        <f t="shared" ref="F20:F28" si="6">ROUND(D20*E20,2)</f>
        <v>13.43</v>
      </c>
      <c r="G20" s="209">
        <f>((D20*K20)/(1-$N$19-$N$20))*($N$19+$N$20)</f>
        <v>0.68796243056591699</v>
      </c>
      <c r="H20" s="210">
        <f>ROUND((D20*K20)/(1-$N$19-$N$20)/(1-$I$19),8)</f>
        <v>13.43388004</v>
      </c>
      <c r="I20" s="211">
        <f>I19</f>
        <v>0.17</v>
      </c>
      <c r="J20" s="210">
        <f t="shared" ref="J20:J28" si="7">H20*$I$19</f>
        <v>2.2837596068000003</v>
      </c>
      <c r="K20" s="208">
        <f>IF(AND($B$15&lt;$F$2,$E$15&lt;$F$2),C8,IF($B$15&lt;$F$2,I8,F8))</f>
        <v>0.74729699999999988</v>
      </c>
      <c r="L20" s="47" t="s">
        <v>19</v>
      </c>
      <c r="M20" s="209">
        <f>M19</f>
        <v>228.62623894276885</v>
      </c>
      <c r="N20" s="212">
        <f>'B1 (Res) Branca OK'!N20</f>
        <v>5.0700000000000002E-2</v>
      </c>
      <c r="O20" s="213">
        <f>ROUND(M20*N20,2)</f>
        <v>11.59</v>
      </c>
      <c r="P20" s="16"/>
      <c r="Q20" s="16"/>
      <c r="R20" s="150">
        <f>IF(AND($B$50&lt;$F$2,$E$50&lt;$F$2),R6,IF($B$50&lt;$F$2,X6,U6))</f>
        <v>0.70086387009007511</v>
      </c>
      <c r="S20" s="151">
        <f>D56*R20</f>
        <v>23.128507712972478</v>
      </c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199</v>
      </c>
      <c r="E21" s="208">
        <f t="shared" si="5"/>
        <v>0.51909547738693473</v>
      </c>
      <c r="F21" s="209">
        <f t="shared" si="6"/>
        <v>103.3</v>
      </c>
      <c r="G21" s="209">
        <f>((D21*K21)/(1-$N$19-$N$20))*($N$19+$N$20)</f>
        <v>5.2898758357668125</v>
      </c>
      <c r="H21" s="210">
        <f>ROUND((D21*K21)/(1-$N$19-$N$20)/(1-$I$19),8)</f>
        <v>103.29569497999999</v>
      </c>
      <c r="I21" s="211">
        <f>I19</f>
        <v>0.17</v>
      </c>
      <c r="J21" s="210">
        <f t="shared" si="7"/>
        <v>17.560268146599999</v>
      </c>
      <c r="K21" s="208">
        <f>IF(AND($B$15&lt;$F$2,$E$15&lt;$F$2),C7,IF($B$15&lt;$F$2,I7,F7))</f>
        <v>0.40424899999999997</v>
      </c>
      <c r="L21" s="226"/>
      <c r="M21" s="227"/>
      <c r="N21" s="228"/>
      <c r="O21" s="229"/>
      <c r="P21" s="16"/>
      <c r="R21" s="150">
        <f>IF(AND($B$50&lt;$F$2,$E$50&lt;$F$2),R7,IF($B$50&lt;$F$2,X7,U7))</f>
        <v>0.14017275368436605</v>
      </c>
      <c r="S21" s="151">
        <f>D57*R21</f>
        <v>27.894377983188843</v>
      </c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33</v>
      </c>
      <c r="E22" s="208">
        <f t="shared" si="5"/>
        <v>0.64</v>
      </c>
      <c r="F22" s="209">
        <f t="shared" si="6"/>
        <v>21.12</v>
      </c>
      <c r="G22" s="209">
        <f>((D22*K22)/(1-$N$19-$N$20))*($N$19+$N$20)</f>
        <v>1.0818107655334115</v>
      </c>
      <c r="H22" s="210">
        <f>(D22*K22)/(1-$N$19-$N$20)/(1-$I$19)</f>
        <v>21.124578030763146</v>
      </c>
      <c r="I22" s="205"/>
      <c r="J22" s="210">
        <f t="shared" si="7"/>
        <v>3.5911782652297353</v>
      </c>
      <c r="K22" s="208">
        <f>IF(AND($B$15&lt;$F$2,$E$15&lt;$F$2),D6,IF($B$15&lt;$F$2,J6,G6))</f>
        <v>0.498533</v>
      </c>
      <c r="L22" s="226"/>
      <c r="M22" s="227"/>
      <c r="N22" s="228"/>
      <c r="O22" s="229"/>
      <c r="P22" s="16"/>
      <c r="Q22" s="16"/>
      <c r="R22" s="150">
        <f>IF(AND($B$50&lt;$F$2,$E$50&lt;$F$2),R8,IF($B$50&lt;$F$2,X8,U8))</f>
        <v>0.42051836272134258</v>
      </c>
      <c r="S22" s="151">
        <f>D58*R22</f>
        <v>5.8872570780987958</v>
      </c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14</v>
      </c>
      <c r="E23" s="208">
        <f t="shared" si="5"/>
        <v>0.40071428571428575</v>
      </c>
      <c r="F23" s="209">
        <f t="shared" si="6"/>
        <v>5.61</v>
      </c>
      <c r="G23" s="209">
        <f t="shared" ref="G23:G24" si="8">((D23*K23)/(1-$N$19-$N$20))*($N$19+$N$20)</f>
        <v>0.28760621308039364</v>
      </c>
      <c r="H23" s="210">
        <f t="shared" ref="H23:H24" si="9">(D23*K23)/(1-$N$19-$N$20)/(1-$I$19)</f>
        <v>5.6161022647554946</v>
      </c>
      <c r="I23" s="205"/>
      <c r="J23" s="210">
        <f t="shared" si="7"/>
        <v>0.95473738500843419</v>
      </c>
      <c r="K23" s="208">
        <f>IF(AND($B$15&lt;$F$2,$E$15&lt;$F$2),D8,IF($B$15&lt;$F$2,J8,G8))</f>
        <v>0.31241133333333332</v>
      </c>
      <c r="L23" s="226"/>
      <c r="M23" s="227"/>
      <c r="N23" s="228"/>
      <c r="O23" s="229"/>
      <c r="P23" s="16"/>
      <c r="Q23" s="16"/>
      <c r="S23" s="152">
        <f>SUM(S20:S22)</f>
        <v>56.910142774260123</v>
      </c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199</v>
      </c>
      <c r="E24" s="208">
        <f t="shared" si="5"/>
        <v>0.4011557788944724</v>
      </c>
      <c r="F24" s="209">
        <f t="shared" si="6"/>
        <v>79.83</v>
      </c>
      <c r="G24" s="209">
        <f t="shared" si="8"/>
        <v>4.0881168859284527</v>
      </c>
      <c r="H24" s="210">
        <f t="shared" si="9"/>
        <v>79.828882191881675</v>
      </c>
      <c r="I24" s="205"/>
      <c r="J24" s="210">
        <f t="shared" si="7"/>
        <v>13.570909972619885</v>
      </c>
      <c r="K24" s="208">
        <f>IF(AND($B$15&lt;$F$2,$E$15&lt;$F$2),D7,IF($B$15&lt;$F$2,J7,G7))</f>
        <v>0.31241133333333332</v>
      </c>
      <c r="L24" s="226"/>
      <c r="M24" s="227"/>
      <c r="N24" s="228"/>
      <c r="O24" s="229"/>
      <c r="P24" s="16"/>
      <c r="Q24" s="16"/>
      <c r="R24" s="16"/>
      <c r="S24" s="16"/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IF($K$13=M4,(($D$19+$D$20+$D$21)*($K$15)/($K$15+$L$15)),0)+IF($L$13=M4,(($D$19+$D$20+$D$21)*($L$15)/($K$15+$L$15)),0)</f>
        <v>246</v>
      </c>
      <c r="E25" s="208">
        <f>IFERROR((ROUND(D25*K25,2)+ROUND(G25,2)+ROUND(J25,2))/ROUND(D25,4), 0)</f>
        <v>2.4186991869918698E-2</v>
      </c>
      <c r="F25" s="209">
        <f t="shared" si="6"/>
        <v>5.95</v>
      </c>
      <c r="G25" s="209">
        <f>((D25*K25)/(1-$N$19-$N$20))*($N$19+$N$20)</f>
        <v>0.30492280720451881</v>
      </c>
      <c r="H25" s="210">
        <f>(D25*K25)/(1-$N$19-$N$20)/(1-$I$19)</f>
        <v>5.9542443460295402</v>
      </c>
      <c r="I25" s="205"/>
      <c r="J25" s="210">
        <f t="shared" si="7"/>
        <v>1.012221538825022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232"/>
      <c r="S25" s="16"/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 t="shared" ref="D26:D28" si="10">IF($K$13=M5,(($D$19+$D$20+$D$21)*($K$15)/($K$15+$L$15)),0)+IF($L$13=M5,(($D$19+$D$20+$D$21)*($L$15)/($K$15+$L$15)),0)</f>
        <v>0</v>
      </c>
      <c r="E26" s="208">
        <f>K26/(1-$N$19-$N$20)/(1-$I$19)</f>
        <v>5.7306921386922526E-2</v>
      </c>
      <c r="F26" s="209">
        <f t="shared" si="6"/>
        <v>0</v>
      </c>
      <c r="G26" s="209">
        <f>((D26*K26)/(1-$N$19-$N$20))*($N$19+$N$20)</f>
        <v>0</v>
      </c>
      <c r="H26" s="210">
        <f>(D26*K26)/(1-$N$19-$N$20)/(1-$I$19)</f>
        <v>0</v>
      </c>
      <c r="I26" s="205"/>
      <c r="J26" s="210">
        <f t="shared" si="7"/>
        <v>0</v>
      </c>
      <c r="K26" s="208">
        <f>N5</f>
        <v>4.4630000000000003E-2</v>
      </c>
      <c r="O26" s="62"/>
      <c r="P26" s="16"/>
      <c r="Q26" s="16"/>
      <c r="R26" s="232"/>
      <c r="S26" s="233"/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 t="shared" si="10"/>
        <v>0</v>
      </c>
      <c r="E27" s="208">
        <f>K27/(1-$N$19-$N$20)/(1-$I$19)</f>
        <v>0.10114421236047248</v>
      </c>
      <c r="F27" s="209">
        <f t="shared" si="6"/>
        <v>0</v>
      </c>
      <c r="G27" s="209">
        <f>((D27*K27)/(1-$N$19-$N$20))*($N$19+$N$20)</f>
        <v>0</v>
      </c>
      <c r="H27" s="210">
        <f>(D27*K27)/(1-$N$19-$N$20)/(1-$I$19)</f>
        <v>0</v>
      </c>
      <c r="I27" s="205"/>
      <c r="J27" s="210">
        <f t="shared" si="7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 t="shared" si="10"/>
        <v>0</v>
      </c>
      <c r="E28" s="208">
        <f>K28/(1-$N$19-$N$20)/(1-$I$19)</f>
        <v>0.18233436784546261</v>
      </c>
      <c r="F28" s="209">
        <f t="shared" si="6"/>
        <v>0</v>
      </c>
      <c r="G28" s="209">
        <f>((D28*K28)/(1-$N$19-$N$20))*($N$19+$N$20)</f>
        <v>0</v>
      </c>
      <c r="H28" s="210">
        <f>(D28*K28)/(1-$N$19-$N$20)/(1-$I$19)</f>
        <v>0</v>
      </c>
      <c r="I28" s="205"/>
      <c r="J28" s="210">
        <f t="shared" si="7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207</v>
      </c>
      <c r="C29" s="205"/>
      <c r="D29" s="214"/>
      <c r="E29" s="205"/>
      <c r="F29" s="217"/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206</v>
      </c>
      <c r="C30" s="205"/>
      <c r="D30" s="214"/>
      <c r="E30" s="205"/>
      <c r="F30" s="217"/>
      <c r="G30" s="205"/>
      <c r="H30" s="205"/>
      <c r="I30" s="205"/>
      <c r="J30" s="205"/>
      <c r="K30" s="205"/>
      <c r="O30" s="62"/>
      <c r="P30" s="16"/>
      <c r="Q30" s="16"/>
      <c r="R30" s="16"/>
      <c r="S30" s="235"/>
      <c r="T30" s="16"/>
      <c r="U30" s="16"/>
      <c r="V30" s="16"/>
    </row>
    <row r="31" spans="2:22" x14ac:dyDescent="0.3">
      <c r="B31" s="205" t="s">
        <v>233</v>
      </c>
      <c r="C31" s="205"/>
      <c r="D31" s="214"/>
      <c r="E31" s="205"/>
      <c r="F31" s="217">
        <v>-1.79</v>
      </c>
      <c r="G31" s="205"/>
      <c r="H31" s="205"/>
      <c r="I31" s="205"/>
      <c r="J31" s="205"/>
      <c r="K31" s="205"/>
      <c r="O31" s="62"/>
    </row>
    <row r="32" spans="2:22" x14ac:dyDescent="0.3">
      <c r="B32" s="205" t="s">
        <v>234</v>
      </c>
      <c r="C32" s="205"/>
      <c r="D32" s="214"/>
      <c r="E32" s="205"/>
      <c r="F32" s="217">
        <v>-2.75</v>
      </c>
      <c r="G32" s="205"/>
      <c r="H32" s="205"/>
      <c r="I32" s="205"/>
      <c r="J32" s="205"/>
      <c r="K32" s="205"/>
      <c r="O32" s="62"/>
    </row>
    <row r="33" spans="2:26" x14ac:dyDescent="0.3">
      <c r="B33" s="205" t="s">
        <v>235</v>
      </c>
      <c r="C33" s="205"/>
      <c r="D33" s="214"/>
      <c r="E33" s="205"/>
      <c r="F33" s="217">
        <v>-3.31</v>
      </c>
      <c r="G33" s="205"/>
      <c r="H33" s="205"/>
      <c r="I33" s="205"/>
      <c r="J33" s="205"/>
      <c r="K33" s="205"/>
      <c r="O33" s="62"/>
    </row>
    <row r="34" spans="2:26" x14ac:dyDescent="0.3">
      <c r="B34" s="205" t="s">
        <v>236</v>
      </c>
      <c r="C34" s="205"/>
      <c r="D34" s="214"/>
      <c r="E34" s="205"/>
      <c r="F34" s="217">
        <v>-8.26</v>
      </c>
      <c r="G34" s="205"/>
      <c r="H34" s="205"/>
      <c r="I34" s="205"/>
      <c r="J34" s="205"/>
      <c r="K34" s="205"/>
      <c r="O34" s="62"/>
    </row>
    <row r="35" spans="2:26" x14ac:dyDescent="0.3">
      <c r="B35" s="205" t="s">
        <v>237</v>
      </c>
      <c r="C35" s="205"/>
      <c r="D35" s="214"/>
      <c r="E35" s="205"/>
      <c r="F35" s="217"/>
      <c r="G35" s="205"/>
      <c r="H35" s="205"/>
      <c r="I35" s="205"/>
      <c r="J35" s="205"/>
      <c r="K35" s="205"/>
      <c r="O35" s="62"/>
      <c r="S35" s="216"/>
    </row>
    <row r="36" spans="2:26" x14ac:dyDescent="0.3">
      <c r="B36" s="205" t="s">
        <v>208</v>
      </c>
      <c r="C36" s="205"/>
      <c r="D36" s="214"/>
      <c r="E36" s="205"/>
      <c r="F36" s="217">
        <v>64.319999999999993</v>
      </c>
      <c r="G36" s="205"/>
      <c r="H36" s="205"/>
      <c r="I36" s="205"/>
      <c r="J36" s="205"/>
      <c r="K36" s="205"/>
      <c r="O36" s="62"/>
    </row>
    <row r="37" spans="2:26" x14ac:dyDescent="0.3">
      <c r="B37" s="205"/>
      <c r="C37" s="205"/>
      <c r="D37" s="214"/>
      <c r="E37" s="205"/>
      <c r="F37" s="205"/>
      <c r="G37" s="205"/>
      <c r="H37" s="205"/>
      <c r="I37" s="205"/>
      <c r="J37" s="205"/>
      <c r="K37" s="205"/>
      <c r="O37" s="62"/>
    </row>
    <row r="38" spans="2:26" x14ac:dyDescent="0.3">
      <c r="B38" s="205"/>
      <c r="C38" s="205"/>
      <c r="D38" s="214"/>
      <c r="E38" s="205"/>
      <c r="F38" s="205"/>
      <c r="G38" s="205"/>
      <c r="H38" s="205"/>
      <c r="I38" s="205"/>
      <c r="J38" s="205"/>
      <c r="K38" s="205"/>
      <c r="O38" s="62"/>
    </row>
    <row r="39" spans="2:26" x14ac:dyDescent="0.3">
      <c r="B39" s="218" t="s">
        <v>209</v>
      </c>
      <c r="C39" s="215"/>
      <c r="D39" s="219"/>
      <c r="E39" s="215"/>
      <c r="F39" s="220">
        <f>SUM(F19:F38)</f>
        <v>323.64999999999998</v>
      </c>
      <c r="G39" s="221">
        <f>SUM(G19:G38)</f>
        <v>14.106321402323353</v>
      </c>
      <c r="H39" s="222">
        <f>SUM(H19:H38)</f>
        <v>275.45491012342984</v>
      </c>
      <c r="I39" s="215"/>
      <c r="J39" s="222">
        <f>SUM(J19:J38)</f>
        <v>46.827334720983082</v>
      </c>
      <c r="K39" s="215"/>
      <c r="L39" s="68"/>
      <c r="M39" s="68"/>
      <c r="N39" s="68"/>
      <c r="O39" s="79"/>
    </row>
    <row r="41" spans="2:26" x14ac:dyDescent="0.3">
      <c r="B41" s="223" t="s">
        <v>210</v>
      </c>
      <c r="C41" s="224">
        <f>D19+D20+D21</f>
        <v>246</v>
      </c>
      <c r="D41" s="225">
        <f>IF(AND($B$15&lt;$F$2,$E$15&lt;$F$2),C9,IF($B$15&lt;$F$2,I9,F9))</f>
        <v>1.8620542215071594E-4</v>
      </c>
      <c r="E41" s="225">
        <f>IF(AND($B$15&lt;$F$2,$E$15&lt;$F$2),D9,IF($B$15&lt;$F$2,J9,G9))</f>
        <v>-2.7255669779292784E-3</v>
      </c>
      <c r="F41" s="223">
        <f>C41*(D41+E41)</f>
        <v>-0.62468294272152636</v>
      </c>
      <c r="G41" s="270"/>
    </row>
    <row r="42" spans="2:26" ht="14.25" customHeight="1" x14ac:dyDescent="0.3">
      <c r="G42" s="16"/>
      <c r="H42" s="16"/>
      <c r="I42" s="16"/>
      <c r="J42" s="16"/>
      <c r="K42" s="16"/>
      <c r="O42" s="18"/>
      <c r="V42" s="16"/>
      <c r="W42" s="16"/>
      <c r="X42" s="16"/>
      <c r="Y42" s="16"/>
      <c r="Z42" s="16"/>
    </row>
    <row r="43" spans="2:26" ht="14.25" customHeight="1" x14ac:dyDescent="0.3">
      <c r="G43" s="16"/>
      <c r="H43" s="16"/>
      <c r="I43" s="16"/>
      <c r="J43" s="16"/>
      <c r="K43" s="16"/>
      <c r="O43" s="18"/>
      <c r="V43" s="16"/>
      <c r="W43" s="16"/>
      <c r="X43" s="16"/>
      <c r="Y43" s="16"/>
      <c r="Z43" s="16"/>
    </row>
    <row r="44" spans="2:26" ht="14.25" customHeight="1" x14ac:dyDescent="0.3">
      <c r="G44" s="16"/>
      <c r="H44" s="16"/>
      <c r="I44" s="16"/>
      <c r="J44" s="16"/>
      <c r="K44" s="16"/>
      <c r="O44" s="18"/>
      <c r="V44" s="16"/>
      <c r="W44" s="16"/>
      <c r="X44" s="16"/>
      <c r="Y44" s="16"/>
      <c r="Z44" s="16"/>
    </row>
    <row r="45" spans="2:26" ht="14.25" customHeight="1" x14ac:dyDescent="0.3">
      <c r="G45" s="16"/>
      <c r="H45" s="16"/>
      <c r="I45" s="16"/>
      <c r="J45" s="16"/>
      <c r="K45" s="16"/>
      <c r="O45" s="18"/>
      <c r="V45" s="16"/>
      <c r="W45" s="16"/>
      <c r="X45" s="16"/>
      <c r="Y45" s="16"/>
      <c r="Z45" s="16"/>
    </row>
    <row r="46" spans="2:26" x14ac:dyDescent="0.3">
      <c r="B46" s="30"/>
      <c r="C46" s="31"/>
      <c r="D46" s="32"/>
      <c r="E46" s="31"/>
      <c r="F46" s="31"/>
      <c r="G46" s="31"/>
      <c r="H46" s="33" t="s">
        <v>35</v>
      </c>
      <c r="I46" s="16"/>
      <c r="L46" s="18" t="s">
        <v>71</v>
      </c>
      <c r="M46" s="19">
        <f>EOMONTH(B50,0)+1</f>
        <v>46235</v>
      </c>
    </row>
    <row r="47" spans="2:26" x14ac:dyDescent="0.3">
      <c r="B47" s="34" t="s">
        <v>34</v>
      </c>
      <c r="C47" s="141">
        <f>C12</f>
        <v>475728</v>
      </c>
      <c r="E47" s="16"/>
      <c r="F47" s="16"/>
      <c r="G47" s="16"/>
      <c r="H47" s="35">
        <f>E50</f>
        <v>46253</v>
      </c>
      <c r="K47" s="283" t="s">
        <v>72</v>
      </c>
      <c r="L47" s="283"/>
    </row>
    <row r="48" spans="2:26" x14ac:dyDescent="0.3">
      <c r="B48" s="36"/>
      <c r="H48" s="37"/>
      <c r="K48" s="20" t="str">
        <f>K13</f>
        <v>BAM</v>
      </c>
      <c r="L48" s="20" t="str">
        <f>L13</f>
        <v>BAM</v>
      </c>
    </row>
    <row r="49" spans="2:16" ht="27.6" x14ac:dyDescent="0.3">
      <c r="B49" s="38" t="s">
        <v>5</v>
      </c>
      <c r="C49" s="38" t="s">
        <v>4</v>
      </c>
      <c r="D49" s="38" t="s">
        <v>25</v>
      </c>
      <c r="E49" s="38" t="s">
        <v>3</v>
      </c>
      <c r="F49" s="16"/>
      <c r="G49" s="16"/>
      <c r="H49" s="39"/>
      <c r="J49" s="38" t="s">
        <v>5</v>
      </c>
      <c r="K49" s="38" t="s">
        <v>4</v>
      </c>
      <c r="L49" s="38" t="s">
        <v>25</v>
      </c>
      <c r="M49" s="38" t="s">
        <v>3</v>
      </c>
    </row>
    <row r="50" spans="2:16" x14ac:dyDescent="0.3">
      <c r="B50" s="40">
        <f>B15</f>
        <v>46223</v>
      </c>
      <c r="C50" s="41">
        <f>IF((F2-B50-1)&lt;0,0,(F2-B50-1))</f>
        <v>17</v>
      </c>
      <c r="D50" s="41">
        <f>E50-F2+1</f>
        <v>13</v>
      </c>
      <c r="E50" s="40">
        <f>E15</f>
        <v>46253</v>
      </c>
      <c r="F50" s="42"/>
      <c r="G50" s="42"/>
      <c r="H50" s="43"/>
      <c r="J50" s="44">
        <f>B50</f>
        <v>46223</v>
      </c>
      <c r="K50" s="45">
        <f>IF((M46-J50-1)&lt;0,0,(M46-J50-1))</f>
        <v>11</v>
      </c>
      <c r="L50" s="45">
        <f>M50-M46+1</f>
        <v>19</v>
      </c>
      <c r="M50" s="44">
        <f>E50</f>
        <v>46253</v>
      </c>
    </row>
    <row r="52" spans="2:16" x14ac:dyDescent="0.3">
      <c r="B52" s="271" t="s">
        <v>172</v>
      </c>
      <c r="C52" s="272"/>
      <c r="D52" s="272"/>
      <c r="E52" s="272"/>
      <c r="F52" s="272"/>
      <c r="G52" s="272"/>
      <c r="H52" s="273"/>
      <c r="I52" s="16"/>
      <c r="J52" s="140"/>
      <c r="K52" s="16"/>
      <c r="L52" s="16"/>
      <c r="M52" s="16"/>
      <c r="N52" s="16"/>
      <c r="O52" s="16"/>
      <c r="P52" s="16"/>
    </row>
    <row r="53" spans="2:16" x14ac:dyDescent="0.3">
      <c r="B53" s="36"/>
      <c r="D53" s="46" t="s">
        <v>8</v>
      </c>
      <c r="E53" s="46" t="s">
        <v>0</v>
      </c>
      <c r="F53" s="46" t="s">
        <v>1</v>
      </c>
      <c r="G53" s="46" t="s">
        <v>42</v>
      </c>
      <c r="H53" s="47" t="s">
        <v>9</v>
      </c>
      <c r="I53" s="16"/>
      <c r="J53" s="143" t="s">
        <v>152</v>
      </c>
      <c r="K53" s="149"/>
      <c r="L53" s="239"/>
      <c r="M53" s="16"/>
      <c r="N53" s="16"/>
      <c r="O53" s="16"/>
      <c r="P53" s="16"/>
    </row>
    <row r="54" spans="2:16" x14ac:dyDescent="0.3">
      <c r="B54" s="48" t="s">
        <v>73</v>
      </c>
      <c r="C54" s="49"/>
      <c r="D54" s="50"/>
      <c r="E54" s="50"/>
      <c r="F54" s="50"/>
      <c r="G54" s="50"/>
      <c r="H54" s="51">
        <f>SUM(H56:H64)+SUM(H70:H72)</f>
        <v>275.45329993104679</v>
      </c>
      <c r="I54" s="16"/>
      <c r="J54" s="16"/>
      <c r="K54" s="16"/>
      <c r="L54" s="16"/>
      <c r="M54" s="16"/>
      <c r="N54" s="16"/>
      <c r="O54" s="16"/>
      <c r="P54" s="16"/>
    </row>
    <row r="55" spans="2:16" x14ac:dyDescent="0.3">
      <c r="B55" s="36"/>
      <c r="D55" s="46"/>
      <c r="E55" s="46"/>
      <c r="F55" s="46"/>
      <c r="G55" s="46"/>
      <c r="H55" s="52"/>
      <c r="I55" s="16"/>
      <c r="J55" s="16"/>
      <c r="K55" s="16"/>
      <c r="L55" s="16"/>
      <c r="M55" s="16"/>
      <c r="N55" s="16"/>
      <c r="O55" s="16"/>
      <c r="P55" s="16"/>
    </row>
    <row r="56" spans="2:16" x14ac:dyDescent="0.3">
      <c r="B56" s="36" t="s">
        <v>6</v>
      </c>
      <c r="D56" s="53">
        <f>D19</f>
        <v>33</v>
      </c>
      <c r="E56" s="54">
        <f t="shared" ref="E56:F58" si="11">IF(AND($B$50&lt;$F$2,$E$50&lt;$F$2),C6,IF($B$50&lt;$F$2,I6,F6))</f>
        <v>1.0903406666666666</v>
      </c>
      <c r="F56" s="55">
        <f t="shared" si="11"/>
        <v>0.498533</v>
      </c>
      <c r="G56" s="54">
        <v>1.325</v>
      </c>
      <c r="H56" s="56">
        <f>ROUND((D56*E56),2)+ROUND((D56*F56),2)</f>
        <v>52.429999999999993</v>
      </c>
      <c r="I56" s="16"/>
      <c r="J56"/>
      <c r="K56"/>
      <c r="L56"/>
      <c r="M56" s="16"/>
      <c r="N56" s="16"/>
      <c r="O56" s="16"/>
      <c r="P56" s="16"/>
    </row>
    <row r="57" spans="2:16" x14ac:dyDescent="0.3">
      <c r="B57" s="36" t="s">
        <v>7</v>
      </c>
      <c r="D57" s="53">
        <f>D21</f>
        <v>199</v>
      </c>
      <c r="E57" s="54">
        <f t="shared" si="11"/>
        <v>0.40424899999999997</v>
      </c>
      <c r="F57" s="55">
        <f t="shared" si="11"/>
        <v>0.31241133333333332</v>
      </c>
      <c r="G57" s="54">
        <v>0.53280000000000005</v>
      </c>
      <c r="H57" s="56">
        <f t="shared" ref="H57:H58" si="12">ROUND((D57*E57),2)+ROUND((D57*F57),2)</f>
        <v>142.62</v>
      </c>
      <c r="I57" s="16"/>
      <c r="J57"/>
      <c r="K57"/>
      <c r="L57"/>
      <c r="M57" s="16"/>
      <c r="N57" s="16"/>
      <c r="O57" s="16"/>
      <c r="P57" s="16"/>
    </row>
    <row r="58" spans="2:16" x14ac:dyDescent="0.3">
      <c r="B58" s="36" t="s">
        <v>141</v>
      </c>
      <c r="D58" s="53">
        <f>D20</f>
        <v>14</v>
      </c>
      <c r="E58" s="54">
        <f t="shared" si="11"/>
        <v>0.74729699999999988</v>
      </c>
      <c r="F58" s="55">
        <f t="shared" si="11"/>
        <v>0.31241133333333332</v>
      </c>
      <c r="G58" s="54">
        <v>0.84406000000000003</v>
      </c>
      <c r="H58" s="56">
        <f t="shared" si="12"/>
        <v>14.830000000000002</v>
      </c>
      <c r="I58" s="16"/>
      <c r="J58" s="16"/>
      <c r="K58" s="16"/>
      <c r="L58" s="57"/>
      <c r="M58" s="16"/>
      <c r="N58" s="16"/>
      <c r="O58" s="16"/>
      <c r="P58" s="16"/>
    </row>
    <row r="59" spans="2:16" x14ac:dyDescent="0.3">
      <c r="B59" s="36"/>
      <c r="D59" s="58"/>
      <c r="E59" s="59"/>
      <c r="F59" s="60"/>
      <c r="G59" s="60"/>
      <c r="H59" s="56"/>
      <c r="I59" s="16"/>
      <c r="J59" s="16"/>
      <c r="K59" s="16"/>
      <c r="L59" s="16"/>
      <c r="M59" s="16"/>
      <c r="N59" s="16"/>
      <c r="O59" s="16"/>
      <c r="P59" s="16"/>
    </row>
    <row r="60" spans="2:16" x14ac:dyDescent="0.3">
      <c r="B60" s="36"/>
      <c r="D60" s="61"/>
      <c r="H60" s="62"/>
      <c r="I60" s="16"/>
      <c r="J60" s="16"/>
      <c r="K60" s="16"/>
      <c r="L60" s="16"/>
      <c r="M60" s="16"/>
      <c r="N60" s="16"/>
      <c r="O60" s="16"/>
      <c r="P60" s="16"/>
    </row>
    <row r="61" spans="2:16" x14ac:dyDescent="0.3">
      <c r="B61" s="36" t="s">
        <v>38</v>
      </c>
      <c r="D61" s="63">
        <f>IF($K$48=M4,((D56+D57+D58)*(K50)/(K50+L50)),0)+IF($L$48=M4,((D56+D57+D58)*(L50)/(K50+L50)),0)</f>
        <v>246</v>
      </c>
      <c r="F61" s="64">
        <f>N4</f>
        <v>1.8849999999999999E-2</v>
      </c>
      <c r="G61" s="64"/>
      <c r="H61" s="56">
        <f>ROUND(D61*(E61+F61),2)</f>
        <v>4.6399999999999997</v>
      </c>
      <c r="I61" s="16"/>
      <c r="J61" s="16"/>
      <c r="K61" s="16"/>
      <c r="L61" s="16"/>
      <c r="M61" s="16"/>
      <c r="N61" s="16"/>
      <c r="O61" s="16"/>
      <c r="P61" s="16"/>
    </row>
    <row r="62" spans="2:16" x14ac:dyDescent="0.3">
      <c r="B62" s="36" t="s">
        <v>39</v>
      </c>
      <c r="D62" s="63">
        <f>IF($K$48=M5,((D56+D57+D58)*(K50)/(K50+L50)),0)+IF($L$48=M5,((D56+D57+D58)*(L50)/(K50+L50)),0)</f>
        <v>0</v>
      </c>
      <c r="F62" s="64">
        <f>N5</f>
        <v>4.4630000000000003E-2</v>
      </c>
      <c r="G62" s="64"/>
      <c r="H62" s="56">
        <f>ROUND(D62*(E62+F62),2)</f>
        <v>0</v>
      </c>
      <c r="I62" s="16"/>
      <c r="J62" s="16"/>
      <c r="K62" s="16"/>
      <c r="L62" s="16"/>
      <c r="M62" s="16"/>
      <c r="N62" s="16"/>
      <c r="O62" s="16"/>
      <c r="P62" s="16"/>
    </row>
    <row r="63" spans="2:16" x14ac:dyDescent="0.3">
      <c r="B63" s="36" t="s">
        <v>40</v>
      </c>
      <c r="D63" s="63">
        <f>IF($K$48=M6,((D56+D57+D58)*(K50)/(K50+L50)),0)+IF($L$48=M6,((D56+D57+D58)*(L50)/(K50+L50)),0)</f>
        <v>0</v>
      </c>
      <c r="F63" s="64">
        <f>N6</f>
        <v>7.8770000000000007E-2</v>
      </c>
      <c r="G63" s="64"/>
      <c r="H63" s="56">
        <f>ROUND(D63*(E63+F63),2)</f>
        <v>0</v>
      </c>
      <c r="I63" s="16"/>
      <c r="J63" s="16"/>
      <c r="K63" s="16"/>
      <c r="L63" s="16"/>
      <c r="M63" s="16"/>
      <c r="N63" s="16"/>
      <c r="O63" s="16"/>
      <c r="P63" s="16"/>
    </row>
    <row r="64" spans="2:16" x14ac:dyDescent="0.3">
      <c r="B64" s="36" t="s">
        <v>150</v>
      </c>
      <c r="D64" s="63">
        <f>IF($K$48=M7,((D56+D57+D58)*(K50)/(K50+L50)),0)+IF($L$48=M7,((D56+D57+D58)*(L50)/(K50+L50)),0)</f>
        <v>0</v>
      </c>
      <c r="F64" s="64">
        <f>N7</f>
        <v>0.14199999999999999</v>
      </c>
      <c r="G64" s="64"/>
      <c r="H64" s="56">
        <f>ROUND(D64*(E64+F64),2)</f>
        <v>0</v>
      </c>
      <c r="I64" s="16"/>
      <c r="J64" s="16"/>
      <c r="K64" s="16"/>
      <c r="L64" s="16"/>
      <c r="M64" s="16"/>
      <c r="N64" s="16"/>
      <c r="O64" s="16"/>
      <c r="P64" s="16"/>
    </row>
    <row r="65" spans="2:16" x14ac:dyDescent="0.3">
      <c r="B65" s="36"/>
      <c r="D65" s="61"/>
      <c r="H65" s="56"/>
      <c r="I65" s="16"/>
      <c r="J65" s="16"/>
      <c r="K65" s="16"/>
      <c r="L65" s="16"/>
      <c r="M65" s="16"/>
      <c r="N65" s="16"/>
      <c r="O65" s="16"/>
      <c r="P65" s="16"/>
    </row>
    <row r="66" spans="2:16" x14ac:dyDescent="0.3">
      <c r="B66" s="36"/>
      <c r="D66" s="63"/>
      <c r="F66" s="64"/>
      <c r="G66" s="64"/>
      <c r="H66" s="56"/>
      <c r="I66" s="16"/>
      <c r="J66" s="16"/>
      <c r="K66" s="16"/>
      <c r="L66" s="16"/>
      <c r="M66" s="16"/>
      <c r="N66" s="16"/>
      <c r="O66" s="16"/>
      <c r="P66" s="16"/>
    </row>
    <row r="67" spans="2:16" x14ac:dyDescent="0.3">
      <c r="B67" s="67"/>
      <c r="C67" s="68"/>
      <c r="D67" s="69"/>
      <c r="E67" s="70"/>
      <c r="F67" s="68"/>
      <c r="G67" s="68"/>
      <c r="H67" s="66"/>
      <c r="I67" s="16"/>
      <c r="J67" s="16"/>
      <c r="K67" s="16"/>
      <c r="L67" s="16"/>
      <c r="M67" s="16"/>
      <c r="N67" s="16"/>
      <c r="O67" s="16"/>
      <c r="P67" s="16"/>
    </row>
    <row r="68" spans="2:16" x14ac:dyDescent="0.3">
      <c r="B68" s="30"/>
      <c r="C68" s="31"/>
      <c r="D68" s="31"/>
      <c r="E68" s="31"/>
      <c r="F68" s="31"/>
      <c r="G68" s="31"/>
      <c r="H68" s="72"/>
      <c r="I68" s="16"/>
      <c r="L68" s="16"/>
      <c r="M68" s="16"/>
      <c r="N68" s="16"/>
      <c r="O68" s="16"/>
      <c r="P68" s="16"/>
    </row>
    <row r="69" spans="2:16" x14ac:dyDescent="0.3">
      <c r="B69" s="36"/>
      <c r="D69" s="73" t="s">
        <v>17</v>
      </c>
      <c r="E69" s="74"/>
      <c r="F69" s="74"/>
      <c r="G69" s="74"/>
      <c r="H69" s="75"/>
      <c r="I69" s="76"/>
      <c r="K69" s="77"/>
      <c r="L69" s="16"/>
      <c r="M69" s="16"/>
      <c r="N69" s="16"/>
      <c r="O69" s="16"/>
      <c r="P69" s="16"/>
    </row>
    <row r="70" spans="2:16" x14ac:dyDescent="0.3">
      <c r="B70" s="36" t="s">
        <v>18</v>
      </c>
      <c r="D70" s="77">
        <f>(SUM(H56:H67)/(1-E70-E71))</f>
        <v>228.62623894276885</v>
      </c>
      <c r="E70" s="78">
        <f>N19</f>
        <v>1.0999999999999999E-2</v>
      </c>
      <c r="H70" s="56">
        <f>D70*E70</f>
        <v>2.514888628370457</v>
      </c>
      <c r="I70" s="77"/>
      <c r="L70" s="16"/>
      <c r="M70" s="16"/>
      <c r="N70" s="16"/>
      <c r="O70" s="16"/>
      <c r="P70" s="16"/>
    </row>
    <row r="71" spans="2:16" x14ac:dyDescent="0.3">
      <c r="B71" s="36" t="s">
        <v>19</v>
      </c>
      <c r="D71" s="77">
        <f>D70</f>
        <v>228.62623894276885</v>
      </c>
      <c r="E71" s="78">
        <f>N20</f>
        <v>5.0700000000000002E-2</v>
      </c>
      <c r="H71" s="56">
        <f>D71*E71</f>
        <v>11.591350314398381</v>
      </c>
      <c r="I71" s="77"/>
      <c r="L71" s="16"/>
      <c r="M71" s="16"/>
      <c r="N71" s="16"/>
      <c r="O71" s="16"/>
      <c r="P71" s="16"/>
    </row>
    <row r="72" spans="2:16" x14ac:dyDescent="0.3">
      <c r="B72" s="36" t="s">
        <v>20</v>
      </c>
      <c r="D72" s="145">
        <f>D70/(1-E72)</f>
        <v>275.45329993104684</v>
      </c>
      <c r="E72" s="138">
        <f>I19</f>
        <v>0.17</v>
      </c>
      <c r="H72" s="56">
        <f>D72*E72</f>
        <v>46.827060988277964</v>
      </c>
      <c r="I72" s="77"/>
      <c r="L72" s="16"/>
      <c r="M72" s="16"/>
      <c r="N72" s="16"/>
      <c r="O72" s="16"/>
      <c r="P72" s="16"/>
    </row>
    <row r="73" spans="2:16" x14ac:dyDescent="0.3">
      <c r="B73" s="67"/>
      <c r="C73" s="68"/>
      <c r="D73" s="68"/>
      <c r="E73" s="68"/>
      <c r="F73" s="68"/>
      <c r="G73" s="68"/>
      <c r="H73" s="79"/>
      <c r="L73" s="16"/>
      <c r="M73" s="16"/>
      <c r="N73" s="16"/>
      <c r="O73" s="16"/>
      <c r="P73" s="16"/>
    </row>
    <row r="74" spans="2:16" x14ac:dyDescent="0.3">
      <c r="B74" s="185" t="s">
        <v>183</v>
      </c>
      <c r="C74" s="186"/>
      <c r="D74" s="187">
        <f>SUM(D56:D58)</f>
        <v>246</v>
      </c>
      <c r="E74" s="188">
        <f>IF(AND($B$50&lt;$F$2,$E$50&lt;$F$2),C9,IF($B$50&lt;$F$2,I9,F9))</f>
        <v>1.8620542215071594E-4</v>
      </c>
      <c r="F74" s="188">
        <f>IF(AND($B$50&lt;$F$2,$E$50&lt;$F$2),D9,IF($B$50&lt;$F$2,J9,G9))</f>
        <v>-2.7255669779292784E-3</v>
      </c>
      <c r="G74" s="186"/>
      <c r="H74" s="185">
        <f>D74*(E74+F74)</f>
        <v>-0.62468294272152636</v>
      </c>
      <c r="L74" s="16"/>
      <c r="M74" s="16"/>
      <c r="N74" s="16"/>
      <c r="O74" s="16"/>
      <c r="P74" s="16"/>
    </row>
    <row r="75" spans="2:16" x14ac:dyDescent="0.3">
      <c r="L75" s="16"/>
      <c r="M75" s="16"/>
      <c r="N75" s="16"/>
      <c r="O75" s="16"/>
      <c r="P75" s="16"/>
    </row>
    <row r="76" spans="2:16" x14ac:dyDescent="0.3">
      <c r="B76" s="80" t="s">
        <v>43</v>
      </c>
      <c r="D76" s="74"/>
      <c r="E76" s="74" t="s">
        <v>14</v>
      </c>
      <c r="F76" s="74"/>
      <c r="G76" s="74"/>
      <c r="H76" s="76"/>
    </row>
    <row r="77" spans="2:16" x14ac:dyDescent="0.3">
      <c r="B77" s="81"/>
      <c r="C77" s="82" t="s">
        <v>9</v>
      </c>
    </row>
    <row r="78" spans="2:16" x14ac:dyDescent="0.3">
      <c r="B78" s="81" t="s">
        <v>44</v>
      </c>
      <c r="C78" s="83">
        <f>(SUM(H56:H67)*IF($B$50&lt;$F$2,D116,D88))</f>
        <v>95.474146035731664</v>
      </c>
    </row>
    <row r="79" spans="2:16" x14ac:dyDescent="0.3">
      <c r="B79" s="81" t="s">
        <v>45</v>
      </c>
      <c r="C79" s="83">
        <f>(SUM(H56:H67)*IF($B$50&lt;$F$2,F116,F88))</f>
        <v>56.301518130220472</v>
      </c>
    </row>
    <row r="80" spans="2:16" x14ac:dyDescent="0.3">
      <c r="B80" s="81" t="s">
        <v>46</v>
      </c>
      <c r="C80" s="83">
        <f>(SUM(H56:H67)*IF($B$50&lt;$F$2,E116,E88))</f>
        <v>18.143610350398244</v>
      </c>
    </row>
    <row r="81" spans="2:15" x14ac:dyDescent="0.3">
      <c r="B81" s="81" t="s">
        <v>47</v>
      </c>
      <c r="C81" s="83">
        <f>(SUM(H56:H67)*IF($B$50&lt;$F$2,G116,G88))</f>
        <v>44.601905577076579</v>
      </c>
    </row>
    <row r="82" spans="2:15" x14ac:dyDescent="0.3">
      <c r="B82" s="81" t="s">
        <v>48</v>
      </c>
      <c r="C82" s="84">
        <f>H70+H71+H72</f>
        <v>60.933299931046804</v>
      </c>
    </row>
    <row r="83" spans="2:15" x14ac:dyDescent="0.3">
      <c r="B83" s="85" t="s">
        <v>49</v>
      </c>
      <c r="C83" s="86">
        <f>SUM(C78:C82)</f>
        <v>275.45448002447375</v>
      </c>
    </row>
    <row r="85" spans="2:15" x14ac:dyDescent="0.3">
      <c r="B85" s="87">
        <f>'B1 (Res) Branca OK'!B76</f>
        <v>2024</v>
      </c>
      <c r="C85" s="87"/>
      <c r="D85" s="87" t="s">
        <v>44</v>
      </c>
      <c r="E85" s="87" t="s">
        <v>46</v>
      </c>
      <c r="F85" s="87" t="s">
        <v>45</v>
      </c>
      <c r="G85" s="87" t="s">
        <v>50</v>
      </c>
    </row>
    <row r="86" spans="2:15" x14ac:dyDescent="0.3">
      <c r="B86" s="87" t="s">
        <v>51</v>
      </c>
      <c r="C86" s="87"/>
      <c r="D86" s="87" t="s">
        <v>52</v>
      </c>
      <c r="E86" s="87" t="s">
        <v>52</v>
      </c>
      <c r="F86" s="87" t="s">
        <v>52</v>
      </c>
      <c r="G86" s="87" t="s">
        <v>52</v>
      </c>
    </row>
    <row r="87" spans="2:15" x14ac:dyDescent="0.3">
      <c r="B87" s="87"/>
      <c r="C87" s="87"/>
      <c r="D87" s="87"/>
      <c r="E87" s="87"/>
      <c r="F87" s="87"/>
      <c r="G87" s="87"/>
    </row>
    <row r="88" spans="2:15" x14ac:dyDescent="0.3">
      <c r="B88" s="87" t="s">
        <v>53</v>
      </c>
      <c r="C88" s="87"/>
      <c r="D88" s="88">
        <f>'B1 (Res) Branca OK'!D79</f>
        <v>0.45246416638672077</v>
      </c>
      <c r="E88" s="88">
        <f>'B1 (Res) Branca OK'!E79</f>
        <v>7.39594111182032E-2</v>
      </c>
      <c r="F88" s="88">
        <f>'B1 (Res) Branca OK'!F79</f>
        <v>0.27500913257019954</v>
      </c>
      <c r="G88" s="88">
        <f>'B1 (Res) Branca OK'!G79</f>
        <v>0.19856728992487654</v>
      </c>
    </row>
    <row r="89" spans="2:15" x14ac:dyDescent="0.3">
      <c r="B89" s="87" t="s">
        <v>54</v>
      </c>
      <c r="C89" s="87"/>
      <c r="D89" s="88">
        <f>'B1 (Res) Branca OK'!D80</f>
        <v>0.53149575868436638</v>
      </c>
      <c r="E89" s="88">
        <f>'B1 (Res) Branca OK'!E80</f>
        <v>8.6877848555460851E-2</v>
      </c>
      <c r="F89" s="88">
        <f>'B1 (Res) Branca OK'!F80</f>
        <v>0.32304478104372042</v>
      </c>
      <c r="G89" s="88">
        <f>'B1 (Res) Branca OK'!G80</f>
        <v>5.8581611716452382E-2</v>
      </c>
    </row>
    <row r="90" spans="2:15" x14ac:dyDescent="0.3">
      <c r="B90" s="87" t="s">
        <v>55</v>
      </c>
      <c r="C90" s="87"/>
      <c r="D90" s="88">
        <f>'B1 (Res) Branca OK'!D81</f>
        <v>0.45246416638672077</v>
      </c>
      <c r="E90" s="88">
        <f>'B1 (Res) Branca OK'!E81</f>
        <v>7.39594111182032E-2</v>
      </c>
      <c r="F90" s="88">
        <f>'B1 (Res) Branca OK'!F81</f>
        <v>0.27500913257019954</v>
      </c>
      <c r="G90" s="88">
        <f>'B1 (Res) Branca OK'!G81</f>
        <v>0.19856728992487654</v>
      </c>
    </row>
    <row r="91" spans="2:15" x14ac:dyDescent="0.3">
      <c r="B91" s="87" t="s">
        <v>56</v>
      </c>
      <c r="C91" s="87"/>
      <c r="D91" s="88">
        <f>'B1 (Res) Branca OK'!D82</f>
        <v>0.45246416638672077</v>
      </c>
      <c r="E91" s="88">
        <f>'B1 (Res) Branca OK'!E82</f>
        <v>7.39594111182032E-2</v>
      </c>
      <c r="F91" s="88">
        <f>'B1 (Res) Branca OK'!F82</f>
        <v>0.27500913257019954</v>
      </c>
      <c r="G91" s="88">
        <f>'B1 (Res) Branca OK'!G82</f>
        <v>0.19856728992487654</v>
      </c>
      <c r="K91" s="15"/>
    </row>
    <row r="92" spans="2:15" x14ac:dyDescent="0.3">
      <c r="B92" s="87" t="s">
        <v>57</v>
      </c>
      <c r="C92" s="87"/>
      <c r="D92" s="88">
        <f>'B1 (Res) Branca OK'!D83</f>
        <v>0.45246416638672077</v>
      </c>
      <c r="E92" s="88">
        <f>'B1 (Res) Branca OK'!E83</f>
        <v>7.39594111182032E-2</v>
      </c>
      <c r="F92" s="88">
        <f>'B1 (Res) Branca OK'!F83</f>
        <v>0.27500913257019954</v>
      </c>
      <c r="G92" s="88">
        <f>'B1 (Res) Branca OK'!G83</f>
        <v>0.19856728992487654</v>
      </c>
    </row>
    <row r="93" spans="2:15" x14ac:dyDescent="0.3">
      <c r="B93" s="87" t="s">
        <v>58</v>
      </c>
      <c r="C93" s="87"/>
      <c r="D93" s="88">
        <f>'B1 (Res) Branca OK'!D84</f>
        <v>0.45246416638672077</v>
      </c>
      <c r="E93" s="88">
        <f>'B1 (Res) Branca OK'!E84</f>
        <v>7.39594111182032E-2</v>
      </c>
      <c r="F93" s="88">
        <f>'B1 (Res) Branca OK'!F84</f>
        <v>0.27500913257019954</v>
      </c>
      <c r="G93" s="88">
        <f>'B1 (Res) Branca OK'!G84</f>
        <v>0.19856728992487654</v>
      </c>
    </row>
    <row r="94" spans="2:15" x14ac:dyDescent="0.3">
      <c r="B94" s="87" t="s">
        <v>59</v>
      </c>
      <c r="C94" s="87"/>
      <c r="D94" s="88">
        <f>'B1 (Res) Branca OK'!D85</f>
        <v>0.45246416638672071</v>
      </c>
      <c r="E94" s="88">
        <f>'B1 (Res) Branca OK'!E85</f>
        <v>7.3959411118203186E-2</v>
      </c>
      <c r="F94" s="88">
        <f>'B1 (Res) Branca OK'!F85</f>
        <v>0.27500913257019949</v>
      </c>
      <c r="G94" s="88">
        <f>'B1 (Res) Branca OK'!G85</f>
        <v>0.19856728992487654</v>
      </c>
    </row>
    <row r="95" spans="2:15" x14ac:dyDescent="0.3">
      <c r="B95" s="87" t="s">
        <v>60</v>
      </c>
      <c r="C95" s="87"/>
      <c r="D95" s="88">
        <f>'B1 (Res) Branca OK'!D86</f>
        <v>0.45246416638672071</v>
      </c>
      <c r="E95" s="88">
        <f>'B1 (Res) Branca OK'!E86</f>
        <v>7.3959411118203186E-2</v>
      </c>
      <c r="F95" s="88">
        <f>'B1 (Res) Branca OK'!F86</f>
        <v>0.27500913257019949</v>
      </c>
      <c r="G95" s="88">
        <f>'B1 (Res) Branca OK'!G86</f>
        <v>0.19856728992487654</v>
      </c>
    </row>
    <row r="96" spans="2:15" x14ac:dyDescent="0.3">
      <c r="B96" s="87" t="s">
        <v>61</v>
      </c>
      <c r="C96" s="87"/>
      <c r="D96" s="88">
        <f>'B1 (Res) Branca OK'!D87</f>
        <v>0.45246416638672071</v>
      </c>
      <c r="E96" s="88">
        <f>'B1 (Res) Branca OK'!E87</f>
        <v>7.39594111182032E-2</v>
      </c>
      <c r="F96" s="88">
        <f>'B1 (Res) Branca OK'!F87</f>
        <v>0.27500913257019954</v>
      </c>
      <c r="G96" s="88">
        <f>'B1 (Res) Branca OK'!G87</f>
        <v>0.19856728992487657</v>
      </c>
      <c r="M96"/>
      <c r="N96"/>
      <c r="O96"/>
    </row>
    <row r="97" spans="2:7" x14ac:dyDescent="0.3">
      <c r="B97" s="80"/>
      <c r="C97" s="80"/>
      <c r="D97" s="80"/>
      <c r="E97" s="80"/>
      <c r="F97" s="80"/>
      <c r="G97" s="80"/>
    </row>
    <row r="98" spans="2:7" x14ac:dyDescent="0.3">
      <c r="B98" s="80"/>
      <c r="C98" s="80"/>
      <c r="D98" s="80"/>
      <c r="E98" s="80"/>
      <c r="F98" s="80"/>
      <c r="G98" s="80"/>
    </row>
    <row r="99" spans="2:7" x14ac:dyDescent="0.3">
      <c r="B99" s="80">
        <f>'B1 (Res) Branca OK'!B90</f>
        <v>2023</v>
      </c>
      <c r="C99" s="87"/>
      <c r="D99" s="87" t="s">
        <v>44</v>
      </c>
      <c r="E99" s="87" t="s">
        <v>46</v>
      </c>
      <c r="F99" s="87" t="s">
        <v>45</v>
      </c>
      <c r="G99" s="87" t="s">
        <v>50</v>
      </c>
    </row>
    <row r="100" spans="2:7" x14ac:dyDescent="0.3">
      <c r="B100" s="87" t="s">
        <v>51</v>
      </c>
      <c r="C100" s="87"/>
      <c r="D100" s="87" t="s">
        <v>52</v>
      </c>
      <c r="E100" s="87" t="s">
        <v>52</v>
      </c>
      <c r="F100" s="87" t="s">
        <v>52</v>
      </c>
      <c r="G100" s="87" t="s">
        <v>52</v>
      </c>
    </row>
    <row r="101" spans="2:7" x14ac:dyDescent="0.3">
      <c r="B101" s="87"/>
      <c r="C101" s="87"/>
      <c r="D101" s="87"/>
      <c r="E101" s="87"/>
      <c r="F101" s="87"/>
      <c r="G101" s="87"/>
    </row>
    <row r="102" spans="2:7" x14ac:dyDescent="0.3">
      <c r="B102" s="87" t="s">
        <v>53</v>
      </c>
      <c r="C102" s="87"/>
      <c r="D102" s="88">
        <f>'B1 (Res) Branca OK'!D93</f>
        <v>0.43939696077133034</v>
      </c>
      <c r="E102" s="88">
        <f>'B1 (Res) Branca OK'!E93</f>
        <v>9.2697585625348772E-2</v>
      </c>
      <c r="F102" s="88">
        <f>'B1 (Res) Branca OK'!F93</f>
        <v>0.25285207888477268</v>
      </c>
      <c r="G102" s="88">
        <f>'B1 (Res) Branca OK'!G93</f>
        <v>0.21506308252114117</v>
      </c>
    </row>
    <row r="103" spans="2:7" x14ac:dyDescent="0.3">
      <c r="B103" s="87" t="s">
        <v>54</v>
      </c>
      <c r="C103" s="87"/>
      <c r="D103" s="88">
        <f>'B1 (Res) Branca OK'!D94</f>
        <v>0.52691619996872485</v>
      </c>
      <c r="E103" s="88">
        <f>'B1 (Res) Branca OK'!E94</f>
        <v>0.11116112291319068</v>
      </c>
      <c r="F103" s="88">
        <f>'B1 (Res) Branca OK'!F94</f>
        <v>0.30321524374287334</v>
      </c>
      <c r="G103" s="88">
        <f>'B1 (Res) Branca OK'!G94</f>
        <v>5.8707433375211129E-2</v>
      </c>
    </row>
    <row r="104" spans="2:7" x14ac:dyDescent="0.3">
      <c r="B104" s="87" t="s">
        <v>55</v>
      </c>
      <c r="C104" s="87"/>
      <c r="D104" s="88">
        <f>'B1 (Res) Branca OK'!D95</f>
        <v>0.43939300245552615</v>
      </c>
      <c r="E104" s="88">
        <f>'B1 (Res) Branca OK'!E95</f>
        <v>9.2696750557401245E-2</v>
      </c>
      <c r="F104" s="88">
        <f>'B1 (Res) Branca OK'!F95</f>
        <v>0.25284980106205335</v>
      </c>
      <c r="G104" s="88">
        <f>'B1 (Res) Branca OK'!G95</f>
        <v>0.21506044592501908</v>
      </c>
    </row>
    <row r="105" spans="2:7" x14ac:dyDescent="0.3">
      <c r="B105" s="87" t="s">
        <v>56</v>
      </c>
      <c r="C105" s="87"/>
      <c r="D105" s="88">
        <f>'B1 (Res) Branca OK'!D96</f>
        <v>0.43939300245552615</v>
      </c>
      <c r="E105" s="88">
        <f>'B1 (Res) Branca OK'!E96</f>
        <v>9.2696750557401245E-2</v>
      </c>
      <c r="F105" s="88">
        <f>'B1 (Res) Branca OK'!F96</f>
        <v>0.25284980106205335</v>
      </c>
      <c r="G105" s="88">
        <f>'B1 (Res) Branca OK'!G96</f>
        <v>0.21506044592501908</v>
      </c>
    </row>
    <row r="106" spans="2:7" x14ac:dyDescent="0.3">
      <c r="B106" s="87" t="s">
        <v>57</v>
      </c>
      <c r="C106" s="87"/>
      <c r="D106" s="88">
        <f>'B1 (Res) Branca OK'!D97</f>
        <v>0.43939300245552615</v>
      </c>
      <c r="E106" s="88">
        <f>'B1 (Res) Branca OK'!E97</f>
        <v>9.2696750557401328E-2</v>
      </c>
      <c r="F106" s="88">
        <f>'B1 (Res) Branca OK'!F97</f>
        <v>0.25284980106205335</v>
      </c>
      <c r="G106" s="88">
        <f>'B1 (Res) Branca OK'!G97</f>
        <v>0.21506044592501908</v>
      </c>
    </row>
    <row r="107" spans="2:7" x14ac:dyDescent="0.3">
      <c r="B107" s="87" t="s">
        <v>58</v>
      </c>
      <c r="C107" s="87"/>
      <c r="D107" s="88">
        <f>'B1 (Res) Branca OK'!D98</f>
        <v>0.43939300245552615</v>
      </c>
      <c r="E107" s="88">
        <f>'B1 (Res) Branca OK'!E98</f>
        <v>9.2696750557401328E-2</v>
      </c>
      <c r="F107" s="88">
        <f>'B1 (Res) Branca OK'!F98</f>
        <v>0.25284980106205335</v>
      </c>
      <c r="G107" s="88">
        <f>'B1 (Res) Branca OK'!G98</f>
        <v>0.21506044592501908</v>
      </c>
    </row>
    <row r="108" spans="2:7" x14ac:dyDescent="0.3">
      <c r="B108" s="87" t="s">
        <v>59</v>
      </c>
      <c r="C108" s="87"/>
      <c r="D108" s="88">
        <f>'B1 (Res) Branca OK'!D99</f>
        <v>0</v>
      </c>
      <c r="E108" s="88">
        <f>'B1 (Res) Branca OK'!E99</f>
        <v>0</v>
      </c>
      <c r="F108" s="88">
        <f>'B1 (Res) Branca OK'!F99</f>
        <v>0</v>
      </c>
      <c r="G108" s="88">
        <f>'B1 (Res) Branca OK'!G99</f>
        <v>0</v>
      </c>
    </row>
    <row r="109" spans="2:7" x14ac:dyDescent="0.3">
      <c r="B109" s="87" t="s">
        <v>60</v>
      </c>
      <c r="C109" s="87"/>
      <c r="D109" s="88">
        <f>'B1 (Res) Branca OK'!D100</f>
        <v>0.43938945729126549</v>
      </c>
      <c r="E109" s="88">
        <f>'B1 (Res) Branca OK'!E100</f>
        <v>9.2697336752737058E-2</v>
      </c>
      <c r="F109" s="88">
        <f>'B1 (Res) Branca OK'!F100</f>
        <v>0.25285140003260154</v>
      </c>
      <c r="G109" s="88">
        <f>'B1 (Res) Branca OK'!G100</f>
        <v>0.21506180592339591</v>
      </c>
    </row>
    <row r="110" spans="2:7" x14ac:dyDescent="0.3">
      <c r="B110" s="87" t="s">
        <v>61</v>
      </c>
      <c r="C110" s="87"/>
      <c r="D110" s="88">
        <f>'B1 (Res) Branca OK'!D101</f>
        <v>0.43938945729126527</v>
      </c>
      <c r="E110" s="88">
        <f>'B1 (Res) Branca OK'!E101</f>
        <v>9.2697336752736934E-2</v>
      </c>
      <c r="F110" s="88">
        <f>'B1 (Res) Branca OK'!F101</f>
        <v>0.25285140003260193</v>
      </c>
      <c r="G110" s="88">
        <f>'B1 (Res) Branca OK'!G101</f>
        <v>0.21506180592339585</v>
      </c>
    </row>
    <row r="111" spans="2:7" x14ac:dyDescent="0.3">
      <c r="B111" s="80"/>
      <c r="C111" s="80"/>
      <c r="D111" s="80"/>
      <c r="E111" s="80"/>
      <c r="F111" s="80"/>
      <c r="G111" s="80"/>
    </row>
    <row r="112" spans="2:7" x14ac:dyDescent="0.3">
      <c r="B112" s="89" t="s">
        <v>66</v>
      </c>
      <c r="C112" s="80"/>
      <c r="D112" s="80"/>
      <c r="E112" s="80"/>
      <c r="F112" s="80"/>
      <c r="G112" s="80"/>
    </row>
    <row r="113" spans="2:7" x14ac:dyDescent="0.3">
      <c r="B113" s="87"/>
      <c r="C113" s="87"/>
      <c r="D113" s="87" t="s">
        <v>44</v>
      </c>
      <c r="E113" s="87" t="s">
        <v>46</v>
      </c>
      <c r="F113" s="87" t="s">
        <v>45</v>
      </c>
      <c r="G113" s="87" t="s">
        <v>50</v>
      </c>
    </row>
    <row r="114" spans="2:7" x14ac:dyDescent="0.3">
      <c r="B114" s="87" t="s">
        <v>51</v>
      </c>
      <c r="C114" s="87"/>
      <c r="D114" s="88" t="s">
        <v>52</v>
      </c>
      <c r="E114" s="88" t="s">
        <v>52</v>
      </c>
      <c r="F114" s="88" t="s">
        <v>52</v>
      </c>
      <c r="G114" s="88" t="s">
        <v>52</v>
      </c>
    </row>
    <row r="115" spans="2:7" x14ac:dyDescent="0.3">
      <c r="B115" s="87"/>
      <c r="C115" s="87"/>
      <c r="D115" s="88"/>
      <c r="E115" s="88"/>
      <c r="F115" s="88"/>
      <c r="G115" s="88"/>
    </row>
    <row r="116" spans="2:7" x14ac:dyDescent="0.3">
      <c r="B116" s="87" t="s">
        <v>53</v>
      </c>
      <c r="C116" s="87"/>
      <c r="D116" s="88">
        <f t="shared" ref="D116:G124" si="13">((D102*$C$50)+(D88*$D$50))/($C$50+$D$50)</f>
        <v>0.44505941653799952</v>
      </c>
      <c r="E116" s="88">
        <f t="shared" si="13"/>
        <v>8.4577710005585699E-2</v>
      </c>
      <c r="F116" s="88">
        <f t="shared" si="13"/>
        <v>0.26245346881512432</v>
      </c>
      <c r="G116" s="88">
        <f t="shared" si="13"/>
        <v>0.20791490572942653</v>
      </c>
    </row>
    <row r="117" spans="2:7" x14ac:dyDescent="0.3">
      <c r="B117" s="87" t="s">
        <v>54</v>
      </c>
      <c r="C117" s="87"/>
      <c r="D117" s="88">
        <f t="shared" si="13"/>
        <v>0.52890067541216945</v>
      </c>
      <c r="E117" s="88">
        <f t="shared" si="13"/>
        <v>0.10063837069150774</v>
      </c>
      <c r="F117" s="88">
        <f t="shared" si="13"/>
        <v>0.31180804323990707</v>
      </c>
      <c r="G117" s="88">
        <f t="shared" si="13"/>
        <v>5.8652910656415667E-2</v>
      </c>
    </row>
    <row r="118" spans="2:7" x14ac:dyDescent="0.3">
      <c r="B118" s="87" t="s">
        <v>55</v>
      </c>
      <c r="C118" s="87"/>
      <c r="D118" s="88">
        <f t="shared" si="13"/>
        <v>0.44505717349237717</v>
      </c>
      <c r="E118" s="88">
        <f t="shared" si="13"/>
        <v>8.4577236800415415E-2</v>
      </c>
      <c r="F118" s="88">
        <f t="shared" si="13"/>
        <v>0.26245217804891668</v>
      </c>
      <c r="G118" s="88">
        <f t="shared" si="13"/>
        <v>0.20791341165829064</v>
      </c>
    </row>
    <row r="119" spans="2:7" x14ac:dyDescent="0.3">
      <c r="B119" s="87" t="s">
        <v>56</v>
      </c>
      <c r="C119" s="87"/>
      <c r="D119" s="88">
        <f t="shared" si="13"/>
        <v>0.44505717349237717</v>
      </c>
      <c r="E119" s="88">
        <f t="shared" si="13"/>
        <v>8.4577236800415415E-2</v>
      </c>
      <c r="F119" s="88">
        <f t="shared" si="13"/>
        <v>0.26245217804891668</v>
      </c>
      <c r="G119" s="88">
        <f t="shared" si="13"/>
        <v>0.20791341165829064</v>
      </c>
    </row>
    <row r="120" spans="2:7" x14ac:dyDescent="0.3">
      <c r="B120" s="87" t="s">
        <v>57</v>
      </c>
      <c r="C120" s="87"/>
      <c r="D120" s="88">
        <f t="shared" si="13"/>
        <v>0.44505717349237717</v>
      </c>
      <c r="E120" s="88">
        <f t="shared" si="13"/>
        <v>8.457723680041547E-2</v>
      </c>
      <c r="F120" s="88">
        <f t="shared" si="13"/>
        <v>0.26245217804891668</v>
      </c>
      <c r="G120" s="88">
        <f t="shared" si="13"/>
        <v>0.20791341165829064</v>
      </c>
    </row>
    <row r="121" spans="2:7" x14ac:dyDescent="0.3">
      <c r="B121" s="87" t="s">
        <v>58</v>
      </c>
      <c r="C121" s="87"/>
      <c r="D121" s="88">
        <f t="shared" si="13"/>
        <v>0.44505717349237717</v>
      </c>
      <c r="E121" s="88">
        <f t="shared" si="13"/>
        <v>8.457723680041547E-2</v>
      </c>
      <c r="F121" s="88">
        <f t="shared" si="13"/>
        <v>0.26245217804891668</v>
      </c>
      <c r="G121" s="88">
        <f t="shared" si="13"/>
        <v>0.20791341165829064</v>
      </c>
    </row>
    <row r="122" spans="2:7" x14ac:dyDescent="0.3">
      <c r="B122" s="87" t="s">
        <v>59</v>
      </c>
      <c r="C122" s="87"/>
      <c r="D122" s="88">
        <f t="shared" si="13"/>
        <v>0.19606780543424565</v>
      </c>
      <c r="E122" s="88">
        <f t="shared" si="13"/>
        <v>3.2049078151221384E-2</v>
      </c>
      <c r="F122" s="88">
        <f t="shared" si="13"/>
        <v>0.11917062411375311</v>
      </c>
      <c r="G122" s="88">
        <f t="shared" si="13"/>
        <v>8.6045825634113171E-2</v>
      </c>
    </row>
    <row r="123" spans="2:7" x14ac:dyDescent="0.3">
      <c r="B123" s="87" t="s">
        <v>60</v>
      </c>
      <c r="C123" s="87"/>
      <c r="D123" s="88">
        <f t="shared" si="13"/>
        <v>0.44505516456596272</v>
      </c>
      <c r="E123" s="88">
        <f t="shared" si="13"/>
        <v>8.4577568977772383E-2</v>
      </c>
      <c r="F123" s="88">
        <f t="shared" si="13"/>
        <v>0.26245308413222729</v>
      </c>
      <c r="G123" s="88">
        <f t="shared" si="13"/>
        <v>0.20791418232403752</v>
      </c>
    </row>
    <row r="124" spans="2:7" x14ac:dyDescent="0.3">
      <c r="B124" s="87" t="s">
        <v>61</v>
      </c>
      <c r="C124" s="87"/>
      <c r="D124" s="88">
        <f t="shared" si="13"/>
        <v>0.44505516456596261</v>
      </c>
      <c r="E124" s="88">
        <f t="shared" si="13"/>
        <v>8.4577568977772313E-2</v>
      </c>
      <c r="F124" s="88">
        <f t="shared" si="13"/>
        <v>0.26245308413222757</v>
      </c>
      <c r="G124" s="88">
        <f t="shared" si="13"/>
        <v>0.20791418232403749</v>
      </c>
    </row>
  </sheetData>
  <mergeCells count="12">
    <mergeCell ref="R4:T4"/>
    <mergeCell ref="U4:W4"/>
    <mergeCell ref="X4:Z4"/>
    <mergeCell ref="K12:L12"/>
    <mergeCell ref="K47:L47"/>
    <mergeCell ref="Q4:Q5"/>
    <mergeCell ref="B52:H52"/>
    <mergeCell ref="H2:I2"/>
    <mergeCell ref="B4:B5"/>
    <mergeCell ref="C4:E4"/>
    <mergeCell ref="F4:H4"/>
    <mergeCell ref="I4:K4"/>
  </mergeCells>
  <conditionalFormatting sqref="K13:L13">
    <cfRule type="cellIs" dxfId="65" priority="1" operator="equal">
      <formula>"Escassez Hídrica"</formula>
    </cfRule>
    <cfRule type="cellIs" dxfId="64" priority="2" operator="equal">
      <formula>"VERDE"</formula>
    </cfRule>
    <cfRule type="cellIs" dxfId="63" priority="3" operator="equal">
      <formula>"BVM2"</formula>
    </cfRule>
    <cfRule type="cellIs" dxfId="62" priority="4" operator="equal">
      <formula>"BVM1"</formula>
    </cfRule>
    <cfRule type="cellIs" dxfId="61" priority="5" operator="equal">
      <formula>"BAM"</formula>
    </cfRule>
  </conditionalFormatting>
  <conditionalFormatting sqref="K48:L48">
    <cfRule type="cellIs" dxfId="60" priority="6" operator="equal">
      <formula>"Escassez Hídrica"</formula>
    </cfRule>
    <cfRule type="cellIs" dxfId="59" priority="7" operator="equal">
      <formula>"VERDE"</formula>
    </cfRule>
    <cfRule type="cellIs" dxfId="58" priority="8" operator="equal">
      <formula>"BVM2"</formula>
    </cfRule>
    <cfRule type="cellIs" dxfId="57" priority="9" operator="equal">
      <formula>"BVM1"</formula>
    </cfRule>
    <cfRule type="cellIs" dxfId="56" priority="10" operator="equal">
      <formula>"BAM"</formula>
    </cfRule>
  </conditionalFormatting>
  <conditionalFormatting sqref="M3">
    <cfRule type="cellIs" dxfId="55" priority="16" operator="equal">
      <formula>"VERDE"</formula>
    </cfRule>
    <cfRule type="cellIs" dxfId="54" priority="17" operator="equal">
      <formula>"BVM2"</formula>
    </cfRule>
    <cfRule type="cellIs" dxfId="53" priority="18" operator="equal">
      <formula>"BVM1"</formula>
    </cfRule>
    <cfRule type="cellIs" dxfId="52" priority="19" operator="equal">
      <formula>"BAM"</formula>
    </cfRule>
  </conditionalFormatting>
  <conditionalFormatting sqref="M7">
    <cfRule type="containsText" dxfId="51" priority="11" operator="containsText" text="Escassez Hídrica">
      <formula>NOT(ISERROR(SEARCH("Escassez Hídrica",M7)))</formula>
    </cfRule>
    <cfRule type="cellIs" dxfId="50" priority="12" operator="equal">
      <formula>"VERDE"</formula>
    </cfRule>
    <cfRule type="cellIs" dxfId="49" priority="13" operator="equal">
      <formula>"BVM2"</formula>
    </cfRule>
    <cfRule type="cellIs" dxfId="48" priority="14" operator="equal">
      <formula>"BVM1"</formula>
    </cfRule>
    <cfRule type="cellIs" dxfId="47" priority="15" operator="equal">
      <formula>"BAM"</formula>
    </cfRule>
  </conditionalFormatting>
  <dataValidations disablePrompts="1" count="1">
    <dataValidation type="list" allowBlank="1" showInputMessage="1" showErrorMessage="1" sqref="K48:L48 K13:L13" xr:uid="{7C3673E4-6ABB-4448-A35E-EF4A31C40DD0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C8AB-69F5-4CAB-9482-3F17D4DC27F8}">
  <dimension ref="A1:AB120"/>
  <sheetViews>
    <sheetView showGridLines="0" tabSelected="1" zoomScale="80" zoomScaleNormal="80" workbookViewId="0">
      <selection activeCell="U19" sqref="U19"/>
    </sheetView>
  </sheetViews>
  <sheetFormatPr defaultColWidth="9.109375" defaultRowHeight="14.4" x14ac:dyDescent="0.3"/>
  <cols>
    <col min="1" max="1" width="5.44140625" style="14" customWidth="1"/>
    <col min="2" max="2" width="27" style="14" customWidth="1"/>
    <col min="3" max="3" width="12.6640625" style="14" customWidth="1"/>
    <col min="4" max="4" width="13.88671875" style="14" customWidth="1"/>
    <col min="5" max="10" width="12.6640625" style="14" customWidth="1"/>
    <col min="11" max="12" width="14.33203125" style="14" customWidth="1"/>
    <col min="13" max="16" width="12.6640625" style="14" customWidth="1"/>
    <col min="17" max="17" width="14.33203125" style="14" bestFit="1" customWidth="1"/>
    <col min="18" max="18" width="14.109375" style="14" customWidth="1"/>
    <col min="19" max="19" width="16.6640625" style="14" bestFit="1" customWidth="1"/>
    <col min="20" max="20" width="11.3320312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26" width="11.33203125" style="14" bestFit="1" customWidth="1"/>
    <col min="27" max="16384" width="9.109375" style="14"/>
  </cols>
  <sheetData>
    <row r="1" spans="1:28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8" ht="18" x14ac:dyDescent="0.3">
      <c r="B2" s="17" t="s">
        <v>10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8" x14ac:dyDescent="0.3">
      <c r="M3" s="20" t="s">
        <v>22</v>
      </c>
      <c r="N3" s="165">
        <f>'B1 (Res) Branca OK'!N3</f>
        <v>0</v>
      </c>
    </row>
    <row r="4" spans="1:28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  <c r="X4" s="279" t="s">
        <v>69</v>
      </c>
      <c r="Y4" s="280"/>
      <c r="Z4" s="281"/>
    </row>
    <row r="5" spans="1:28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  <c r="Z5"/>
    </row>
    <row r="6" spans="1:28" x14ac:dyDescent="0.3">
      <c r="B6" s="27" t="s">
        <v>146</v>
      </c>
      <c r="C6" s="28">
        <f>'TABELA DE TARIFAS ANTIGAS'!G86/1000</f>
        <v>1.0610299999999999</v>
      </c>
      <c r="D6" s="28">
        <f>'TABELA DE TARIFAS ANTIGAS'!H86/1000</f>
        <v>0.48448000000000002</v>
      </c>
      <c r="E6" s="28">
        <f t="shared" ref="E6:E8" si="0">C6+D6</f>
        <v>1.5455099999999999</v>
      </c>
      <c r="F6" s="28">
        <f>'TABELA DE TARIFAS NOVAS'!G88/1000</f>
        <v>1.1286700000000001</v>
      </c>
      <c r="G6" s="28">
        <f>'TABELA DE TARIFAS NOVAS'!H88/1000</f>
        <v>0.51690999999999998</v>
      </c>
      <c r="H6" s="28">
        <f t="shared" ref="H6:H9" si="1">F6+G6</f>
        <v>1.64558</v>
      </c>
      <c r="I6" s="28">
        <f t="shared" ref="I6:J9" si="2">((C6*$C$46)+(F6*$D$46))/($D$46+$C$46)</f>
        <v>1.0925953333333334</v>
      </c>
      <c r="J6" s="28">
        <f t="shared" si="2"/>
        <v>0.499614</v>
      </c>
      <c r="K6" s="29">
        <f t="shared" ref="K6:K9" si="3">I6+J6</f>
        <v>1.5922093333333334</v>
      </c>
      <c r="M6" s="7" t="s">
        <v>37</v>
      </c>
      <c r="N6" s="8">
        <f>'B1 (Res) Branca OK'!N6</f>
        <v>7.8770000000000007E-2</v>
      </c>
      <c r="Q6" s="27" t="str">
        <f>B6</f>
        <v>B3 Ponta</v>
      </c>
      <c r="R6" s="28">
        <f>'FIO B'!H31/1000</f>
        <v>0.69302445456809059</v>
      </c>
      <c r="S6"/>
      <c r="T6"/>
      <c r="U6" s="28">
        <f>'FIO B'!K31/1000</f>
        <v>0.71111541346497797</v>
      </c>
      <c r="V6"/>
      <c r="W6"/>
      <c r="X6" s="28">
        <f>((R6*$C$46)+(U6*$D$46))/($D$46+$C$46)</f>
        <v>0.70146690205330464</v>
      </c>
      <c r="Y6"/>
      <c r="Z6"/>
    </row>
    <row r="7" spans="1:28" customFormat="1" x14ac:dyDescent="0.3">
      <c r="B7" s="27" t="s">
        <v>147</v>
      </c>
      <c r="C7" s="28">
        <f>'TABELA DE TARIFAS ANTIGAS'!G88/1000</f>
        <v>0.38965</v>
      </c>
      <c r="D7" s="28">
        <f>'TABELA DE TARIFAS ANTIGAS'!H88/1000</f>
        <v>0.30579000000000001</v>
      </c>
      <c r="E7" s="28">
        <f t="shared" si="0"/>
        <v>0.69544000000000006</v>
      </c>
      <c r="F7" s="28">
        <f>'TABELA DE TARIFAS NOVAS'!G90/1000</f>
        <v>0.42333999999999999</v>
      </c>
      <c r="G7" s="28">
        <f>'TABELA DE TARIFAS NOVAS'!H90/1000</f>
        <v>0.32106999999999997</v>
      </c>
      <c r="H7" s="28">
        <f t="shared" si="1"/>
        <v>0.74441000000000002</v>
      </c>
      <c r="I7" s="28">
        <f t="shared" si="2"/>
        <v>0.40537199999999995</v>
      </c>
      <c r="J7" s="28">
        <f t="shared" si="2"/>
        <v>0.31292066666666668</v>
      </c>
      <c r="K7" s="29">
        <f t="shared" si="3"/>
        <v>0.71829266666666669</v>
      </c>
      <c r="M7" s="20" t="s">
        <v>149</v>
      </c>
      <c r="N7" s="142">
        <f>'B1 (Res) Branca OK'!N7</f>
        <v>0.14199999999999999</v>
      </c>
      <c r="Q7" s="27" t="str">
        <f t="shared" ref="Q7:Q8" si="4">B7</f>
        <v>B3 Fora Ponta</v>
      </c>
      <c r="R7" s="28">
        <f>'FIO B'!H33/1000</f>
        <v>0.13860487080740844</v>
      </c>
      <c r="U7" s="28">
        <f>'FIO B'!K33/1000</f>
        <v>0.14222306206192598</v>
      </c>
      <c r="X7" s="28">
        <f>((R7*$C$46)+(U7*$D$46))/($D$46+$C$46)</f>
        <v>0.14029336005951662</v>
      </c>
      <c r="AA7" s="14"/>
      <c r="AB7" s="14"/>
    </row>
    <row r="8" spans="1:28" customFormat="1" x14ac:dyDescent="0.3">
      <c r="B8" s="27" t="s">
        <v>148</v>
      </c>
      <c r="C8" s="28">
        <f>'TABELA DE TARIFAS ANTIGAS'!G87/1000</f>
        <v>0.72533999999999998</v>
      </c>
      <c r="D8" s="28">
        <f>'TABELA DE TARIFAS ANTIGAS'!H87/1000</f>
        <v>0.30579000000000001</v>
      </c>
      <c r="E8" s="28">
        <f t="shared" si="0"/>
        <v>1.0311300000000001</v>
      </c>
      <c r="F8" s="28">
        <f>'TABELA DE TARIFAS NOVAS'!G89/1000</f>
        <v>0.77600999999999998</v>
      </c>
      <c r="G8" s="28">
        <f>'TABELA DE TARIFAS NOVAS'!H89/1000</f>
        <v>0.32106999999999997</v>
      </c>
      <c r="H8" s="28">
        <f t="shared" si="1"/>
        <v>1.0970800000000001</v>
      </c>
      <c r="I8" s="28">
        <f t="shared" si="2"/>
        <v>0.74898600000000004</v>
      </c>
      <c r="J8" s="28">
        <f t="shared" si="2"/>
        <v>0.31292066666666668</v>
      </c>
      <c r="K8" s="29">
        <f t="shared" si="3"/>
        <v>1.0619066666666668</v>
      </c>
      <c r="Q8" s="27" t="str">
        <f t="shared" si="4"/>
        <v>B3 Interm.</v>
      </c>
      <c r="R8" s="28">
        <f>'FIO B'!H32/1000</f>
        <v>0.41581471295327371</v>
      </c>
      <c r="U8" s="28">
        <f>'FIO B'!K32/1000</f>
        <v>0.42666928934112502</v>
      </c>
      <c r="X8" s="28">
        <f>((R8*$C$46)+(U8*$D$46))/($D$46+$C$46)</f>
        <v>0.42088018193427101</v>
      </c>
      <c r="AA8" s="14"/>
      <c r="AB8" s="14"/>
    </row>
    <row r="9" spans="1:28" customFormat="1" x14ac:dyDescent="0.3">
      <c r="B9" s="184" t="s">
        <v>182</v>
      </c>
      <c r="C9" s="29">
        <f>'B1 (Res) Branca OK'!C9</f>
        <v>1.8774721494831901E-4</v>
      </c>
      <c r="D9" s="29">
        <f>'B1 (Res) Branca OK'!D9</f>
        <v>-4.4031307414479802E-3</v>
      </c>
      <c r="E9" s="29">
        <f>SUM(C9+D9)</f>
        <v>-4.2153835264996612E-3</v>
      </c>
      <c r="F9" s="29">
        <f>T13</f>
        <v>1.84189231569235E-4</v>
      </c>
      <c r="G9" s="29">
        <f>U13</f>
        <v>-5.3182974871251499E-4</v>
      </c>
      <c r="H9" s="29">
        <f t="shared" si="1"/>
        <v>-3.4764051714327999E-4</v>
      </c>
      <c r="I9" s="28">
        <f t="shared" si="2"/>
        <v>1.8608682270474647E-4</v>
      </c>
      <c r="J9" s="28">
        <f t="shared" si="2"/>
        <v>-2.5965236115047629E-3</v>
      </c>
      <c r="K9" s="29">
        <f t="shared" si="3"/>
        <v>-2.4104367888000164E-3</v>
      </c>
      <c r="AA9" s="14"/>
      <c r="AB9" s="14"/>
    </row>
    <row r="10" spans="1:28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  <c r="Z10" s="16"/>
    </row>
    <row r="11" spans="1:28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f>EOMONTH(B15,0)+1</f>
        <v>46235</v>
      </c>
      <c r="P11" s="173" t="s">
        <v>179</v>
      </c>
      <c r="Q11" s="174"/>
      <c r="R11" s="175"/>
      <c r="S11" s="175"/>
      <c r="T11" s="176"/>
      <c r="U11" s="176"/>
    </row>
    <row r="12" spans="1:28" x14ac:dyDescent="0.3">
      <c r="B12" s="34" t="s">
        <v>34</v>
      </c>
      <c r="C12" s="255">
        <v>160247791</v>
      </c>
      <c r="E12" s="16"/>
      <c r="F12" s="16"/>
      <c r="G12" s="16"/>
      <c r="H12" s="35">
        <f>E15</f>
        <v>46254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v>0</v>
      </c>
    </row>
    <row r="13" spans="1:28" x14ac:dyDescent="0.3">
      <c r="B13" s="36"/>
      <c r="H13" s="37"/>
      <c r="K13" s="20" t="str">
        <f>'B1 (Res) Branca OK'!K13</f>
        <v>BAM</v>
      </c>
      <c r="L13" s="20" t="str">
        <f>'B1 (Res) Branca OK'!L13</f>
        <v>BAM</v>
      </c>
      <c r="P13" s="181" t="s">
        <v>181</v>
      </c>
      <c r="Q13" s="182"/>
      <c r="R13" s="183"/>
      <c r="S13" s="183"/>
      <c r="T13" s="197">
        <f>'B1 (Res) Branca OK'!T13</f>
        <v>1.84189231569235E-4</v>
      </c>
      <c r="U13" s="197">
        <f>'B1 (Res) Branca OK'!U13</f>
        <v>-5.3182974871251499E-4</v>
      </c>
    </row>
    <row r="14" spans="1:28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8" x14ac:dyDescent="0.3">
      <c r="B15" s="40">
        <v>46224</v>
      </c>
      <c r="C15" s="41">
        <f>IF((F2-B15-1)&lt;0,0,(F2-B15-1))</f>
        <v>16</v>
      </c>
      <c r="D15" s="41">
        <f>E15-F2+1</f>
        <v>14</v>
      </c>
      <c r="E15" s="40">
        <v>46254</v>
      </c>
      <c r="F15" s="42"/>
      <c r="G15" s="42"/>
      <c r="H15" s="43"/>
      <c r="J15" s="44">
        <f>B15</f>
        <v>46224</v>
      </c>
      <c r="K15" s="45">
        <f>IF((M11-J15-1)&lt;0,0,(M11-J15-1))</f>
        <v>10</v>
      </c>
      <c r="L15" s="45">
        <f>M15-M11+1</f>
        <v>20</v>
      </c>
      <c r="M15" s="44">
        <f>E15</f>
        <v>46254</v>
      </c>
      <c r="P15" s="230"/>
      <c r="Q15" s="230"/>
    </row>
    <row r="16" spans="1:28" s="16" customFormat="1" x14ac:dyDescent="0.3">
      <c r="F16" s="42"/>
      <c r="G16" s="42"/>
      <c r="P16" s="143" t="s">
        <v>152</v>
      </c>
      <c r="Q16" s="149"/>
      <c r="R16" s="239">
        <v>1025310396</v>
      </c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44" t="s">
        <v>155</v>
      </c>
      <c r="S18" s="144" t="s">
        <v>156</v>
      </c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92</v>
      </c>
      <c r="E19" s="208">
        <f>IFERROR((ROUND(D19*K19,2)+ROUND(G19,2)+ROUND(J19,2))/ROUND(D19,4), 0)</f>
        <v>1.1644565217391303</v>
      </c>
      <c r="F19" s="209">
        <f>ROUND(D19*E19,2)</f>
        <v>107.13</v>
      </c>
      <c r="G19" s="209">
        <f>((D19*K19)/(1-$N$19-$N$20))*($N$19+$N$20)</f>
        <v>6.6098349676365062</v>
      </c>
      <c r="H19" s="210">
        <f>IF(I19=0%,0,(D19*K19)/(1-$N$19-$N$20)/(1-$I$19))</f>
        <v>0</v>
      </c>
      <c r="I19" s="211">
        <v>0</v>
      </c>
      <c r="J19" s="210">
        <f>H19*$I$19</f>
        <v>0</v>
      </c>
      <c r="K19" s="208">
        <f>IF(AND($B$15&lt;$F$2,$E$15&lt;$F$2),C6,IF($B$15&lt;$F$2,I6,F6))</f>
        <v>1.0925953333333334</v>
      </c>
      <c r="L19" s="47" t="s">
        <v>27</v>
      </c>
      <c r="M19" s="209">
        <f>D66</f>
        <v>1422.0824896088673</v>
      </c>
      <c r="N19" s="212">
        <f>'B1 (Res) Branca OK'!N19</f>
        <v>1.0999999999999999E-2</v>
      </c>
      <c r="O19" s="213">
        <f>ROUND(M19*N19,2)</f>
        <v>15.64</v>
      </c>
      <c r="P19" s="16"/>
      <c r="Q19" s="16"/>
      <c r="R19" s="150">
        <f>IF(AND($B$46&lt;$F$2,$E$46&lt;$F$2),R6,IF($B$46&lt;$F$2,X6,U6))</f>
        <v>0.70146690205330464</v>
      </c>
      <c r="S19" s="151">
        <f>D52*R19</f>
        <v>64.534954988904033</v>
      </c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101</v>
      </c>
      <c r="E20" s="208">
        <f t="shared" ref="E20:E24" si="5">IFERROR((ROUND(D20*K20,2)+ROUND(G20,2)+ROUND(J20,2))/ROUND(D20,4), 0)</f>
        <v>0.79821782178217826</v>
      </c>
      <c r="F20" s="209">
        <f t="shared" ref="F20:F28" si="6">ROUND(D20*E20,2)</f>
        <v>80.62</v>
      </c>
      <c r="G20" s="209">
        <f>((D20*K20)/(1-$N$19-$N$20))*($N$19+$N$20)</f>
        <v>4.9743749932857293</v>
      </c>
      <c r="H20" s="210">
        <f t="shared" ref="H20:H28" si="7">IF(I20=0%,0,(D20*K20)/(1-$N$19-$N$20)/(1-$I$19))</f>
        <v>0</v>
      </c>
      <c r="I20" s="211">
        <f>I19</f>
        <v>0</v>
      </c>
      <c r="J20" s="210">
        <f t="shared" ref="J20:J28" si="8">H20*$I$19</f>
        <v>0</v>
      </c>
      <c r="K20" s="208">
        <f>IF(AND($B$15&lt;$F$2,$E$15&lt;$F$2),C8,IF($B$15&lt;$F$2,I8,F8))</f>
        <v>0.74898600000000004</v>
      </c>
      <c r="L20" s="47" t="s">
        <v>19</v>
      </c>
      <c r="M20" s="209">
        <f>M19</f>
        <v>1422.0824896088673</v>
      </c>
      <c r="N20" s="212">
        <f>'B1 (Res) Branca OK'!N20</f>
        <v>5.0700000000000002E-2</v>
      </c>
      <c r="O20" s="213">
        <f>ROUND(M20*N20,2)</f>
        <v>72.099999999999994</v>
      </c>
      <c r="P20" s="16"/>
      <c r="Q20" s="16"/>
      <c r="R20" s="150">
        <f>IF(AND($B$46&lt;$F$2,$E$46&lt;$F$2),R7,IF($B$46&lt;$F$2,X7,U7))</f>
        <v>0.14029336005951662</v>
      </c>
      <c r="S20" s="151">
        <f>D53*R20</f>
        <v>204.96859904695378</v>
      </c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1461</v>
      </c>
      <c r="E21" s="208">
        <f t="shared" si="5"/>
        <v>0.43202600958247778</v>
      </c>
      <c r="F21" s="209">
        <f t="shared" si="6"/>
        <v>631.19000000000005</v>
      </c>
      <c r="G21" s="209">
        <f>((D21*K21)/(1-$N$19-$N$20))*($N$19+$N$20)</f>
        <v>38.944614682297768</v>
      </c>
      <c r="H21" s="210">
        <f t="shared" si="7"/>
        <v>0</v>
      </c>
      <c r="I21" s="211">
        <f>I19</f>
        <v>0</v>
      </c>
      <c r="J21" s="210">
        <f t="shared" si="8"/>
        <v>0</v>
      </c>
      <c r="K21" s="208">
        <f>IF(AND($B$15&lt;$F$2,$E$15&lt;$F$2),C7,IF($B$15&lt;$F$2,I7,F7))</f>
        <v>0.40537199999999995</v>
      </c>
      <c r="L21" s="226"/>
      <c r="M21" s="227"/>
      <c r="N21" s="228"/>
      <c r="O21" s="229"/>
      <c r="P21" s="16"/>
      <c r="Q21" s="16"/>
      <c r="R21" s="150">
        <f>IF(AND($B$46&lt;$F$2,$E$46&lt;$F$2),R8,IF($B$46&lt;$F$2,X8,U8))</f>
        <v>0.42088018193427101</v>
      </c>
      <c r="S21" s="151">
        <f>D54*R21</f>
        <v>42.508898375361369</v>
      </c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92</v>
      </c>
      <c r="E22" s="208">
        <f t="shared" si="5"/>
        <v>0.53239130434782611</v>
      </c>
      <c r="F22" s="209">
        <f t="shared" si="6"/>
        <v>48.98</v>
      </c>
      <c r="G22" s="209">
        <f>((D22*K22)/(1-$N$19-$N$20))*($N$19+$N$20)</f>
        <v>3.0224969728231912</v>
      </c>
      <c r="H22" s="210">
        <f t="shared" si="7"/>
        <v>0</v>
      </c>
      <c r="I22" s="205"/>
      <c r="J22" s="210">
        <f t="shared" si="8"/>
        <v>0</v>
      </c>
      <c r="K22" s="208">
        <f>IF(AND($B$15&lt;$F$2,$E$15&lt;$F$2),D6,IF($B$15&lt;$F$2,J6,G6))</f>
        <v>0.499614</v>
      </c>
      <c r="L22" s="226"/>
      <c r="M22" s="227"/>
      <c r="N22" s="228"/>
      <c r="O22" s="229"/>
      <c r="P22" s="16"/>
      <c r="Q22" s="16"/>
      <c r="S22" s="152">
        <f>SUM(S19:S21)</f>
        <v>312.01245241121916</v>
      </c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101</v>
      </c>
      <c r="E23" s="208">
        <f t="shared" si="5"/>
        <v>0.33346534653465348</v>
      </c>
      <c r="F23" s="209">
        <f t="shared" si="6"/>
        <v>33.68</v>
      </c>
      <c r="G23" s="209">
        <f t="shared" ref="G23:G24" si="9">((D23*K23)/(1-$N$19-$N$20))*($N$19+$N$20)</f>
        <v>2.0782561211410706</v>
      </c>
      <c r="H23" s="210">
        <f t="shared" si="7"/>
        <v>0</v>
      </c>
      <c r="I23" s="205"/>
      <c r="J23" s="210">
        <f t="shared" si="8"/>
        <v>0</v>
      </c>
      <c r="K23" s="208">
        <f>IF(AND($B$15&lt;$F$2,$E$15&lt;$F$2),D8,IF($B$15&lt;$F$2,J8,G8))</f>
        <v>0.31292066666666668</v>
      </c>
      <c r="L23" s="226"/>
      <c r="M23" s="227"/>
      <c r="N23" s="228"/>
      <c r="O23" s="229"/>
      <c r="P23" s="16"/>
      <c r="Q23" s="16"/>
      <c r="R23" s="16"/>
      <c r="S23" s="16"/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1461</v>
      </c>
      <c r="E24" s="208">
        <f t="shared" si="5"/>
        <v>0.33349760438056125</v>
      </c>
      <c r="F24" s="209">
        <f t="shared" si="6"/>
        <v>487.24</v>
      </c>
      <c r="G24" s="209">
        <f t="shared" si="9"/>
        <v>30.06269498007034</v>
      </c>
      <c r="H24" s="210">
        <f t="shared" si="7"/>
        <v>0</v>
      </c>
      <c r="I24" s="205"/>
      <c r="J24" s="210">
        <f t="shared" si="8"/>
        <v>0</v>
      </c>
      <c r="K24" s="208">
        <f>IF(AND($B$15&lt;$F$2,$E$15&lt;$F$2),D7,IF($B$15&lt;$F$2,J7,G7))</f>
        <v>0.31292066666666668</v>
      </c>
      <c r="L24" s="226"/>
      <c r="M24" s="227"/>
      <c r="N24" s="228"/>
      <c r="O24" s="229"/>
      <c r="P24" s="16"/>
      <c r="Q24" s="16"/>
      <c r="R24" s="16"/>
      <c r="S24" s="16"/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IF($K$13=M4,(($D$19+$D$20+$D$21)*($K$15)/($K$15+$L$15)),0)+IF($L$13=M4,(($D$19+$D$20+$D$21)*($L$15)/($K$15+$L$15)),0)</f>
        <v>1654</v>
      </c>
      <c r="E25" s="208">
        <f>IFERROR((ROUND(D25*K25,2)+ROUND(G25,2)+ROUND(J25,2))/ROUND(D25,4), 0)</f>
        <v>2.0090689238210398E-2</v>
      </c>
      <c r="F25" s="209">
        <f t="shared" si="6"/>
        <v>33.229999999999997</v>
      </c>
      <c r="G25" s="209">
        <f>((D25*K25)/(1-$N$19-$N$20))*($N$19+$N$20)</f>
        <v>2.050172045188106</v>
      </c>
      <c r="H25" s="210">
        <f t="shared" si="7"/>
        <v>0</v>
      </c>
      <c r="I25" s="205"/>
      <c r="J25" s="210">
        <f t="shared" si="8"/>
        <v>0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232"/>
      <c r="S25" s="16"/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 t="shared" ref="D26:D28" si="10">IF($K$13=M5,(($D$19+$D$20+$D$21)*($K$15)/($K$15+$L$15)),0)+IF($L$13=M5,(($D$19+$D$20+$D$21)*($L$15)/($K$15+$L$15)),0)</f>
        <v>0</v>
      </c>
      <c r="E26" s="208">
        <f>K26/(1-$N$19-$N$20)/(1-$I$19)</f>
        <v>4.7564744751145693E-2</v>
      </c>
      <c r="F26" s="209">
        <f t="shared" si="6"/>
        <v>0</v>
      </c>
      <c r="G26" s="209">
        <f>((D26*K26)/(1-$N$19-$N$20))*($N$19+$N$20)</f>
        <v>0</v>
      </c>
      <c r="H26" s="210">
        <f t="shared" si="7"/>
        <v>0</v>
      </c>
      <c r="I26" s="205"/>
      <c r="J26" s="210">
        <f t="shared" si="8"/>
        <v>0</v>
      </c>
      <c r="K26" s="208">
        <f>N5</f>
        <v>4.4630000000000003E-2</v>
      </c>
      <c r="O26" s="62"/>
      <c r="P26" s="16"/>
      <c r="Q26" s="16"/>
      <c r="R26" s="232"/>
      <c r="S26" s="233"/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 t="shared" si="10"/>
        <v>0</v>
      </c>
      <c r="E27" s="208">
        <f>K27/(1-$N$19-$N$20)/(1-$I$19)</f>
        <v>8.3949696259192158E-2</v>
      </c>
      <c r="F27" s="209">
        <f t="shared" si="6"/>
        <v>0</v>
      </c>
      <c r="G27" s="209">
        <f>((D27*K27)/(1-$N$19-$N$20))*($N$19+$N$20)</f>
        <v>0</v>
      </c>
      <c r="H27" s="210">
        <f t="shared" si="7"/>
        <v>0</v>
      </c>
      <c r="I27" s="205"/>
      <c r="J27" s="210">
        <f t="shared" si="8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 t="shared" si="10"/>
        <v>0</v>
      </c>
      <c r="E28" s="208">
        <f>K28/(1-$N$19-$N$20)/(1-$I$19)</f>
        <v>0.15133752531173397</v>
      </c>
      <c r="F28" s="209">
        <f t="shared" si="6"/>
        <v>0</v>
      </c>
      <c r="G28" s="209">
        <f>((D28*K28)/(1-$N$19-$N$20))*($N$19+$N$20)</f>
        <v>0</v>
      </c>
      <c r="H28" s="210">
        <f t="shared" si="7"/>
        <v>0</v>
      </c>
      <c r="I28" s="205"/>
      <c r="J28" s="210">
        <f t="shared" si="8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207</v>
      </c>
      <c r="C29" s="205"/>
      <c r="D29" s="214"/>
      <c r="E29" s="205"/>
      <c r="F29" s="217"/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206</v>
      </c>
      <c r="C30" s="205"/>
      <c r="D30" s="214"/>
      <c r="E30" s="205"/>
      <c r="F30" s="217"/>
      <c r="G30" s="205"/>
      <c r="H30" s="205"/>
      <c r="I30" s="205"/>
      <c r="J30" s="205"/>
      <c r="K30" s="205"/>
      <c r="O30" s="62"/>
      <c r="P30" s="16"/>
      <c r="Q30" s="16"/>
      <c r="R30" s="16"/>
      <c r="S30" s="235"/>
      <c r="T30" s="16"/>
      <c r="U30" s="16"/>
      <c r="V30" s="16"/>
    </row>
    <row r="31" spans="2:22" x14ac:dyDescent="0.3">
      <c r="B31" s="205" t="s">
        <v>231</v>
      </c>
      <c r="C31" s="205"/>
      <c r="D31" s="214"/>
      <c r="E31" s="205"/>
      <c r="F31" s="217"/>
      <c r="G31" s="205"/>
      <c r="H31" s="205"/>
      <c r="I31" s="205"/>
      <c r="J31" s="205"/>
      <c r="K31" s="205"/>
      <c r="O31" s="62"/>
      <c r="S31" s="216"/>
    </row>
    <row r="32" spans="2:22" x14ac:dyDescent="0.3">
      <c r="B32" s="205" t="s">
        <v>208</v>
      </c>
      <c r="C32" s="205"/>
      <c r="D32" s="214"/>
      <c r="E32" s="205"/>
      <c r="F32" s="217"/>
      <c r="G32" s="205"/>
      <c r="H32" s="205"/>
      <c r="I32" s="205"/>
      <c r="J32" s="205"/>
      <c r="K32" s="205"/>
      <c r="O32" s="62"/>
    </row>
    <row r="33" spans="2:26" x14ac:dyDescent="0.3">
      <c r="B33" s="205"/>
      <c r="C33" s="205"/>
      <c r="D33" s="214"/>
      <c r="E33" s="205"/>
      <c r="F33" s="205"/>
      <c r="G33" s="205"/>
      <c r="H33" s="205"/>
      <c r="I33" s="205"/>
      <c r="J33" s="205"/>
      <c r="K33" s="205"/>
      <c r="O33" s="62"/>
    </row>
    <row r="34" spans="2:26" x14ac:dyDescent="0.3">
      <c r="B34" s="205"/>
      <c r="C34" s="205"/>
      <c r="D34" s="214"/>
      <c r="E34" s="205"/>
      <c r="F34" s="205"/>
      <c r="G34" s="205"/>
      <c r="H34" s="205"/>
      <c r="I34" s="205"/>
      <c r="J34" s="205"/>
      <c r="K34" s="205"/>
      <c r="O34" s="62"/>
    </row>
    <row r="35" spans="2:26" x14ac:dyDescent="0.3">
      <c r="B35" s="218" t="s">
        <v>209</v>
      </c>
      <c r="C35" s="215"/>
      <c r="D35" s="219"/>
      <c r="E35" s="215"/>
      <c r="F35" s="220">
        <f>SUM(F19:F34)</f>
        <v>1422.0700000000002</v>
      </c>
      <c r="G35" s="221">
        <f>SUM(G19:G34)</f>
        <v>87.742444762442716</v>
      </c>
      <c r="H35" s="222">
        <f>SUM(H19:H34)</f>
        <v>0</v>
      </c>
      <c r="I35" s="215"/>
      <c r="J35" s="222">
        <f>SUM(J19:J34)</f>
        <v>0</v>
      </c>
      <c r="K35" s="215"/>
      <c r="L35" s="68"/>
      <c r="M35" s="68"/>
      <c r="N35" s="68"/>
      <c r="O35" s="79"/>
    </row>
    <row r="37" spans="2:26" x14ac:dyDescent="0.3">
      <c r="B37" s="223" t="s">
        <v>210</v>
      </c>
      <c r="C37" s="224">
        <f>D19+D20+D21</f>
        <v>1654</v>
      </c>
      <c r="D37" s="225">
        <f>IF(AND($B$15&lt;$F$2,$E$15&lt;$F$2),C9,IF($B$15&lt;$F$2,I9,F9))</f>
        <v>1.8608682270474647E-4</v>
      </c>
      <c r="E37" s="225">
        <f>IF(AND($B$15&lt;$F$2,$E$15&lt;$F$2),D9,IF($B$15&lt;$F$2,J9,G9))</f>
        <v>-2.5965236115047629E-3</v>
      </c>
      <c r="F37" s="223">
        <f>C37*(D37+E37)</f>
        <v>-3.9868624486752271</v>
      </c>
      <c r="I37" s="16"/>
    </row>
    <row r="38" spans="2:26" ht="14.25" customHeight="1" x14ac:dyDescent="0.3">
      <c r="G38" s="16"/>
      <c r="H38" s="16"/>
      <c r="I38" s="16"/>
      <c r="J38" s="16"/>
      <c r="K38" s="16"/>
      <c r="O38" s="18"/>
      <c r="V38" s="16"/>
      <c r="W38" s="16"/>
      <c r="X38" s="16"/>
      <c r="Y38" s="16"/>
      <c r="Z38" s="16"/>
    </row>
    <row r="39" spans="2:26" ht="14.25" customHeight="1" x14ac:dyDescent="0.3">
      <c r="G39" s="16"/>
      <c r="H39" s="16"/>
      <c r="I39" s="16"/>
      <c r="J39" s="16"/>
      <c r="K39" s="16"/>
      <c r="O39" s="18"/>
      <c r="V39" s="16"/>
      <c r="W39" s="16"/>
      <c r="X39" s="16"/>
      <c r="Y39" s="16"/>
      <c r="Z39" s="16"/>
    </row>
    <row r="40" spans="2:26" ht="14.25" customHeight="1" x14ac:dyDescent="0.3">
      <c r="G40" s="16"/>
      <c r="H40" s="16"/>
      <c r="I40" s="16"/>
      <c r="J40" s="16"/>
      <c r="K40" s="16"/>
      <c r="O40" s="18"/>
      <c r="V40" s="16"/>
      <c r="W40" s="16"/>
      <c r="X40" s="16"/>
      <c r="Y40" s="16"/>
      <c r="Z40" s="16"/>
    </row>
    <row r="41" spans="2:26" ht="14.25" customHeight="1" x14ac:dyDescent="0.3">
      <c r="G41" s="16"/>
      <c r="H41" s="16"/>
      <c r="I41" s="16"/>
      <c r="J41" s="16"/>
      <c r="K41" s="16"/>
      <c r="O41" s="18"/>
      <c r="V41" s="16"/>
      <c r="W41" s="16"/>
      <c r="X41" s="16"/>
      <c r="Y41" s="16"/>
      <c r="Z41" s="16"/>
    </row>
    <row r="42" spans="2:26" x14ac:dyDescent="0.3">
      <c r="B42" s="30"/>
      <c r="C42" s="31"/>
      <c r="D42" s="32"/>
      <c r="E42" s="31"/>
      <c r="F42" s="31"/>
      <c r="G42" s="31"/>
      <c r="H42" s="33" t="s">
        <v>35</v>
      </c>
      <c r="I42" s="16"/>
      <c r="L42" s="18" t="s">
        <v>71</v>
      </c>
      <c r="M42" s="19">
        <f>EOMONTH(B46,0)+1</f>
        <v>46235</v>
      </c>
    </row>
    <row r="43" spans="2:26" x14ac:dyDescent="0.3">
      <c r="B43" s="34" t="s">
        <v>34</v>
      </c>
      <c r="C43" s="141">
        <f>C12</f>
        <v>160247791</v>
      </c>
      <c r="E43" s="16"/>
      <c r="F43" s="16"/>
      <c r="G43" s="16"/>
      <c r="H43" s="35">
        <f>E46</f>
        <v>46254</v>
      </c>
      <c r="K43" s="283" t="s">
        <v>72</v>
      </c>
      <c r="L43" s="283"/>
    </row>
    <row r="44" spans="2:26" x14ac:dyDescent="0.3">
      <c r="B44" s="36"/>
      <c r="H44" s="37"/>
      <c r="K44" s="20" t="str">
        <f>K13</f>
        <v>BAM</v>
      </c>
      <c r="L44" s="20" t="str">
        <f>L13</f>
        <v>BAM</v>
      </c>
    </row>
    <row r="45" spans="2:26" ht="27.6" x14ac:dyDescent="0.3">
      <c r="B45" s="38" t="s">
        <v>5</v>
      </c>
      <c r="C45" s="38" t="s">
        <v>4</v>
      </c>
      <c r="D45" s="38" t="s">
        <v>25</v>
      </c>
      <c r="E45" s="38" t="s">
        <v>3</v>
      </c>
      <c r="F45" s="16"/>
      <c r="G45" s="16"/>
      <c r="H45" s="39"/>
      <c r="J45" s="38" t="s">
        <v>5</v>
      </c>
      <c r="K45" s="38" t="s">
        <v>4</v>
      </c>
      <c r="L45" s="38" t="s">
        <v>25</v>
      </c>
      <c r="M45" s="38" t="s">
        <v>3</v>
      </c>
    </row>
    <row r="46" spans="2:26" x14ac:dyDescent="0.3">
      <c r="B46" s="40">
        <f>B15</f>
        <v>46224</v>
      </c>
      <c r="C46" s="41">
        <f>IF((F2-B46-1)&lt;0,0,(F2-B46-1))</f>
        <v>16</v>
      </c>
      <c r="D46" s="41">
        <f>E46-F2+1</f>
        <v>14</v>
      </c>
      <c r="E46" s="40">
        <f>E15</f>
        <v>46254</v>
      </c>
      <c r="F46" s="42"/>
      <c r="G46" s="42"/>
      <c r="H46" s="43"/>
      <c r="J46" s="44">
        <f>B46</f>
        <v>46224</v>
      </c>
      <c r="K46" s="45">
        <f>IF((M42-J46-1)&lt;0,0,(M42-J46-1))</f>
        <v>10</v>
      </c>
      <c r="L46" s="45">
        <f>M46-M42+1</f>
        <v>20</v>
      </c>
      <c r="M46" s="44">
        <f>E46</f>
        <v>46254</v>
      </c>
    </row>
    <row r="48" spans="2:26" x14ac:dyDescent="0.3">
      <c r="B48" s="271" t="s">
        <v>172</v>
      </c>
      <c r="C48" s="272"/>
      <c r="D48" s="272"/>
      <c r="E48" s="272"/>
      <c r="F48" s="272"/>
      <c r="G48" s="272"/>
      <c r="H48" s="273"/>
      <c r="I48" s="16"/>
      <c r="J48" s="140"/>
      <c r="K48" s="16"/>
      <c r="L48" s="16"/>
      <c r="M48" s="16"/>
      <c r="N48" s="16"/>
      <c r="O48" s="16"/>
      <c r="P48" s="16"/>
    </row>
    <row r="49" spans="2:16" x14ac:dyDescent="0.3">
      <c r="B49" s="36"/>
      <c r="D49" s="46" t="s">
        <v>8</v>
      </c>
      <c r="E49" s="46" t="s">
        <v>0</v>
      </c>
      <c r="F49" s="46" t="s">
        <v>1</v>
      </c>
      <c r="G49" s="46" t="s">
        <v>42</v>
      </c>
      <c r="H49" s="47" t="s">
        <v>9</v>
      </c>
      <c r="I49" s="16"/>
      <c r="J49" s="143" t="s">
        <v>152</v>
      </c>
      <c r="K49" s="149"/>
      <c r="L49" s="239"/>
      <c r="M49" s="16"/>
      <c r="N49" s="16"/>
      <c r="O49" s="16"/>
      <c r="P49" s="16"/>
    </row>
    <row r="50" spans="2:16" x14ac:dyDescent="0.3">
      <c r="B50" s="48" t="s">
        <v>73</v>
      </c>
      <c r="C50" s="49"/>
      <c r="D50" s="50"/>
      <c r="E50" s="50"/>
      <c r="F50" s="50"/>
      <c r="G50" s="50"/>
      <c r="H50" s="51">
        <f>SUM(H52:H60)+SUM(H66:H68)</f>
        <v>1422.0824896088673</v>
      </c>
      <c r="I50" s="16"/>
      <c r="J50" s="16"/>
      <c r="K50" s="16"/>
      <c r="L50" s="16"/>
      <c r="M50" s="16"/>
      <c r="N50" s="16"/>
      <c r="O50" s="16"/>
      <c r="P50" s="16"/>
    </row>
    <row r="51" spans="2:16" x14ac:dyDescent="0.3">
      <c r="B51" s="36"/>
      <c r="D51" s="46"/>
      <c r="E51" s="46"/>
      <c r="F51" s="46"/>
      <c r="G51" s="46"/>
      <c r="H51" s="52"/>
      <c r="I51" s="16"/>
      <c r="J51" s="16"/>
      <c r="K51" s="16"/>
      <c r="L51" s="16"/>
      <c r="M51" s="16"/>
      <c r="N51" s="16"/>
      <c r="O51" s="16"/>
      <c r="P51" s="16"/>
    </row>
    <row r="52" spans="2:16" x14ac:dyDescent="0.3">
      <c r="B52" s="36" t="s">
        <v>6</v>
      </c>
      <c r="D52" s="53">
        <f>D19</f>
        <v>92</v>
      </c>
      <c r="E52" s="54">
        <f t="shared" ref="E52:F54" si="11">IF(AND($B$46&lt;$F$2,$E$46&lt;$F$2),C6,IF($B$46&lt;$F$2,I6,F6))</f>
        <v>1.0925953333333334</v>
      </c>
      <c r="F52" s="55">
        <f t="shared" si="11"/>
        <v>0.499614</v>
      </c>
      <c r="G52" s="54">
        <v>1.325</v>
      </c>
      <c r="H52" s="56">
        <f>ROUND((D52*E52),2)+ROUND((D52*F52),2)</f>
        <v>146.47999999999999</v>
      </c>
      <c r="I52" s="16"/>
      <c r="J52"/>
      <c r="K52"/>
      <c r="L52"/>
      <c r="M52" s="16"/>
      <c r="N52" s="16"/>
      <c r="O52" s="16"/>
      <c r="P52" s="16"/>
    </row>
    <row r="53" spans="2:16" x14ac:dyDescent="0.3">
      <c r="B53" s="36" t="s">
        <v>7</v>
      </c>
      <c r="D53" s="53">
        <f>D21</f>
        <v>1461</v>
      </c>
      <c r="E53" s="54">
        <f t="shared" si="11"/>
        <v>0.40537199999999995</v>
      </c>
      <c r="F53" s="55">
        <f t="shared" si="11"/>
        <v>0.31292066666666668</v>
      </c>
      <c r="G53" s="54">
        <v>0.53280000000000005</v>
      </c>
      <c r="H53" s="56">
        <f t="shared" ref="H53:H54" si="12">ROUND((D53*E53),2)+ROUND((D53*F53),2)</f>
        <v>1049.43</v>
      </c>
      <c r="I53" s="16"/>
      <c r="J53"/>
      <c r="K53"/>
      <c r="L53"/>
      <c r="M53" s="16"/>
      <c r="N53" s="16"/>
      <c r="O53" s="16"/>
      <c r="P53" s="16"/>
    </row>
    <row r="54" spans="2:16" x14ac:dyDescent="0.3">
      <c r="B54" s="36" t="s">
        <v>141</v>
      </c>
      <c r="D54" s="53">
        <f>D20</f>
        <v>101</v>
      </c>
      <c r="E54" s="54">
        <f t="shared" si="11"/>
        <v>0.74898600000000004</v>
      </c>
      <c r="F54" s="55">
        <f t="shared" si="11"/>
        <v>0.31292066666666668</v>
      </c>
      <c r="G54" s="54">
        <v>0.84406000000000003</v>
      </c>
      <c r="H54" s="56">
        <f t="shared" si="12"/>
        <v>107.25</v>
      </c>
      <c r="I54" s="16"/>
      <c r="J54" s="16"/>
      <c r="K54" s="16"/>
      <c r="L54" s="57"/>
      <c r="M54" s="16"/>
      <c r="N54" s="16"/>
      <c r="O54" s="16"/>
      <c r="P54" s="16"/>
    </row>
    <row r="55" spans="2:16" x14ac:dyDescent="0.3">
      <c r="B55" s="36"/>
      <c r="D55" s="58"/>
      <c r="E55" s="59"/>
      <c r="F55" s="60"/>
      <c r="G55" s="60"/>
      <c r="H55" s="56"/>
      <c r="I55" s="16"/>
      <c r="J55" s="16"/>
      <c r="K55" s="16"/>
      <c r="L55" s="16"/>
      <c r="M55" s="16"/>
      <c r="N55" s="16"/>
      <c r="O55" s="16"/>
      <c r="P55" s="16"/>
    </row>
    <row r="56" spans="2:16" x14ac:dyDescent="0.3">
      <c r="B56" s="36"/>
      <c r="D56" s="61"/>
      <c r="H56" s="62"/>
      <c r="I56" s="16"/>
      <c r="J56" s="16"/>
      <c r="K56" s="16"/>
      <c r="L56" s="16"/>
      <c r="M56" s="16"/>
      <c r="N56" s="16"/>
      <c r="O56" s="16"/>
      <c r="P56" s="16"/>
    </row>
    <row r="57" spans="2:16" x14ac:dyDescent="0.3">
      <c r="B57" s="36" t="s">
        <v>38</v>
      </c>
      <c r="D57" s="63">
        <f>IF($K$44=M4,((D52+D53+D54)*(K46)/(K46+L46)),0)+IF($L$44=M4,((D52+D53+D54)*(L46)/(K46+L46)),0)</f>
        <v>1654</v>
      </c>
      <c r="F57" s="64">
        <f>N4</f>
        <v>1.8849999999999999E-2</v>
      </c>
      <c r="G57" s="64"/>
      <c r="H57" s="56">
        <f>ROUND(D57*(E57+F57),2)</f>
        <v>31.18</v>
      </c>
      <c r="I57" s="16"/>
      <c r="J57" s="16"/>
      <c r="K57" s="16"/>
      <c r="L57" s="16"/>
      <c r="M57" s="16"/>
      <c r="N57" s="16"/>
      <c r="O57" s="16"/>
      <c r="P57" s="16"/>
    </row>
    <row r="58" spans="2:16" x14ac:dyDescent="0.3">
      <c r="B58" s="36" t="s">
        <v>39</v>
      </c>
      <c r="D58" s="63">
        <f>IF($K$44=M5,((D52+D53+D54)*(K46)/(K46+L46)),0)+IF($L$44=M5,((D52+D53+D54)*(L46)/(K46+L46)),0)</f>
        <v>0</v>
      </c>
      <c r="F58" s="64">
        <f>N5</f>
        <v>4.4630000000000003E-2</v>
      </c>
      <c r="G58" s="64"/>
      <c r="H58" s="56">
        <f>ROUND(D58*(E58+F58),2)</f>
        <v>0</v>
      </c>
      <c r="I58" s="16"/>
      <c r="J58" s="16"/>
      <c r="K58" s="16"/>
      <c r="L58" s="16"/>
      <c r="M58" s="16"/>
      <c r="N58" s="16"/>
      <c r="O58" s="16"/>
      <c r="P58" s="16"/>
    </row>
    <row r="59" spans="2:16" x14ac:dyDescent="0.3">
      <c r="B59" s="36" t="s">
        <v>40</v>
      </c>
      <c r="D59" s="63">
        <f>IF($K$44=M6,((D52+D53+D54)*(K46)/(K46+L46)),0)+IF($L$44=M6,((D52+D53+D54)*(L46)/(K46+L46)),0)</f>
        <v>0</v>
      </c>
      <c r="F59" s="64">
        <f>N6</f>
        <v>7.8770000000000007E-2</v>
      </c>
      <c r="G59" s="64"/>
      <c r="H59" s="56">
        <f>ROUND(D59*(E59+F59),2)</f>
        <v>0</v>
      </c>
      <c r="I59" s="16"/>
      <c r="J59" s="16"/>
      <c r="K59" s="16"/>
      <c r="L59" s="16"/>
      <c r="M59" s="16"/>
      <c r="N59" s="16"/>
      <c r="O59" s="16"/>
      <c r="P59" s="16"/>
    </row>
    <row r="60" spans="2:16" x14ac:dyDescent="0.3">
      <c r="B60" s="36" t="s">
        <v>150</v>
      </c>
      <c r="D60" s="63">
        <f>IF($K$44=M7,((D52+D53+D54)*(K46)/(K46+L46)),0)+IF($L$44=M7,((D52+D53+D54)*(L46)/(K46+L46)),0)</f>
        <v>0</v>
      </c>
      <c r="F60" s="64">
        <f>N7</f>
        <v>0.14199999999999999</v>
      </c>
      <c r="G60" s="64"/>
      <c r="H60" s="56">
        <f>ROUND(D60*(E60+F60),2)</f>
        <v>0</v>
      </c>
      <c r="I60" s="16"/>
      <c r="J60" s="16"/>
      <c r="K60" s="16"/>
      <c r="L60" s="16"/>
      <c r="M60" s="16"/>
      <c r="N60" s="16"/>
      <c r="O60" s="16"/>
      <c r="P60" s="16"/>
    </row>
    <row r="61" spans="2:16" x14ac:dyDescent="0.3">
      <c r="B61" s="36"/>
      <c r="D61" s="61"/>
      <c r="H61" s="56"/>
      <c r="I61" s="16"/>
      <c r="J61" s="16"/>
      <c r="K61" s="16"/>
      <c r="L61" s="16"/>
      <c r="M61" s="16"/>
      <c r="N61" s="16"/>
      <c r="O61" s="16"/>
      <c r="P61" s="16"/>
    </row>
    <row r="62" spans="2:16" x14ac:dyDescent="0.3">
      <c r="B62" s="36"/>
      <c r="D62" s="63"/>
      <c r="F62" s="64"/>
      <c r="G62" s="64"/>
      <c r="H62" s="56"/>
      <c r="I62" s="16"/>
      <c r="J62" s="16"/>
      <c r="K62" s="16"/>
      <c r="L62" s="16"/>
      <c r="M62" s="16"/>
      <c r="N62" s="16"/>
      <c r="O62" s="16"/>
      <c r="P62" s="16"/>
    </row>
    <row r="63" spans="2:16" x14ac:dyDescent="0.3">
      <c r="B63" s="67"/>
      <c r="C63" s="68"/>
      <c r="D63" s="69"/>
      <c r="E63" s="70"/>
      <c r="F63" s="68"/>
      <c r="G63" s="68"/>
      <c r="H63" s="66"/>
      <c r="I63" s="16"/>
      <c r="J63" s="16"/>
      <c r="K63" s="16"/>
      <c r="L63" s="16"/>
      <c r="M63" s="16"/>
      <c r="N63" s="16"/>
      <c r="O63" s="16"/>
      <c r="P63" s="16"/>
    </row>
    <row r="64" spans="2:16" x14ac:dyDescent="0.3">
      <c r="B64" s="30"/>
      <c r="C64" s="31"/>
      <c r="D64" s="31"/>
      <c r="E64" s="31"/>
      <c r="F64" s="31"/>
      <c r="G64" s="31"/>
      <c r="H64" s="72"/>
      <c r="I64" s="16"/>
      <c r="L64" s="16"/>
      <c r="M64" s="16"/>
      <c r="N64" s="16"/>
      <c r="O64" s="16"/>
      <c r="P64" s="16"/>
    </row>
    <row r="65" spans="2:16" x14ac:dyDescent="0.3">
      <c r="B65" s="36"/>
      <c r="D65" s="73" t="s">
        <v>17</v>
      </c>
      <c r="E65" s="74"/>
      <c r="F65" s="74"/>
      <c r="G65" s="74"/>
      <c r="H65" s="75"/>
      <c r="I65" s="76"/>
      <c r="K65" s="77"/>
      <c r="L65" s="16"/>
      <c r="M65" s="16"/>
      <c r="N65" s="16"/>
      <c r="O65" s="16"/>
      <c r="P65" s="16"/>
    </row>
    <row r="66" spans="2:16" x14ac:dyDescent="0.3">
      <c r="B66" s="36" t="s">
        <v>18</v>
      </c>
      <c r="D66" s="77">
        <f>(SUM(H52:H63)/(1-E66-E67))</f>
        <v>1422.0824896088673</v>
      </c>
      <c r="E66" s="78">
        <f>N19</f>
        <v>1.0999999999999999E-2</v>
      </c>
      <c r="H66" s="56">
        <f>D66*E66</f>
        <v>15.642907385697539</v>
      </c>
      <c r="I66" s="77"/>
      <c r="L66" s="16"/>
      <c r="M66" s="16"/>
      <c r="N66" s="16"/>
      <c r="O66" s="16"/>
      <c r="P66" s="16"/>
    </row>
    <row r="67" spans="2:16" x14ac:dyDescent="0.3">
      <c r="B67" s="36" t="s">
        <v>19</v>
      </c>
      <c r="D67" s="77">
        <f>D66</f>
        <v>1422.0824896088673</v>
      </c>
      <c r="E67" s="78">
        <f>N20</f>
        <v>5.0700000000000002E-2</v>
      </c>
      <c r="H67" s="56">
        <f>D67*E67</f>
        <v>72.099582223169577</v>
      </c>
      <c r="I67" s="77"/>
      <c r="L67" s="16"/>
      <c r="M67" s="16"/>
      <c r="N67" s="16"/>
      <c r="O67" s="16"/>
      <c r="P67" s="16"/>
    </row>
    <row r="68" spans="2:16" x14ac:dyDescent="0.3">
      <c r="B68" s="36" t="s">
        <v>20</v>
      </c>
      <c r="D68" s="145">
        <f>D66/(1-E68)</f>
        <v>1422.0824896088673</v>
      </c>
      <c r="E68" s="138">
        <f>I19</f>
        <v>0</v>
      </c>
      <c r="H68" s="56">
        <f>D68*E68</f>
        <v>0</v>
      </c>
      <c r="I68" s="77"/>
      <c r="L68" s="16"/>
      <c r="M68" s="16"/>
      <c r="N68" s="16"/>
      <c r="O68" s="16"/>
      <c r="P68" s="16"/>
    </row>
    <row r="69" spans="2:16" x14ac:dyDescent="0.3">
      <c r="B69" s="67"/>
      <c r="C69" s="68"/>
      <c r="D69" s="68"/>
      <c r="E69" s="68"/>
      <c r="F69" s="68"/>
      <c r="G69" s="68"/>
      <c r="H69" s="79"/>
      <c r="L69" s="16"/>
      <c r="M69" s="16"/>
      <c r="N69" s="16"/>
      <c r="O69" s="16"/>
      <c r="P69" s="16"/>
    </row>
    <row r="70" spans="2:16" x14ac:dyDescent="0.3">
      <c r="B70" s="185" t="s">
        <v>183</v>
      </c>
      <c r="C70" s="186"/>
      <c r="D70" s="187">
        <f>SUM(D52:D54)</f>
        <v>1654</v>
      </c>
      <c r="E70" s="188">
        <f>IF(AND($B$46&lt;$F$2,$E$46&lt;$F$2),C9,IF($B$46&lt;$F$2,I9,F9))</f>
        <v>1.8608682270474647E-4</v>
      </c>
      <c r="F70" s="188">
        <f>IF(AND($B$46&lt;$F$2,$E$46&lt;$F$2),D9,IF($B$46&lt;$F$2,J9,G9))</f>
        <v>-2.5965236115047629E-3</v>
      </c>
      <c r="G70" s="186"/>
      <c r="H70" s="185">
        <f>D70*(E70+F70)</f>
        <v>-3.9868624486752271</v>
      </c>
      <c r="L70" s="16"/>
      <c r="M70" s="16"/>
      <c r="N70" s="16"/>
      <c r="O70" s="16"/>
      <c r="P70" s="16"/>
    </row>
    <row r="71" spans="2:16" x14ac:dyDescent="0.3">
      <c r="L71" s="16"/>
      <c r="M71" s="16"/>
      <c r="N71" s="16"/>
      <c r="O71" s="16"/>
      <c r="P71" s="16"/>
    </row>
    <row r="72" spans="2:16" x14ac:dyDescent="0.3">
      <c r="B72" s="80" t="s">
        <v>43</v>
      </c>
      <c r="D72" s="74"/>
      <c r="E72" s="74" t="s">
        <v>14</v>
      </c>
      <c r="F72" s="74"/>
      <c r="G72" s="74"/>
      <c r="H72" s="76"/>
    </row>
    <row r="73" spans="2:16" x14ac:dyDescent="0.3">
      <c r="B73" s="81"/>
      <c r="C73" s="82" t="s">
        <v>9</v>
      </c>
    </row>
    <row r="74" spans="2:16" x14ac:dyDescent="0.3">
      <c r="B74" s="81" t="s">
        <v>44</v>
      </c>
      <c r="C74" s="83">
        <f>(SUM(H52:H63)*IF($B$46&lt;$F$2,D112,D84))</f>
        <v>594.4417850346756</v>
      </c>
    </row>
    <row r="75" spans="2:16" x14ac:dyDescent="0.3">
      <c r="B75" s="81" t="s">
        <v>45</v>
      </c>
      <c r="C75" s="83">
        <f>(SUM(H52:H63)*IF($B$46&lt;$F$2,F112,F84))</f>
        <v>351.18766301259342</v>
      </c>
    </row>
    <row r="76" spans="2:16" x14ac:dyDescent="0.3">
      <c r="B76" s="81" t="s">
        <v>46</v>
      </c>
      <c r="C76" s="83">
        <f>(SUM(H52:H63)*IF($B$46&lt;$F$2,E112,E84))</f>
        <v>112.0219850431244</v>
      </c>
    </row>
    <row r="77" spans="2:16" x14ac:dyDescent="0.3">
      <c r="B77" s="81" t="s">
        <v>47</v>
      </c>
      <c r="C77" s="83">
        <f>(SUM(H52:H63)*IF($B$46&lt;$F$2,G112,G84))</f>
        <v>276.69547544790635</v>
      </c>
    </row>
    <row r="78" spans="2:16" x14ac:dyDescent="0.3">
      <c r="B78" s="81" t="s">
        <v>48</v>
      </c>
      <c r="C78" s="84">
        <f>H66+H67+H68</f>
        <v>87.742489608867118</v>
      </c>
    </row>
    <row r="79" spans="2:16" x14ac:dyDescent="0.3">
      <c r="B79" s="85" t="s">
        <v>49</v>
      </c>
      <c r="C79" s="86">
        <f>SUM(C74:C78)</f>
        <v>1422.089398147167</v>
      </c>
    </row>
    <row r="81" spans="2:15" x14ac:dyDescent="0.3">
      <c r="B81" s="87">
        <f>'B1 (Res) Branca OK'!B76</f>
        <v>2024</v>
      </c>
      <c r="C81" s="87"/>
      <c r="D81" s="87" t="s">
        <v>44</v>
      </c>
      <c r="E81" s="87" t="s">
        <v>46</v>
      </c>
      <c r="F81" s="87" t="s">
        <v>45</v>
      </c>
      <c r="G81" s="87" t="s">
        <v>50</v>
      </c>
    </row>
    <row r="82" spans="2:15" x14ac:dyDescent="0.3">
      <c r="B82" s="87" t="s">
        <v>51</v>
      </c>
      <c r="C82" s="87"/>
      <c r="D82" s="87" t="s">
        <v>52</v>
      </c>
      <c r="E82" s="87" t="s">
        <v>52</v>
      </c>
      <c r="F82" s="87" t="s">
        <v>52</v>
      </c>
      <c r="G82" s="87" t="s">
        <v>52</v>
      </c>
    </row>
    <row r="83" spans="2:15" x14ac:dyDescent="0.3">
      <c r="B83" s="87"/>
      <c r="C83" s="87"/>
      <c r="D83" s="87"/>
      <c r="E83" s="87"/>
      <c r="F83" s="87"/>
      <c r="G83" s="87"/>
    </row>
    <row r="84" spans="2:15" x14ac:dyDescent="0.3">
      <c r="B84" s="87" t="s">
        <v>53</v>
      </c>
      <c r="C84" s="87"/>
      <c r="D84" s="88">
        <f>'B1 (Res) Branca OK'!D79</f>
        <v>0.45246416638672077</v>
      </c>
      <c r="E84" s="88">
        <f>'B1 (Res) Branca OK'!E79</f>
        <v>7.39594111182032E-2</v>
      </c>
      <c r="F84" s="88">
        <f>'B1 (Res) Branca OK'!F79</f>
        <v>0.27500913257019954</v>
      </c>
      <c r="G84" s="88">
        <f>'B1 (Res) Branca OK'!G79</f>
        <v>0.19856728992487654</v>
      </c>
    </row>
    <row r="85" spans="2:15" x14ac:dyDescent="0.3">
      <c r="B85" s="87" t="s">
        <v>54</v>
      </c>
      <c r="C85" s="87"/>
      <c r="D85" s="88">
        <f>'B1 (Res) Branca OK'!D80</f>
        <v>0.53149575868436638</v>
      </c>
      <c r="E85" s="88">
        <f>'B1 (Res) Branca OK'!E80</f>
        <v>8.6877848555460851E-2</v>
      </c>
      <c r="F85" s="88">
        <f>'B1 (Res) Branca OK'!F80</f>
        <v>0.32304478104372042</v>
      </c>
      <c r="G85" s="88">
        <f>'B1 (Res) Branca OK'!G80</f>
        <v>5.8581611716452382E-2</v>
      </c>
    </row>
    <row r="86" spans="2:15" x14ac:dyDescent="0.3">
      <c r="B86" s="87" t="s">
        <v>55</v>
      </c>
      <c r="C86" s="87"/>
      <c r="D86" s="88">
        <f>'B1 (Res) Branca OK'!D81</f>
        <v>0.45246416638672077</v>
      </c>
      <c r="E86" s="88">
        <f>'B1 (Res) Branca OK'!E81</f>
        <v>7.39594111182032E-2</v>
      </c>
      <c r="F86" s="88">
        <f>'B1 (Res) Branca OK'!F81</f>
        <v>0.27500913257019954</v>
      </c>
      <c r="G86" s="88">
        <f>'B1 (Res) Branca OK'!G81</f>
        <v>0.19856728992487654</v>
      </c>
    </row>
    <row r="87" spans="2:15" x14ac:dyDescent="0.3">
      <c r="B87" s="87" t="s">
        <v>56</v>
      </c>
      <c r="C87" s="87"/>
      <c r="D87" s="88">
        <f>'B1 (Res) Branca OK'!D82</f>
        <v>0.45246416638672077</v>
      </c>
      <c r="E87" s="88">
        <f>'B1 (Res) Branca OK'!E82</f>
        <v>7.39594111182032E-2</v>
      </c>
      <c r="F87" s="88">
        <f>'B1 (Res) Branca OK'!F82</f>
        <v>0.27500913257019954</v>
      </c>
      <c r="G87" s="88">
        <f>'B1 (Res) Branca OK'!G82</f>
        <v>0.19856728992487654</v>
      </c>
      <c r="K87" s="15"/>
    </row>
    <row r="88" spans="2:15" x14ac:dyDescent="0.3">
      <c r="B88" s="87" t="s">
        <v>57</v>
      </c>
      <c r="C88" s="87"/>
      <c r="D88" s="88">
        <f>'B1 (Res) Branca OK'!D83</f>
        <v>0.45246416638672077</v>
      </c>
      <c r="E88" s="88">
        <f>'B1 (Res) Branca OK'!E83</f>
        <v>7.39594111182032E-2</v>
      </c>
      <c r="F88" s="88">
        <f>'B1 (Res) Branca OK'!F83</f>
        <v>0.27500913257019954</v>
      </c>
      <c r="G88" s="88">
        <f>'B1 (Res) Branca OK'!G83</f>
        <v>0.19856728992487654</v>
      </c>
    </row>
    <row r="89" spans="2:15" x14ac:dyDescent="0.3">
      <c r="B89" s="87" t="s">
        <v>58</v>
      </c>
      <c r="C89" s="87"/>
      <c r="D89" s="88">
        <f>'B1 (Res) Branca OK'!D84</f>
        <v>0.45246416638672077</v>
      </c>
      <c r="E89" s="88">
        <f>'B1 (Res) Branca OK'!E84</f>
        <v>7.39594111182032E-2</v>
      </c>
      <c r="F89" s="88">
        <f>'B1 (Res) Branca OK'!F84</f>
        <v>0.27500913257019954</v>
      </c>
      <c r="G89" s="88">
        <f>'B1 (Res) Branca OK'!G84</f>
        <v>0.19856728992487654</v>
      </c>
    </row>
    <row r="90" spans="2:15" x14ac:dyDescent="0.3">
      <c r="B90" s="87" t="s">
        <v>59</v>
      </c>
      <c r="C90" s="87"/>
      <c r="D90" s="88">
        <f>'B1 (Res) Branca OK'!D85</f>
        <v>0.45246416638672071</v>
      </c>
      <c r="E90" s="88">
        <f>'B1 (Res) Branca OK'!E85</f>
        <v>7.3959411118203186E-2</v>
      </c>
      <c r="F90" s="88">
        <f>'B1 (Res) Branca OK'!F85</f>
        <v>0.27500913257019949</v>
      </c>
      <c r="G90" s="88">
        <f>'B1 (Res) Branca OK'!G85</f>
        <v>0.19856728992487654</v>
      </c>
    </row>
    <row r="91" spans="2:15" x14ac:dyDescent="0.3">
      <c r="B91" s="87" t="s">
        <v>60</v>
      </c>
      <c r="C91" s="87"/>
      <c r="D91" s="88">
        <f>'B1 (Res) Branca OK'!D86</f>
        <v>0.45246416638672071</v>
      </c>
      <c r="E91" s="88">
        <f>'B1 (Res) Branca OK'!E86</f>
        <v>7.3959411118203186E-2</v>
      </c>
      <c r="F91" s="88">
        <f>'B1 (Res) Branca OK'!F86</f>
        <v>0.27500913257019949</v>
      </c>
      <c r="G91" s="88">
        <f>'B1 (Res) Branca OK'!G86</f>
        <v>0.19856728992487654</v>
      </c>
    </row>
    <row r="92" spans="2:15" x14ac:dyDescent="0.3">
      <c r="B92" s="87" t="s">
        <v>61</v>
      </c>
      <c r="C92" s="87"/>
      <c r="D92" s="88">
        <f>'B1 (Res) Branca OK'!D87</f>
        <v>0.45246416638672071</v>
      </c>
      <c r="E92" s="88">
        <f>'B1 (Res) Branca OK'!E87</f>
        <v>7.39594111182032E-2</v>
      </c>
      <c r="F92" s="88">
        <f>'B1 (Res) Branca OK'!F87</f>
        <v>0.27500913257019954</v>
      </c>
      <c r="G92" s="88">
        <f>'B1 (Res) Branca OK'!G87</f>
        <v>0.19856728992487657</v>
      </c>
      <c r="M92"/>
      <c r="N92"/>
      <c r="O92"/>
    </row>
    <row r="93" spans="2:15" x14ac:dyDescent="0.3">
      <c r="B93" s="80"/>
      <c r="C93" s="80"/>
      <c r="D93" s="80"/>
      <c r="E93" s="80"/>
      <c r="F93" s="80"/>
      <c r="G93" s="80"/>
    </row>
    <row r="94" spans="2:15" x14ac:dyDescent="0.3">
      <c r="B94" s="80"/>
      <c r="C94" s="80"/>
      <c r="D94" s="80"/>
      <c r="E94" s="80"/>
      <c r="F94" s="80"/>
      <c r="G94" s="80"/>
    </row>
    <row r="95" spans="2:15" x14ac:dyDescent="0.3">
      <c r="B95" s="80">
        <f>'B1 (Res) Branca OK'!B90</f>
        <v>2023</v>
      </c>
      <c r="C95" s="87"/>
      <c r="D95" s="87" t="s">
        <v>44</v>
      </c>
      <c r="E95" s="87" t="s">
        <v>46</v>
      </c>
      <c r="F95" s="87" t="s">
        <v>45</v>
      </c>
      <c r="G95" s="87" t="s">
        <v>50</v>
      </c>
    </row>
    <row r="96" spans="2:15" x14ac:dyDescent="0.3">
      <c r="B96" s="87" t="s">
        <v>51</v>
      </c>
      <c r="C96" s="87"/>
      <c r="D96" s="87" t="s">
        <v>52</v>
      </c>
      <c r="E96" s="87" t="s">
        <v>52</v>
      </c>
      <c r="F96" s="87" t="s">
        <v>52</v>
      </c>
      <c r="G96" s="87" t="s">
        <v>52</v>
      </c>
    </row>
    <row r="97" spans="2:7" x14ac:dyDescent="0.3">
      <c r="B97" s="87"/>
      <c r="C97" s="87"/>
      <c r="D97" s="87"/>
      <c r="E97" s="87"/>
      <c r="F97" s="87"/>
      <c r="G97" s="87"/>
    </row>
    <row r="98" spans="2:7" x14ac:dyDescent="0.3">
      <c r="B98" s="87" t="s">
        <v>53</v>
      </c>
      <c r="C98" s="87"/>
      <c r="D98" s="88">
        <f>'B1 (Res) Branca OK'!D93</f>
        <v>0.43939696077133034</v>
      </c>
      <c r="E98" s="88">
        <f>'B1 (Res) Branca OK'!E93</f>
        <v>9.2697585625348772E-2</v>
      </c>
      <c r="F98" s="88">
        <f>'B1 (Res) Branca OK'!F93</f>
        <v>0.25285207888477268</v>
      </c>
      <c r="G98" s="88">
        <f>'B1 (Res) Branca OK'!G93</f>
        <v>0.21506308252114117</v>
      </c>
    </row>
    <row r="99" spans="2:7" x14ac:dyDescent="0.3">
      <c r="B99" s="87" t="s">
        <v>54</v>
      </c>
      <c r="C99" s="87"/>
      <c r="D99" s="88">
        <f>'B1 (Res) Branca OK'!D94</f>
        <v>0.52691619996872485</v>
      </c>
      <c r="E99" s="88">
        <f>'B1 (Res) Branca OK'!E94</f>
        <v>0.11116112291319068</v>
      </c>
      <c r="F99" s="88">
        <f>'B1 (Res) Branca OK'!F94</f>
        <v>0.30321524374287334</v>
      </c>
      <c r="G99" s="88">
        <f>'B1 (Res) Branca OK'!G94</f>
        <v>5.8707433375211129E-2</v>
      </c>
    </row>
    <row r="100" spans="2:7" x14ac:dyDescent="0.3">
      <c r="B100" s="87" t="s">
        <v>55</v>
      </c>
      <c r="C100" s="87"/>
      <c r="D100" s="88">
        <f>'B1 (Res) Branca OK'!D95</f>
        <v>0.43939300245552615</v>
      </c>
      <c r="E100" s="88">
        <f>'B1 (Res) Branca OK'!E95</f>
        <v>9.2696750557401245E-2</v>
      </c>
      <c r="F100" s="88">
        <f>'B1 (Res) Branca OK'!F95</f>
        <v>0.25284980106205335</v>
      </c>
      <c r="G100" s="88">
        <f>'B1 (Res) Branca OK'!G95</f>
        <v>0.21506044592501908</v>
      </c>
    </row>
    <row r="101" spans="2:7" x14ac:dyDescent="0.3">
      <c r="B101" s="87" t="s">
        <v>56</v>
      </c>
      <c r="C101" s="87"/>
      <c r="D101" s="88">
        <f>'B1 (Res) Branca OK'!D96</f>
        <v>0.43939300245552615</v>
      </c>
      <c r="E101" s="88">
        <f>'B1 (Res) Branca OK'!E96</f>
        <v>9.2696750557401245E-2</v>
      </c>
      <c r="F101" s="88">
        <f>'B1 (Res) Branca OK'!F96</f>
        <v>0.25284980106205335</v>
      </c>
      <c r="G101" s="88">
        <f>'B1 (Res) Branca OK'!G96</f>
        <v>0.21506044592501908</v>
      </c>
    </row>
    <row r="102" spans="2:7" x14ac:dyDescent="0.3">
      <c r="B102" s="87" t="s">
        <v>57</v>
      </c>
      <c r="C102" s="87"/>
      <c r="D102" s="88">
        <f>'B1 (Res) Branca OK'!D97</f>
        <v>0.43939300245552615</v>
      </c>
      <c r="E102" s="88">
        <f>'B1 (Res) Branca OK'!E97</f>
        <v>9.2696750557401328E-2</v>
      </c>
      <c r="F102" s="88">
        <f>'B1 (Res) Branca OK'!F97</f>
        <v>0.25284980106205335</v>
      </c>
      <c r="G102" s="88">
        <f>'B1 (Res) Branca OK'!G97</f>
        <v>0.21506044592501908</v>
      </c>
    </row>
    <row r="103" spans="2:7" x14ac:dyDescent="0.3">
      <c r="B103" s="87" t="s">
        <v>58</v>
      </c>
      <c r="C103" s="87"/>
      <c r="D103" s="88">
        <f>'B1 (Res) Branca OK'!D98</f>
        <v>0.43939300245552615</v>
      </c>
      <c r="E103" s="88">
        <f>'B1 (Res) Branca OK'!E98</f>
        <v>9.2696750557401328E-2</v>
      </c>
      <c r="F103" s="88">
        <f>'B1 (Res) Branca OK'!F98</f>
        <v>0.25284980106205335</v>
      </c>
      <c r="G103" s="88">
        <f>'B1 (Res) Branca OK'!G98</f>
        <v>0.21506044592501908</v>
      </c>
    </row>
    <row r="104" spans="2:7" x14ac:dyDescent="0.3">
      <c r="B104" s="87" t="s">
        <v>59</v>
      </c>
      <c r="C104" s="87"/>
      <c r="D104" s="88">
        <f>'B1 (Res) Branca OK'!D99</f>
        <v>0</v>
      </c>
      <c r="E104" s="88">
        <f>'B1 (Res) Branca OK'!E99</f>
        <v>0</v>
      </c>
      <c r="F104" s="88">
        <f>'B1 (Res) Branca OK'!F99</f>
        <v>0</v>
      </c>
      <c r="G104" s="88">
        <f>'B1 (Res) Branca OK'!G99</f>
        <v>0</v>
      </c>
    </row>
    <row r="105" spans="2:7" x14ac:dyDescent="0.3">
      <c r="B105" s="87" t="s">
        <v>60</v>
      </c>
      <c r="C105" s="87"/>
      <c r="D105" s="88">
        <f>'B1 (Res) Branca OK'!D100</f>
        <v>0.43938945729126549</v>
      </c>
      <c r="E105" s="88">
        <f>'B1 (Res) Branca OK'!E100</f>
        <v>9.2697336752737058E-2</v>
      </c>
      <c r="F105" s="88">
        <f>'B1 (Res) Branca OK'!F100</f>
        <v>0.25285140003260154</v>
      </c>
      <c r="G105" s="88">
        <f>'B1 (Res) Branca OK'!G100</f>
        <v>0.21506180592339591</v>
      </c>
    </row>
    <row r="106" spans="2:7" x14ac:dyDescent="0.3">
      <c r="B106" s="87" t="s">
        <v>61</v>
      </c>
      <c r="C106" s="87"/>
      <c r="D106" s="88">
        <f>'B1 (Res) Branca OK'!D101</f>
        <v>0.43938945729126527</v>
      </c>
      <c r="E106" s="88">
        <f>'B1 (Res) Branca OK'!E101</f>
        <v>9.2697336752736934E-2</v>
      </c>
      <c r="F106" s="88">
        <f>'B1 (Res) Branca OK'!F101</f>
        <v>0.25285140003260193</v>
      </c>
      <c r="G106" s="88">
        <f>'B1 (Res) Branca OK'!G101</f>
        <v>0.21506180592339585</v>
      </c>
    </row>
    <row r="107" spans="2:7" x14ac:dyDescent="0.3">
      <c r="B107" s="80"/>
      <c r="C107" s="80"/>
      <c r="D107" s="80"/>
      <c r="E107" s="80"/>
      <c r="F107" s="80"/>
      <c r="G107" s="80"/>
    </row>
    <row r="108" spans="2:7" x14ac:dyDescent="0.3">
      <c r="B108" s="89" t="s">
        <v>66</v>
      </c>
      <c r="C108" s="80"/>
      <c r="D108" s="80"/>
      <c r="E108" s="80"/>
      <c r="F108" s="80"/>
      <c r="G108" s="80"/>
    </row>
    <row r="109" spans="2:7" x14ac:dyDescent="0.3">
      <c r="B109" s="87"/>
      <c r="C109" s="87"/>
      <c r="D109" s="87" t="s">
        <v>44</v>
      </c>
      <c r="E109" s="87" t="s">
        <v>46</v>
      </c>
      <c r="F109" s="87" t="s">
        <v>45</v>
      </c>
      <c r="G109" s="87" t="s">
        <v>50</v>
      </c>
    </row>
    <row r="110" spans="2:7" x14ac:dyDescent="0.3">
      <c r="B110" s="87" t="s">
        <v>51</v>
      </c>
      <c r="C110" s="87"/>
      <c r="D110" s="88" t="s">
        <v>52</v>
      </c>
      <c r="E110" s="88" t="s">
        <v>52</v>
      </c>
      <c r="F110" s="88" t="s">
        <v>52</v>
      </c>
      <c r="G110" s="88" t="s">
        <v>52</v>
      </c>
    </row>
    <row r="111" spans="2:7" x14ac:dyDescent="0.3">
      <c r="B111" s="87"/>
      <c r="C111" s="87"/>
      <c r="D111" s="88"/>
      <c r="E111" s="88"/>
      <c r="F111" s="88"/>
      <c r="G111" s="88"/>
    </row>
    <row r="112" spans="2:7" x14ac:dyDescent="0.3">
      <c r="B112" s="87" t="s">
        <v>53</v>
      </c>
      <c r="C112" s="87"/>
      <c r="D112" s="88">
        <f t="shared" ref="D112:G120" si="13">((D98*$C$46)+(D84*$D$46))/($C$46+$D$46)</f>
        <v>0.44549499005851251</v>
      </c>
      <c r="E112" s="88">
        <f t="shared" si="13"/>
        <v>8.3953104188680835E-2</v>
      </c>
      <c r="F112" s="88">
        <f t="shared" si="13"/>
        <v>0.26319203727130519</v>
      </c>
      <c r="G112" s="88">
        <f t="shared" si="13"/>
        <v>0.20736504597621769</v>
      </c>
    </row>
    <row r="113" spans="2:7" x14ac:dyDescent="0.3">
      <c r="B113" s="87" t="s">
        <v>54</v>
      </c>
      <c r="C113" s="87"/>
      <c r="D113" s="88">
        <f t="shared" si="13"/>
        <v>0.52905332736935751</v>
      </c>
      <c r="E113" s="88">
        <f t="shared" si="13"/>
        <v>9.9828928212916751E-2</v>
      </c>
      <c r="F113" s="88">
        <f t="shared" si="13"/>
        <v>0.31246902781660196</v>
      </c>
      <c r="G113" s="88">
        <f t="shared" si="13"/>
        <v>5.8648716601123717E-2</v>
      </c>
    </row>
    <row r="114" spans="2:7" x14ac:dyDescent="0.3">
      <c r="B114" s="87" t="s">
        <v>55</v>
      </c>
      <c r="C114" s="87"/>
      <c r="D114" s="88">
        <f t="shared" si="13"/>
        <v>0.44549287895675033</v>
      </c>
      <c r="E114" s="88">
        <f t="shared" si="13"/>
        <v>8.3952658819108836E-2</v>
      </c>
      <c r="F114" s="88">
        <f t="shared" si="13"/>
        <v>0.26319082243252157</v>
      </c>
      <c r="G114" s="88">
        <f t="shared" si="13"/>
        <v>0.20736363979161923</v>
      </c>
    </row>
    <row r="115" spans="2:7" x14ac:dyDescent="0.3">
      <c r="B115" s="87" t="s">
        <v>56</v>
      </c>
      <c r="C115" s="87"/>
      <c r="D115" s="88">
        <f t="shared" si="13"/>
        <v>0.44549287895675033</v>
      </c>
      <c r="E115" s="88">
        <f t="shared" si="13"/>
        <v>8.3952658819108836E-2</v>
      </c>
      <c r="F115" s="88">
        <f t="shared" si="13"/>
        <v>0.26319082243252157</v>
      </c>
      <c r="G115" s="88">
        <f t="shared" si="13"/>
        <v>0.20736363979161923</v>
      </c>
    </row>
    <row r="116" spans="2:7" x14ac:dyDescent="0.3">
      <c r="B116" s="87" t="s">
        <v>57</v>
      </c>
      <c r="C116" s="87"/>
      <c r="D116" s="88">
        <f t="shared" si="13"/>
        <v>0.44549287895675033</v>
      </c>
      <c r="E116" s="88">
        <f t="shared" si="13"/>
        <v>8.3952658819108864E-2</v>
      </c>
      <c r="F116" s="88">
        <f t="shared" si="13"/>
        <v>0.26319082243252157</v>
      </c>
      <c r="G116" s="88">
        <f t="shared" si="13"/>
        <v>0.20736363979161923</v>
      </c>
    </row>
    <row r="117" spans="2:7" x14ac:dyDescent="0.3">
      <c r="B117" s="87" t="s">
        <v>58</v>
      </c>
      <c r="C117" s="87"/>
      <c r="D117" s="88">
        <f t="shared" si="13"/>
        <v>0.44549287895675033</v>
      </c>
      <c r="E117" s="88">
        <f t="shared" si="13"/>
        <v>8.3952658819108864E-2</v>
      </c>
      <c r="F117" s="88">
        <f t="shared" si="13"/>
        <v>0.26319082243252157</v>
      </c>
      <c r="G117" s="88">
        <f t="shared" si="13"/>
        <v>0.20736363979161923</v>
      </c>
    </row>
    <row r="118" spans="2:7" x14ac:dyDescent="0.3">
      <c r="B118" s="87" t="s">
        <v>59</v>
      </c>
      <c r="C118" s="87"/>
      <c r="D118" s="88">
        <f t="shared" si="13"/>
        <v>0.21114994431380299</v>
      </c>
      <c r="E118" s="88">
        <f t="shared" si="13"/>
        <v>3.4514391855161489E-2</v>
      </c>
      <c r="F118" s="88">
        <f t="shared" si="13"/>
        <v>0.12833759519942642</v>
      </c>
      <c r="G118" s="88">
        <f t="shared" si="13"/>
        <v>9.2664735298275722E-2</v>
      </c>
    </row>
    <row r="119" spans="2:7" x14ac:dyDescent="0.3">
      <c r="B119" s="87" t="s">
        <v>60</v>
      </c>
      <c r="C119" s="87"/>
      <c r="D119" s="88">
        <f t="shared" si="13"/>
        <v>0.4454909882024779</v>
      </c>
      <c r="E119" s="88">
        <f t="shared" si="13"/>
        <v>8.3952971456621242E-2</v>
      </c>
      <c r="F119" s="88">
        <f t="shared" si="13"/>
        <v>0.26319167521681391</v>
      </c>
      <c r="G119" s="88">
        <f t="shared" si="13"/>
        <v>0.20736436512408687</v>
      </c>
    </row>
    <row r="120" spans="2:7" x14ac:dyDescent="0.3">
      <c r="B120" s="87" t="s">
        <v>61</v>
      </c>
      <c r="C120" s="87"/>
      <c r="D120" s="88">
        <f t="shared" si="13"/>
        <v>0.44549098820247779</v>
      </c>
      <c r="E120" s="88">
        <f t="shared" si="13"/>
        <v>8.3952971456621187E-2</v>
      </c>
      <c r="F120" s="88">
        <f t="shared" si="13"/>
        <v>0.26319167521681414</v>
      </c>
      <c r="G120" s="88">
        <f t="shared" si="13"/>
        <v>0.20736436512408687</v>
      </c>
    </row>
  </sheetData>
  <mergeCells count="12">
    <mergeCell ref="R4:T4"/>
    <mergeCell ref="U4:W4"/>
    <mergeCell ref="X4:Z4"/>
    <mergeCell ref="K12:L12"/>
    <mergeCell ref="K43:L43"/>
    <mergeCell ref="Q4:Q5"/>
    <mergeCell ref="B48:H48"/>
    <mergeCell ref="H2:I2"/>
    <mergeCell ref="B4:B5"/>
    <mergeCell ref="C4:E4"/>
    <mergeCell ref="F4:H4"/>
    <mergeCell ref="I4:K4"/>
  </mergeCells>
  <conditionalFormatting sqref="K13:L13">
    <cfRule type="cellIs" dxfId="46" priority="1" operator="equal">
      <formula>"Escassez Hídrica"</formula>
    </cfRule>
    <cfRule type="cellIs" dxfId="45" priority="2" operator="equal">
      <formula>"VERDE"</formula>
    </cfRule>
    <cfRule type="cellIs" dxfId="44" priority="3" operator="equal">
      <formula>"BVM2"</formula>
    </cfRule>
    <cfRule type="cellIs" dxfId="43" priority="4" operator="equal">
      <formula>"BVM1"</formula>
    </cfRule>
    <cfRule type="cellIs" dxfId="42" priority="5" operator="equal">
      <formula>"BAM"</formula>
    </cfRule>
  </conditionalFormatting>
  <conditionalFormatting sqref="K44:L44">
    <cfRule type="cellIs" dxfId="41" priority="6" operator="equal">
      <formula>"Escassez Hídrica"</formula>
    </cfRule>
    <cfRule type="cellIs" dxfId="40" priority="7" operator="equal">
      <formula>"VERDE"</formula>
    </cfRule>
    <cfRule type="cellIs" dxfId="39" priority="8" operator="equal">
      <formula>"BVM2"</formula>
    </cfRule>
    <cfRule type="cellIs" dxfId="38" priority="9" operator="equal">
      <formula>"BVM1"</formula>
    </cfRule>
    <cfRule type="cellIs" dxfId="37" priority="10" operator="equal">
      <formula>"BAM"</formula>
    </cfRule>
  </conditionalFormatting>
  <conditionalFormatting sqref="M3">
    <cfRule type="cellIs" dxfId="36" priority="16" operator="equal">
      <formula>"VERDE"</formula>
    </cfRule>
    <cfRule type="cellIs" dxfId="35" priority="17" operator="equal">
      <formula>"BVM2"</formula>
    </cfRule>
    <cfRule type="cellIs" dxfId="34" priority="18" operator="equal">
      <formula>"BVM1"</formula>
    </cfRule>
    <cfRule type="cellIs" dxfId="33" priority="19" operator="equal">
      <formula>"BAM"</formula>
    </cfRule>
  </conditionalFormatting>
  <conditionalFormatting sqref="M7">
    <cfRule type="containsText" dxfId="32" priority="11" operator="containsText" text="Escassez Hídrica">
      <formula>NOT(ISERROR(SEARCH("Escassez Hídrica",M7)))</formula>
    </cfRule>
    <cfRule type="cellIs" dxfId="31" priority="12" operator="equal">
      <formula>"VERDE"</formula>
    </cfRule>
    <cfRule type="cellIs" dxfId="30" priority="13" operator="equal">
      <formula>"BVM2"</formula>
    </cfRule>
    <cfRule type="cellIs" dxfId="29" priority="14" operator="equal">
      <formula>"BVM1"</formula>
    </cfRule>
    <cfRule type="cellIs" dxfId="28" priority="15" operator="equal">
      <formula>"BAM"</formula>
    </cfRule>
  </conditionalFormatting>
  <dataValidations count="1">
    <dataValidation type="list" allowBlank="1" showInputMessage="1" showErrorMessage="1" sqref="K44:L44 K13:L13" xr:uid="{07B81681-CA48-44AE-B486-BC2ADC83F33B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D894-9FBE-4989-980B-8039369C9D7D}">
  <dimension ref="A1:AB114"/>
  <sheetViews>
    <sheetView showGridLines="0" topLeftCell="A15" zoomScale="80" zoomScaleNormal="80" workbookViewId="0">
      <selection activeCell="F14" sqref="F14"/>
    </sheetView>
  </sheetViews>
  <sheetFormatPr defaultColWidth="9.109375" defaultRowHeight="14.4" x14ac:dyDescent="0.3"/>
  <cols>
    <col min="1" max="1" width="5.44140625" style="14" customWidth="1"/>
    <col min="2" max="2" width="28.33203125" style="14" customWidth="1"/>
    <col min="3" max="10" width="12.6640625" style="14" customWidth="1"/>
    <col min="11" max="12" width="14.33203125" style="14" customWidth="1"/>
    <col min="13" max="16" width="12.6640625" style="14" customWidth="1"/>
    <col min="17" max="17" width="9.44140625" style="14" bestFit="1" customWidth="1"/>
    <col min="18" max="18" width="12.109375" style="14" bestFit="1" customWidth="1"/>
    <col min="19" max="19" width="13.109375" style="14" customWidth="1"/>
    <col min="20" max="20" width="11.3320312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26" width="11.33203125" style="14" bestFit="1" customWidth="1"/>
    <col min="27" max="16384" width="9.109375" style="14"/>
  </cols>
  <sheetData>
    <row r="1" spans="1:28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8" ht="18" x14ac:dyDescent="0.3">
      <c r="B2" s="17" t="s">
        <v>185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8" x14ac:dyDescent="0.3">
      <c r="M3" s="20" t="s">
        <v>22</v>
      </c>
      <c r="N3" s="165">
        <f>'B1 (Res) Branca OK'!N3</f>
        <v>0</v>
      </c>
    </row>
    <row r="4" spans="1:28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  <c r="X4" s="279" t="s">
        <v>69</v>
      </c>
      <c r="Y4" s="280"/>
      <c r="Z4" s="281"/>
    </row>
    <row r="5" spans="1:28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  <c r="Z5"/>
    </row>
    <row r="6" spans="1:28" x14ac:dyDescent="0.3">
      <c r="B6" s="27" t="s">
        <v>146</v>
      </c>
      <c r="C6" s="28">
        <f>'TABELA DE TARIFAS ANTIGAS'!G85/1000</f>
        <v>0.46862999999999999</v>
      </c>
      <c r="D6" s="28">
        <f>'TABELA DE TARIFAS ANTIGAS'!H85/1000</f>
        <v>0.32068000000000002</v>
      </c>
      <c r="E6" s="28">
        <f t="shared" ref="E6:E8" si="0">C6+D6</f>
        <v>0.78930999999999996</v>
      </c>
      <c r="F6" s="28">
        <f>'TABELA DE TARIFAS NOVAS'!G87/1000</f>
        <v>0.50631999999999999</v>
      </c>
      <c r="G6" s="28">
        <f>'TABELA DE TARIFAS NOVAS'!H87/1000</f>
        <v>0.33738999999999997</v>
      </c>
      <c r="H6" s="28">
        <f t="shared" ref="H6:H8" si="1">F6+G6</f>
        <v>0.84370999999999996</v>
      </c>
      <c r="I6" s="28">
        <f t="shared" ref="I6:J10" si="2">((C6*$C$15)+(F6*$D$15))/($D$15+$C$15)</f>
        <v>-0.5745319354838696</v>
      </c>
      <c r="J6" s="28">
        <f t="shared" si="2"/>
        <v>-0.14180967741935452</v>
      </c>
      <c r="K6" s="29">
        <f t="shared" ref="K6:K8" si="3">I6+J6</f>
        <v>-0.71634161290322407</v>
      </c>
      <c r="M6" s="7" t="s">
        <v>37</v>
      </c>
      <c r="N6" s="8">
        <f>'B1 (Res) Branca OK'!N6</f>
        <v>7.8770000000000007E-2</v>
      </c>
      <c r="Q6" s="27" t="str">
        <f>B6</f>
        <v>B3 Ponta</v>
      </c>
      <c r="R6" s="28">
        <f>'FIO B'!H29/1000</f>
        <v>0.20383072193179136</v>
      </c>
      <c r="S6"/>
      <c r="T6"/>
      <c r="U6" s="28">
        <f>'FIO B'!K29/1000</f>
        <v>0.20915159219558199</v>
      </c>
      <c r="V6"/>
      <c r="W6"/>
      <c r="X6" s="28">
        <f>((R6*$C$15)+(U6*$D$15))/($D$15+$C$15)</f>
        <v>5.6562764308166022E-2</v>
      </c>
      <c r="Y6"/>
      <c r="Z6"/>
    </row>
    <row r="7" spans="1:28" customFormat="1" x14ac:dyDescent="0.3">
      <c r="B7" s="27" t="s">
        <v>147</v>
      </c>
      <c r="C7" s="28">
        <f>'TABELA DE TARIFAS ANTIGAS'!G87/1000</f>
        <v>0.72533999999999998</v>
      </c>
      <c r="D7" s="28">
        <f>'TABELA DE TARIFAS ANTIGAS'!H87/1000</f>
        <v>0.30579000000000001</v>
      </c>
      <c r="E7" s="28">
        <f t="shared" si="0"/>
        <v>1.0311300000000001</v>
      </c>
      <c r="F7" s="28">
        <f>'TABELA DE TARIFAS NOVAS'!G89/1000</f>
        <v>0.77600999999999998</v>
      </c>
      <c r="G7" s="28">
        <f>'TABELA DE TARIFAS NOVAS'!H89/1000</f>
        <v>0.32106999999999997</v>
      </c>
      <c r="H7" s="28">
        <f t="shared" si="1"/>
        <v>1.0970800000000001</v>
      </c>
      <c r="I7" s="28">
        <f t="shared" si="2"/>
        <v>-0.67707483870967444</v>
      </c>
      <c r="J7" s="28">
        <f t="shared" si="2"/>
        <v>-0.11712096774193477</v>
      </c>
      <c r="K7" s="29">
        <f t="shared" si="3"/>
        <v>-0.79419580645160925</v>
      </c>
      <c r="M7" s="20" t="s">
        <v>149</v>
      </c>
      <c r="N7" s="142">
        <f>'B1 (Res) Branca OK'!N7</f>
        <v>0.14199999999999999</v>
      </c>
      <c r="Q7" s="27" t="str">
        <f t="shared" ref="Q7:Q8" si="4">B7</f>
        <v>B3 Fora Ponta</v>
      </c>
      <c r="R7" s="28">
        <f>'FIO B'!H31/1000</f>
        <v>0.69302445456809059</v>
      </c>
      <c r="U7" s="28">
        <f>'FIO B'!K31/1000</f>
        <v>0.71111541346497797</v>
      </c>
      <c r="X7" s="28">
        <f>((R7*$C$15)+(U7*$D$15))/($D$15+$C$15)</f>
        <v>0.19231339864778685</v>
      </c>
      <c r="AA7" s="14"/>
      <c r="AB7" s="14"/>
    </row>
    <row r="8" spans="1:28" customFormat="1" x14ac:dyDescent="0.3">
      <c r="B8" s="27" t="s">
        <v>148</v>
      </c>
      <c r="C8" s="28">
        <f>'TABELA DE TARIFAS ANTIGAS'!G86/1000</f>
        <v>1.0610299999999999</v>
      </c>
      <c r="D8" s="28">
        <f>'TABELA DE TARIFAS ANTIGAS'!H86/1000</f>
        <v>0.48448000000000002</v>
      </c>
      <c r="E8" s="28">
        <f t="shared" si="0"/>
        <v>1.5455099999999999</v>
      </c>
      <c r="F8" s="28">
        <f>'TABELA DE TARIFAS NOVAS'!G88/1000</f>
        <v>1.1286700000000001</v>
      </c>
      <c r="G8" s="28">
        <f>'TABELA DE TARIFAS NOVAS'!H88/1000</f>
        <v>0.51690999999999998</v>
      </c>
      <c r="H8" s="28">
        <f t="shared" si="1"/>
        <v>1.64558</v>
      </c>
      <c r="I8" s="28">
        <f t="shared" si="2"/>
        <v>-0.81107064516129412</v>
      </c>
      <c r="J8" s="28">
        <f t="shared" si="2"/>
        <v>-0.41309870967741941</v>
      </c>
      <c r="K8" s="29">
        <f t="shared" si="3"/>
        <v>-1.2241693548387136</v>
      </c>
      <c r="Q8" s="27" t="str">
        <f t="shared" si="4"/>
        <v>B3 Interm.</v>
      </c>
      <c r="R8" s="28">
        <f>'FIO B'!H30/1000</f>
        <v>0.20383072193179136</v>
      </c>
      <c r="U8" s="28">
        <f>'FIO B'!K30/1000</f>
        <v>0.20915159219558199</v>
      </c>
      <c r="X8" s="28">
        <f>((R8*$C$15)+(U8*$D$15))/($D$15+$C$15)</f>
        <v>5.6562764308166022E-2</v>
      </c>
      <c r="AA8" s="14"/>
      <c r="AB8" s="14"/>
    </row>
    <row r="9" spans="1:28" customFormat="1" x14ac:dyDescent="0.3">
      <c r="B9" s="27" t="s">
        <v>11</v>
      </c>
      <c r="C9" s="28">
        <f>'TABELA DE TARIFAS ANTIGAS'!G71/1000</f>
        <v>0.46862999999999999</v>
      </c>
      <c r="D9" s="28">
        <f>'TABELA DE TARIFAS ANTIGAS'!H71/1000</f>
        <v>0.32068000000000002</v>
      </c>
      <c r="E9" s="28">
        <f t="shared" ref="E9" si="5">C9+D9</f>
        <v>0.78930999999999996</v>
      </c>
      <c r="F9" s="28">
        <f>'TABELA DE TARIFAS NOVAS'!G73/1000</f>
        <v>0.50631999999999999</v>
      </c>
      <c r="G9" s="28">
        <f>'TABELA DE TARIFAS NOVAS'!H73/1000</f>
        <v>0.33738999999999997</v>
      </c>
      <c r="H9" s="28">
        <f>F9+G9</f>
        <v>0.84370999999999996</v>
      </c>
      <c r="I9" s="28">
        <f t="shared" si="2"/>
        <v>-0.5745319354838696</v>
      </c>
      <c r="J9" s="28">
        <f t="shared" si="2"/>
        <v>-0.14180967741935452</v>
      </c>
      <c r="K9" s="29">
        <f>I9+J9</f>
        <v>-0.71634161290322407</v>
      </c>
      <c r="AA9" s="14"/>
      <c r="AB9" s="14"/>
    </row>
    <row r="10" spans="1:28" x14ac:dyDescent="0.3">
      <c r="B10" s="184" t="s">
        <v>182</v>
      </c>
      <c r="C10" s="29">
        <f>'B1 (Res) Branca OK'!C9</f>
        <v>1.8774721494831901E-4</v>
      </c>
      <c r="D10" s="29">
        <f>'B1 (Res) Branca OK'!D9</f>
        <v>-4.4031307414479802E-3</v>
      </c>
      <c r="E10" s="29">
        <f>SUM(C10+D10)</f>
        <v>-4.2153835264996612E-3</v>
      </c>
      <c r="F10" s="29">
        <f>T13</f>
        <v>1.7567285996534902E-4</v>
      </c>
      <c r="G10" s="29">
        <f>U13</f>
        <v>3.42973552660492E-3</v>
      </c>
      <c r="H10" s="29">
        <f>F10+G10</f>
        <v>3.6054083865702689E-3</v>
      </c>
      <c r="I10" s="28">
        <f t="shared" si="2"/>
        <v>5.219342012511653E-4</v>
      </c>
      <c r="J10" s="28">
        <f t="shared" si="2"/>
        <v>-0.22119665519271858</v>
      </c>
      <c r="K10" s="29">
        <f>I10+J10</f>
        <v>-0.22067472099146743</v>
      </c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  <c r="Z10" s="16"/>
    </row>
    <row r="11" spans="1:28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v>45352</v>
      </c>
      <c r="P11" s="173" t="s">
        <v>179</v>
      </c>
      <c r="Q11" s="174"/>
      <c r="R11" s="175"/>
      <c r="S11" s="175"/>
      <c r="T11" s="176"/>
      <c r="U11" s="176"/>
    </row>
    <row r="12" spans="1:28" x14ac:dyDescent="0.3">
      <c r="B12" s="34" t="s">
        <v>34</v>
      </c>
      <c r="C12" s="240">
        <v>1787048</v>
      </c>
      <c r="E12" s="16"/>
      <c r="F12" s="16"/>
      <c r="G12" s="16"/>
      <c r="H12" s="35">
        <f>E15</f>
        <v>45382</v>
      </c>
      <c r="K12" s="198" t="s">
        <v>72</v>
      </c>
      <c r="L12" s="198"/>
      <c r="P12" s="177" t="s">
        <v>180</v>
      </c>
      <c r="Q12" s="178"/>
      <c r="R12" s="179"/>
      <c r="S12" s="179"/>
      <c r="T12" s="180"/>
      <c r="U12" s="196">
        <f>5.61/1000</f>
        <v>5.6100000000000004E-3</v>
      </c>
    </row>
    <row r="13" spans="1:28" x14ac:dyDescent="0.3">
      <c r="B13" s="36"/>
      <c r="H13" s="37"/>
      <c r="K13" s="20" t="s">
        <v>22</v>
      </c>
      <c r="L13" s="20" t="s">
        <v>22</v>
      </c>
      <c r="P13" s="181" t="s">
        <v>181</v>
      </c>
      <c r="Q13" s="182"/>
      <c r="R13" s="183"/>
      <c r="S13" s="183"/>
      <c r="T13" s="197">
        <f>0.175672859965349/1000</f>
        <v>1.7567285996534902E-4</v>
      </c>
      <c r="U13" s="196">
        <f>3.42973552660492/1000</f>
        <v>3.42973552660492E-3</v>
      </c>
    </row>
    <row r="14" spans="1:28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8" x14ac:dyDescent="0.3">
      <c r="B15" s="40">
        <v>45351</v>
      </c>
      <c r="C15" s="41">
        <f>IF((F2-B15-1)&lt;0,0,(F2-B15-1))</f>
        <v>889</v>
      </c>
      <c r="D15" s="41">
        <f>E15-F2+1</f>
        <v>-858</v>
      </c>
      <c r="E15" s="40">
        <v>45382</v>
      </c>
      <c r="F15" s="42"/>
      <c r="G15" s="42"/>
      <c r="H15" s="43"/>
      <c r="J15" s="44">
        <f>B15</f>
        <v>45351</v>
      </c>
      <c r="K15" s="45">
        <f>IF((M11-J15-1)&lt;0,0,(M11-J15-1))</f>
        <v>0</v>
      </c>
      <c r="L15" s="45">
        <f>M15-M11+1</f>
        <v>31</v>
      </c>
      <c r="M15" s="44">
        <f>E15</f>
        <v>45382</v>
      </c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23.94</v>
      </c>
      <c r="E19" s="208">
        <f>(ROUND(D19*K19,2)+ROUND(G19,2)+ROUND(J19,2))/ROUND(D19,4)</f>
        <v>0.59314954051796154</v>
      </c>
      <c r="F19" s="209">
        <f>ROUND(D19*E19,2)</f>
        <v>14.2</v>
      </c>
      <c r="G19" s="209">
        <f>((D19*K19)/(1-$N$19-$N$20))*($N$19+$N$20)</f>
        <v>0.56566397647058819</v>
      </c>
      <c r="H19" s="210">
        <f>ROUND((D19*K19)/(1-$N$19-$N$20)/(1-$I$19),8)</f>
        <v>14.198392979999999</v>
      </c>
      <c r="I19" s="211">
        <v>0.17</v>
      </c>
      <c r="J19" s="210">
        <f>H19*$I$19</f>
        <v>2.4137268066000002</v>
      </c>
      <c r="K19" s="208">
        <f>IF(AND($B$15&lt;$F$2,$E$15&lt;$F$2),C6,IF($B$15&lt;$F$2,I6,F6))</f>
        <v>0.46862999999999999</v>
      </c>
      <c r="L19" s="47" t="s">
        <v>27</v>
      </c>
      <c r="M19" s="209">
        <f>D60</f>
        <v>5453.8550420168058</v>
      </c>
      <c r="N19" s="212">
        <v>8.5000000000000006E-3</v>
      </c>
      <c r="O19" s="213">
        <f>ROUND(M19*N19,2)</f>
        <v>46.36</v>
      </c>
      <c r="P19" s="16"/>
      <c r="Q19" s="16"/>
      <c r="R19" s="230"/>
      <c r="S19" s="231"/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20.3</v>
      </c>
      <c r="E20" s="208">
        <f>(ROUND(D20*K20,2)+ROUND(G20,2)+ROUND(J20,2))/ROUND(D20,4)</f>
        <v>1.3428571428571427</v>
      </c>
      <c r="F20" s="209">
        <f t="shared" ref="F20:F28" si="6">ROUND(D20*E20,2)</f>
        <v>27.26</v>
      </c>
      <c r="G20" s="209">
        <f>((D20*K20)/(1-$N$19-$N$20))*($N$19+$N$20)</f>
        <v>1.0859954117647057</v>
      </c>
      <c r="H20" s="210">
        <f>ROUND((D20*K20)/(1-$N$19-$N$20)/(1-$I$19),8)</f>
        <v>27.258920979999999</v>
      </c>
      <c r="I20" s="211">
        <f>I19</f>
        <v>0.17</v>
      </c>
      <c r="J20" s="210">
        <f t="shared" ref="J20:J28" si="7">H20*$I$19</f>
        <v>4.6340165666000006</v>
      </c>
      <c r="K20" s="208">
        <f>IF(AND($B$15&lt;$F$2,$E$15&lt;$F$2),C8,IF($B$15&lt;$F$2,I8,F8))</f>
        <v>1.0610299999999999</v>
      </c>
      <c r="L20" s="47" t="s">
        <v>19</v>
      </c>
      <c r="M20" s="209">
        <f>M19</f>
        <v>5453.8550420168058</v>
      </c>
      <c r="N20" s="212">
        <v>3.95E-2</v>
      </c>
      <c r="O20" s="213">
        <f>ROUND(M20*N20,2)</f>
        <v>215.43</v>
      </c>
      <c r="P20" s="16"/>
      <c r="Q20" s="16"/>
      <c r="R20" s="230"/>
      <c r="S20" s="231"/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4981.8999999999996</v>
      </c>
      <c r="E21" s="208">
        <f t="shared" ref="E21" si="8">(ROUND(D21*K21,2)+ROUND(G21,2)+ROUND(J21,2))/ROUND(D21,4)</f>
        <v>0.91796704068728807</v>
      </c>
      <c r="F21" s="209">
        <f t="shared" si="6"/>
        <v>4573.22</v>
      </c>
      <c r="G21" s="209">
        <f>((D21*K21)/(1-$N$19-$N$20))*($N$19+$N$20)</f>
        <v>182.19687458823526</v>
      </c>
      <c r="H21" s="210">
        <f>ROUND((D21*K21)/(1-$N$19-$N$20)/(1-$I$19),8)</f>
        <v>4573.2147236000001</v>
      </c>
      <c r="I21" s="211">
        <f>I19</f>
        <v>0.17</v>
      </c>
      <c r="J21" s="210">
        <f t="shared" si="7"/>
        <v>777.44650301200011</v>
      </c>
      <c r="K21" s="208">
        <f>IF(AND($B$15&lt;$F$2,$E$15&lt;$F$2),C7,IF($B$15&lt;$F$2,I7,F7))</f>
        <v>0.72533999999999998</v>
      </c>
      <c r="L21" s="226"/>
      <c r="M21" s="227"/>
      <c r="N21" s="228"/>
      <c r="O21" s="229"/>
      <c r="P21" s="16"/>
      <c r="Q21" s="16"/>
      <c r="R21" s="230"/>
      <c r="S21" s="231"/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23.94</v>
      </c>
      <c r="E22" s="208">
        <f>(ROUND(D22*K22,2)+ROUND(G22,2)+ROUND(J22,2))/ROUND(D22,4)</f>
        <v>0.40601503759398494</v>
      </c>
      <c r="F22" s="209">
        <f t="shared" si="6"/>
        <v>9.7200000000000006</v>
      </c>
      <c r="G22" s="209">
        <f>((D22*K22)/(1-$N$19-$N$20))*($N$19+$N$20)</f>
        <v>0.38707962352941183</v>
      </c>
      <c r="H22" s="210">
        <f>(D22*K22)/(1-$N$19-$N$20)/(1-$I$19)</f>
        <v>9.7158540042523054</v>
      </c>
      <c r="I22" s="205"/>
      <c r="J22" s="210">
        <f t="shared" si="7"/>
        <v>1.6516951807228921</v>
      </c>
      <c r="K22" s="208">
        <f>IF(AND($B$15&lt;$F$2,$E$15&lt;$F$2),D6,IF($B$15&lt;$F$2,J6,G6))</f>
        <v>0.32068000000000002</v>
      </c>
      <c r="L22" s="226"/>
      <c r="M22" s="227"/>
      <c r="N22" s="228"/>
      <c r="O22" s="229"/>
      <c r="P22" s="16"/>
      <c r="Q22" s="16"/>
      <c r="R22" s="16"/>
      <c r="S22" s="16"/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20.3</v>
      </c>
      <c r="E23" s="208">
        <f t="shared" ref="E23:E24" si="9">(ROUND(D23*K23,2)+ROUND(G23,2)+ROUND(J23,2))/ROUND(D23,4)</f>
        <v>0.61330049261083741</v>
      </c>
      <c r="F23" s="209">
        <f t="shared" si="6"/>
        <v>12.45</v>
      </c>
      <c r="G23" s="209">
        <f t="shared" ref="G23:G24" si="10">((D23*K23)/(1-$N$19-$N$20))*($N$19+$N$20)</f>
        <v>0.49587952941176472</v>
      </c>
      <c r="H23" s="210">
        <f t="shared" ref="H23:H24" si="11">(D23*K23)/(1-$N$19-$N$20)/(1-$I$19)</f>
        <v>12.44677533664068</v>
      </c>
      <c r="I23" s="205"/>
      <c r="J23" s="210">
        <f t="shared" si="7"/>
        <v>2.1159518072289156</v>
      </c>
      <c r="K23" s="208">
        <f>IF(AND($B$15&lt;$F$2,$E$15&lt;$F$2),D8,IF($B$15&lt;$F$2,J8,G8))</f>
        <v>0.48448000000000002</v>
      </c>
      <c r="L23" s="226"/>
      <c r="M23" s="227"/>
      <c r="N23" s="228"/>
      <c r="O23" s="229"/>
      <c r="P23" s="16"/>
      <c r="Q23" s="16"/>
      <c r="R23" s="16"/>
      <c r="S23" s="16"/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4981.8999999999996</v>
      </c>
      <c r="E24" s="208">
        <f t="shared" si="9"/>
        <v>0.38699893614885889</v>
      </c>
      <c r="F24" s="209">
        <f t="shared" si="6"/>
        <v>1927.99</v>
      </c>
      <c r="G24" s="209">
        <f t="shared" si="10"/>
        <v>76.810850470588235</v>
      </c>
      <c r="H24" s="210">
        <f t="shared" si="11"/>
        <v>1927.9831945428773</v>
      </c>
      <c r="I24" s="205"/>
      <c r="J24" s="210">
        <f t="shared" si="7"/>
        <v>327.75714307228918</v>
      </c>
      <c r="K24" s="208">
        <f>IF(AND($B$15&lt;$F$2,$E$15&lt;$F$2),D7,IF($B$15&lt;$F$2,J7,G7))</f>
        <v>0.30579000000000001</v>
      </c>
      <c r="L24" s="226"/>
      <c r="M24" s="227"/>
      <c r="N24" s="228"/>
      <c r="O24" s="229"/>
      <c r="P24" s="16"/>
      <c r="Q24" s="16"/>
      <c r="R24" s="16"/>
      <c r="S24" s="16"/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IF($K$13=M4,((D19+D20+D21)*(K15)/(K15+L15)),0)+IF($L$13=M4,((D19+D20+D21)*(L15)/(K15+L15)),0)</f>
        <v>0</v>
      </c>
      <c r="E25" s="208">
        <v>0</v>
      </c>
      <c r="F25" s="209">
        <f t="shared" si="6"/>
        <v>0</v>
      </c>
      <c r="G25" s="209">
        <f>((D25*K25)/(1-$N$19-$N$20))*($N$19+$N$20)</f>
        <v>0</v>
      </c>
      <c r="H25" s="210">
        <f>(D25*K25)/(1-$N$19-$N$20)/(1-$I$19)</f>
        <v>0</v>
      </c>
      <c r="I25" s="205"/>
      <c r="J25" s="210">
        <f t="shared" si="7"/>
        <v>0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232"/>
      <c r="S25" s="16"/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>IF($K$11=M5,(D19*(K13)/(K13+L13)),0)+IF($L$11=M5,(D19*(L13)/(K13+L13)),0)</f>
        <v>0</v>
      </c>
      <c r="E26" s="208">
        <f>K26/(1-$N$19-$N$20)/(1-$I$19)</f>
        <v>5.6482231446795587E-2</v>
      </c>
      <c r="F26" s="209">
        <f t="shared" si="6"/>
        <v>0</v>
      </c>
      <c r="G26" s="209">
        <f>((D26*K26)/(1-$N$19-$N$20))*($N$19+$N$20)</f>
        <v>0</v>
      </c>
      <c r="H26" s="210">
        <f>(D26*K26)/(1-$N$19-$N$20)/(1-$I$19)</f>
        <v>0</v>
      </c>
      <c r="I26" s="205"/>
      <c r="J26" s="210">
        <f t="shared" si="7"/>
        <v>0</v>
      </c>
      <c r="K26" s="208">
        <f>N5</f>
        <v>4.4630000000000003E-2</v>
      </c>
      <c r="O26" s="62"/>
      <c r="P26" s="16"/>
      <c r="Q26" s="16"/>
      <c r="R26" s="232"/>
      <c r="S26" s="233"/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>IF($K$11=M6,(D19*(K13)/(K13+L13)),0)+IF($L$11=M6,(D19*(L13)/(K13+L13)),0)</f>
        <v>0</v>
      </c>
      <c r="E27" s="208">
        <f>K27/(1-$N$19-$N$20)/(1-$I$19)</f>
        <v>9.9688670648982486E-2</v>
      </c>
      <c r="F27" s="209">
        <f t="shared" si="6"/>
        <v>0</v>
      </c>
      <c r="G27" s="209">
        <f>((D27*K27)/(1-$N$19-$N$20))*($N$19+$N$20)</f>
        <v>0</v>
      </c>
      <c r="H27" s="210">
        <f>(D27*K27)/(1-$N$19-$N$20)/(1-$I$19)</f>
        <v>0</v>
      </c>
      <c r="I27" s="205"/>
      <c r="J27" s="210">
        <f t="shared" si="7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>IF($K$11=M7,(D19*(K13)/(K13+L13)),0)+IF($L$11=M7,(D19*(L13)/(K13+L13)),0)</f>
        <v>0</v>
      </c>
      <c r="E28" s="208">
        <f>K28/(1-$N$19-$N$20)/(1-$I$19)</f>
        <v>0.17971043839222434</v>
      </c>
      <c r="F28" s="209">
        <f t="shared" si="6"/>
        <v>0</v>
      </c>
      <c r="G28" s="209">
        <f>((D28*K28)/(1-$N$19-$N$20))*($N$19+$N$20)</f>
        <v>0</v>
      </c>
      <c r="H28" s="210">
        <f>(D28*K28)/(1-$N$19-$N$20)/(1-$I$19)</f>
        <v>0</v>
      </c>
      <c r="I28" s="205"/>
      <c r="J28" s="210">
        <f t="shared" si="7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206</v>
      </c>
      <c r="C29" s="205"/>
      <c r="D29" s="214"/>
      <c r="E29" s="205"/>
      <c r="F29" s="217"/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207</v>
      </c>
      <c r="C30" s="205"/>
      <c r="D30" s="214"/>
      <c r="E30" s="205"/>
      <c r="F30" s="217"/>
      <c r="G30" s="205"/>
      <c r="H30" s="205"/>
      <c r="I30" s="205"/>
      <c r="J30" s="205"/>
      <c r="K30" s="205"/>
      <c r="O30" s="62"/>
      <c r="P30" s="16"/>
      <c r="Q30" s="16"/>
      <c r="R30" s="16"/>
      <c r="S30" s="235"/>
      <c r="T30" s="16"/>
      <c r="U30" s="16"/>
      <c r="V30" s="16"/>
    </row>
    <row r="31" spans="2:22" x14ac:dyDescent="0.3">
      <c r="B31" s="205" t="s">
        <v>208</v>
      </c>
      <c r="C31" s="205"/>
      <c r="D31" s="214"/>
      <c r="E31" s="205"/>
      <c r="F31" s="217">
        <v>84.97</v>
      </c>
      <c r="G31" s="205"/>
      <c r="H31" s="205"/>
      <c r="I31" s="205"/>
      <c r="J31" s="205"/>
      <c r="K31" s="205"/>
      <c r="O31" s="62"/>
      <c r="S31" s="216"/>
    </row>
    <row r="32" spans="2:22" x14ac:dyDescent="0.3">
      <c r="B32" s="241" t="s">
        <v>217</v>
      </c>
      <c r="C32" s="205"/>
      <c r="D32" s="214">
        <v>1.1599999999999999</v>
      </c>
      <c r="E32" s="208">
        <f>(ROUND(D32*K32,2)+ROUND(G32,2)+ROUND(J32,2))/ROUND(D32,4)</f>
        <v>0.40517241379310348</v>
      </c>
      <c r="F32" s="209">
        <f t="shared" ref="F32" si="12">ROUND(D32*E32,2)</f>
        <v>0.47</v>
      </c>
      <c r="G32" s="209">
        <f>((D32*K32)/(1-$N$19-$N$20))*($N$19+$N$20)</f>
        <v>1.8755737815126048E-2</v>
      </c>
      <c r="H32" s="210">
        <f>(D32*K32)/(1-$N$19-$N$20)/(1-$I$19)</f>
        <v>0.47077655158448922</v>
      </c>
      <c r="I32" s="205"/>
      <c r="J32" s="210">
        <f t="shared" ref="J32" si="13">H32*$I$19</f>
        <v>8.0032013769363169E-2</v>
      </c>
      <c r="K32" s="208">
        <f>IF(AND($B$15&lt;$F$2,$E$15&lt;$F$2),D9,IF($B$15&lt;$F$2,J9,G9))</f>
        <v>0.32068000000000002</v>
      </c>
      <c r="O32" s="62"/>
    </row>
    <row r="33" spans="2:19" x14ac:dyDescent="0.3">
      <c r="B33" s="241" t="s">
        <v>218</v>
      </c>
      <c r="C33" s="205"/>
      <c r="D33" s="214">
        <v>1.18</v>
      </c>
      <c r="E33" s="208">
        <f>(ROUND(D33*K33,2)+ROUND(G33,2)+ROUND(J33,2))/ROUND(D33,4)</f>
        <v>0.40677966101694918</v>
      </c>
      <c r="F33" s="209">
        <f t="shared" ref="F33" si="14">ROUND(D33*E33,2)</f>
        <v>0.48</v>
      </c>
      <c r="G33" s="209">
        <f>((D33*K33)/(1-$N$19-$N$20))*($N$19+$N$20)</f>
        <v>1.9079112605042015E-2</v>
      </c>
      <c r="H33" s="210">
        <f>(D33*K33)/(1-$N$19-$N$20)/(1-$I$19)</f>
        <v>0.47889338868077352</v>
      </c>
      <c r="I33" s="205"/>
      <c r="J33" s="210">
        <f t="shared" ref="J33" si="15">H33*$I$19</f>
        <v>8.1411876075731499E-2</v>
      </c>
      <c r="K33" s="208">
        <f>IF(AND($B$15&lt;$F$2,$E$15&lt;$F$2),D9,IF($B$15&lt;$F$2,J9,G9))</f>
        <v>0.32068000000000002</v>
      </c>
      <c r="O33" s="62"/>
    </row>
    <row r="34" spans="2:19" x14ac:dyDescent="0.3">
      <c r="B34" s="205"/>
      <c r="C34" s="205"/>
      <c r="D34" s="214"/>
      <c r="E34" s="205"/>
      <c r="F34" s="205"/>
      <c r="G34" s="205"/>
      <c r="H34" s="205"/>
      <c r="I34" s="205"/>
      <c r="J34" s="205"/>
      <c r="K34" s="205"/>
      <c r="O34" s="62"/>
    </row>
    <row r="35" spans="2:19" x14ac:dyDescent="0.3">
      <c r="B35" s="218" t="s">
        <v>209</v>
      </c>
      <c r="C35" s="215"/>
      <c r="D35" s="219"/>
      <c r="E35" s="215"/>
      <c r="F35" s="220">
        <f>SUM(F19:F34)</f>
        <v>6650.76</v>
      </c>
      <c r="G35" s="221">
        <f>SUM(G19:G34)</f>
        <v>261.58017845042014</v>
      </c>
      <c r="H35" s="222">
        <f>SUM(H19:H34)</f>
        <v>6565.7675313840346</v>
      </c>
      <c r="I35" s="215"/>
      <c r="J35" s="222">
        <f>SUM(J19:J34)</f>
        <v>1116.1804803352861</v>
      </c>
      <c r="K35" s="215"/>
      <c r="L35" s="68"/>
      <c r="M35" s="68"/>
      <c r="N35" s="68"/>
      <c r="O35" s="79"/>
    </row>
    <row r="37" spans="2:19" x14ac:dyDescent="0.3">
      <c r="B37" s="223" t="s">
        <v>210</v>
      </c>
      <c r="C37" s="224">
        <f>D19+D20+D21</f>
        <v>5026.1399999999994</v>
      </c>
      <c r="D37" s="225">
        <f>IF(AND($B$15&lt;$F$2,$E$15&lt;$F$2),C10,IF($B$15&lt;$F$2,I10,F10))</f>
        <v>1.8774721494831901E-4</v>
      </c>
      <c r="E37" s="225">
        <f>IF(AND($B$15&lt;$F$2,$E$15&lt;$F$2),D10,IF($B$15&lt;$F$2,J10,G10))</f>
        <v>-4.4031307414479802E-3</v>
      </c>
      <c r="F37" s="223">
        <f>C37*(D37+E37)</f>
        <v>-21.187107757881005</v>
      </c>
    </row>
    <row r="38" spans="2:19" x14ac:dyDescent="0.3">
      <c r="B38" s="16"/>
      <c r="C38" s="16"/>
      <c r="D38" s="16"/>
      <c r="E38" s="16"/>
      <c r="F38" s="16"/>
      <c r="G38" s="16"/>
      <c r="H38" s="16"/>
      <c r="J38" s="237"/>
      <c r="K38" s="238"/>
      <c r="L38" s="238"/>
      <c r="M38" s="237"/>
    </row>
    <row r="39" spans="2:19" x14ac:dyDescent="0.3">
      <c r="B39" s="16"/>
      <c r="C39" s="16"/>
      <c r="D39" s="16"/>
      <c r="E39" s="16"/>
      <c r="F39" s="16"/>
      <c r="G39" s="16"/>
      <c r="H39" s="16"/>
      <c r="J39" s="237"/>
      <c r="K39" s="238"/>
      <c r="L39" s="238"/>
      <c r="M39" s="237"/>
    </row>
    <row r="40" spans="2:19" x14ac:dyDescent="0.3">
      <c r="B40" s="16"/>
      <c r="C40" s="16"/>
      <c r="D40" s="16"/>
      <c r="E40" s="16"/>
      <c r="F40" s="16"/>
      <c r="G40" s="16"/>
      <c r="H40" s="16"/>
      <c r="J40" s="237"/>
      <c r="K40" s="238"/>
      <c r="L40" s="238"/>
      <c r="M40" s="237"/>
    </row>
    <row r="41" spans="2:19" x14ac:dyDescent="0.3">
      <c r="B41" s="16"/>
      <c r="C41" s="16"/>
      <c r="D41" s="16"/>
      <c r="E41" s="16"/>
      <c r="F41" s="16"/>
      <c r="G41" s="16"/>
      <c r="H41" s="16"/>
      <c r="J41" s="237"/>
      <c r="K41" s="238"/>
      <c r="L41" s="238"/>
      <c r="M41" s="237"/>
    </row>
    <row r="42" spans="2:19" x14ac:dyDescent="0.3">
      <c r="B42" s="271" t="s">
        <v>172</v>
      </c>
      <c r="C42" s="272"/>
      <c r="D42" s="272"/>
      <c r="E42" s="272"/>
      <c r="F42" s="272"/>
      <c r="G42" s="272"/>
      <c r="H42" s="273"/>
      <c r="I42" s="16"/>
      <c r="J42" s="140"/>
      <c r="K42" s="16"/>
      <c r="L42" s="16"/>
      <c r="M42" s="16"/>
      <c r="N42" s="16"/>
      <c r="O42" s="16"/>
      <c r="P42" s="16"/>
    </row>
    <row r="43" spans="2:19" x14ac:dyDescent="0.3">
      <c r="B43" s="36"/>
      <c r="D43" s="46" t="s">
        <v>8</v>
      </c>
      <c r="E43" s="46" t="s">
        <v>0</v>
      </c>
      <c r="F43" s="46" t="s">
        <v>1</v>
      </c>
      <c r="G43" s="46" t="s">
        <v>42</v>
      </c>
      <c r="H43" s="47" t="s">
        <v>9</v>
      </c>
      <c r="I43" s="16"/>
      <c r="J43" s="140" t="s">
        <v>152</v>
      </c>
      <c r="K43" s="16"/>
      <c r="L43" s="239">
        <v>30005965989</v>
      </c>
      <c r="M43" s="16"/>
      <c r="N43" s="16"/>
      <c r="O43" s="16"/>
      <c r="P43" s="16"/>
    </row>
    <row r="44" spans="2:19" x14ac:dyDescent="0.3">
      <c r="B44" s="48" t="s">
        <v>73</v>
      </c>
      <c r="C44" s="49"/>
      <c r="D44" s="50"/>
      <c r="E44" s="50"/>
      <c r="F44" s="50"/>
      <c r="G44" s="50"/>
      <c r="H44" s="51">
        <f>SUM(H46:H54)+SUM(H60:H62)</f>
        <v>6566.0996891768746</v>
      </c>
      <c r="I44" s="16"/>
      <c r="J44" s="16"/>
      <c r="K44" s="16"/>
      <c r="L44" s="16"/>
      <c r="M44" s="16"/>
      <c r="N44" s="16"/>
      <c r="O44" s="16"/>
      <c r="P44" s="16"/>
    </row>
    <row r="45" spans="2:19" x14ac:dyDescent="0.3">
      <c r="B45" s="36"/>
      <c r="D45" s="46"/>
      <c r="E45" s="46"/>
      <c r="F45" s="46"/>
      <c r="G45" s="46"/>
      <c r="H45" s="52"/>
      <c r="I45" s="16"/>
      <c r="J45" s="16"/>
      <c r="K45" s="16"/>
      <c r="L45" s="16"/>
      <c r="M45" s="16"/>
      <c r="N45" s="16"/>
      <c r="O45" s="16"/>
      <c r="P45" s="16"/>
      <c r="R45" s="144" t="s">
        <v>155</v>
      </c>
      <c r="S45" s="144" t="s">
        <v>156</v>
      </c>
    </row>
    <row r="46" spans="2:19" x14ac:dyDescent="0.3">
      <c r="B46" s="36" t="s">
        <v>6</v>
      </c>
      <c r="D46" s="53">
        <f>D19</f>
        <v>23.94</v>
      </c>
      <c r="E46" s="54">
        <f t="shared" ref="E46:F48" si="16">IF(AND($B$15&lt;$F$2,$E$15&lt;$F$2),C6,IF($B$15&lt;$F$2,I6,F6))</f>
        <v>0.46862999999999999</v>
      </c>
      <c r="F46" s="55">
        <f t="shared" si="16"/>
        <v>0.32068000000000002</v>
      </c>
      <c r="G46" s="54">
        <v>1.325</v>
      </c>
      <c r="H46" s="56">
        <f>ROUND((D46*E46),2)+ROUND((D46*F46),2)</f>
        <v>18.899999999999999</v>
      </c>
      <c r="I46" s="16"/>
      <c r="J46"/>
      <c r="K46"/>
      <c r="L46"/>
      <c r="M46" s="16"/>
      <c r="N46" s="16"/>
      <c r="O46" s="16"/>
      <c r="P46" s="16"/>
      <c r="R46" s="150">
        <f>IF(AND($B$15&lt;$F$2,$E$15&lt;$F$2),R6,IF($B$15&lt;$F$2,X6,U6))</f>
        <v>0.20383072193179136</v>
      </c>
      <c r="S46" s="151">
        <f>D46*R46</f>
        <v>4.8797074830470857</v>
      </c>
    </row>
    <row r="47" spans="2:19" x14ac:dyDescent="0.3">
      <c r="B47" s="36" t="s">
        <v>7</v>
      </c>
      <c r="D47" s="53">
        <f>D21</f>
        <v>4981.8999999999996</v>
      </c>
      <c r="E47" s="54">
        <f t="shared" si="16"/>
        <v>0.72533999999999998</v>
      </c>
      <c r="F47" s="55">
        <f t="shared" si="16"/>
        <v>0.30579000000000001</v>
      </c>
      <c r="G47" s="54">
        <v>0.53280000000000005</v>
      </c>
      <c r="H47" s="56">
        <f t="shared" ref="H47:H48" si="17">ROUND((D47*E47),2)+ROUND((D47*F47),2)</f>
        <v>5136.99</v>
      </c>
      <c r="I47" s="16"/>
      <c r="J47"/>
      <c r="K47"/>
      <c r="L47"/>
      <c r="M47" s="16"/>
      <c r="N47" s="16"/>
      <c r="O47" s="16"/>
      <c r="P47" s="16"/>
      <c r="R47" s="150">
        <f>IF(AND($B$15&lt;$F$2,$E$15&lt;$F$2),R7,IF($B$15&lt;$F$2,X7,U7))</f>
        <v>0.69302445456809059</v>
      </c>
      <c r="S47" s="151">
        <f t="shared" ref="S47:S48" si="18">D47*R47</f>
        <v>3452.5785302127701</v>
      </c>
    </row>
    <row r="48" spans="2:19" x14ac:dyDescent="0.3">
      <c r="B48" s="36" t="s">
        <v>141</v>
      </c>
      <c r="D48" s="53">
        <f>D20</f>
        <v>20.3</v>
      </c>
      <c r="E48" s="54">
        <f t="shared" si="16"/>
        <v>1.0610299999999999</v>
      </c>
      <c r="F48" s="55">
        <f t="shared" si="16"/>
        <v>0.48448000000000002</v>
      </c>
      <c r="G48" s="54">
        <v>0.84406000000000003</v>
      </c>
      <c r="H48" s="56">
        <f t="shared" si="17"/>
        <v>31.369999999999997</v>
      </c>
      <c r="I48" s="16"/>
      <c r="J48" s="16"/>
      <c r="K48" s="16"/>
      <c r="L48" s="57"/>
      <c r="M48" s="16"/>
      <c r="N48" s="16"/>
      <c r="O48" s="16"/>
      <c r="P48" s="16"/>
      <c r="R48" s="150">
        <f>IF(AND($B$15&lt;$F$2,$E$15&lt;$F$2),R8,IF($B$15&lt;$F$2,X8,U8))</f>
        <v>0.20383072193179136</v>
      </c>
      <c r="S48" s="151">
        <f t="shared" si="18"/>
        <v>4.1377636552153652</v>
      </c>
    </row>
    <row r="49" spans="2:19" x14ac:dyDescent="0.3">
      <c r="B49" s="36"/>
      <c r="D49" s="58"/>
      <c r="E49" s="59"/>
      <c r="F49" s="60"/>
      <c r="G49" s="60"/>
      <c r="H49" s="56"/>
      <c r="I49" s="16"/>
      <c r="J49" s="16"/>
      <c r="K49" s="16"/>
      <c r="L49" s="16"/>
      <c r="M49" s="16"/>
      <c r="N49" s="16"/>
      <c r="O49" s="16"/>
      <c r="P49" s="16"/>
      <c r="S49" s="152">
        <f>SUM(S46:S48)</f>
        <v>3461.5960013510326</v>
      </c>
    </row>
    <row r="50" spans="2:19" x14ac:dyDescent="0.3">
      <c r="B50" s="36"/>
      <c r="D50" s="61"/>
      <c r="H50" s="62"/>
      <c r="I50" s="16"/>
      <c r="J50" s="16"/>
      <c r="K50" s="16"/>
      <c r="L50" s="16"/>
      <c r="M50" s="16"/>
      <c r="N50" s="16"/>
      <c r="O50" s="16"/>
      <c r="P50" s="16"/>
    </row>
    <row r="51" spans="2:19" x14ac:dyDescent="0.3">
      <c r="B51" s="36" t="s">
        <v>38</v>
      </c>
      <c r="D51" s="63">
        <f>IF($K$13=M4,((D46+D47+D48)*(K15)/(K15+L15)),0)+IF($L$13=M4,((D46+D47+D48)*(L15)/(K15+L15)),0)</f>
        <v>0</v>
      </c>
      <c r="F51" s="64">
        <f>N4</f>
        <v>1.8849999999999999E-2</v>
      </c>
      <c r="G51" s="64"/>
      <c r="H51" s="56">
        <f>ROUND(D51*(E51+F51),2)</f>
        <v>0</v>
      </c>
      <c r="I51" s="16"/>
      <c r="J51" s="16"/>
      <c r="K51" s="16"/>
      <c r="L51" s="16"/>
      <c r="M51" s="16"/>
      <c r="N51" s="16"/>
      <c r="O51" s="16"/>
      <c r="P51" s="16"/>
    </row>
    <row r="52" spans="2:19" x14ac:dyDescent="0.3">
      <c r="B52" s="36" t="s">
        <v>39</v>
      </c>
      <c r="D52" s="63">
        <f>IF($K$13=M5,((D46+D47+D48)*(K15)/(K15+L15)),0)+IF($L$13=M5,((D46+D47+D48)*(L15)/(K15+L15)),0)</f>
        <v>0</v>
      </c>
      <c r="F52" s="64">
        <f>N5</f>
        <v>4.4630000000000003E-2</v>
      </c>
      <c r="G52" s="64"/>
      <c r="H52" s="56">
        <f>ROUND(D52*(E52+F52),2)</f>
        <v>0</v>
      </c>
      <c r="I52" s="16"/>
      <c r="J52" s="16"/>
      <c r="K52" s="16"/>
      <c r="L52" s="16"/>
      <c r="M52" s="16"/>
      <c r="N52" s="16"/>
      <c r="O52" s="16"/>
      <c r="P52" s="16"/>
    </row>
    <row r="53" spans="2:19" x14ac:dyDescent="0.3">
      <c r="B53" s="36" t="s">
        <v>40</v>
      </c>
      <c r="D53" s="63">
        <f>IF($K$13=M6,((D46+D47+D48)*(K15)/(K15+L15)),0)+IF($L$13=M6,((D46+D47+D48)*(L15)/(K15+L15)),0)</f>
        <v>0</v>
      </c>
      <c r="F53" s="64">
        <f>N6</f>
        <v>7.8770000000000007E-2</v>
      </c>
      <c r="G53" s="64"/>
      <c r="H53" s="56">
        <f>ROUND(D53*(E53+F53),2)</f>
        <v>0</v>
      </c>
      <c r="I53" s="16"/>
      <c r="J53" s="16"/>
      <c r="K53" s="16"/>
      <c r="L53" s="16"/>
      <c r="M53" s="16"/>
      <c r="N53" s="16"/>
      <c r="O53" s="16"/>
      <c r="P53" s="16"/>
    </row>
    <row r="54" spans="2:19" x14ac:dyDescent="0.3">
      <c r="B54" s="36" t="s">
        <v>150</v>
      </c>
      <c r="D54" s="63">
        <f>IF($K$13=M7,((D46+D47+D48)*(K15)/(K15+L15)),0)+IF($L$13=M7,((D46+D47+D48)*(L15)/(K15+L15)),0)</f>
        <v>0</v>
      </c>
      <c r="F54" s="64">
        <f>N7</f>
        <v>0.14199999999999999</v>
      </c>
      <c r="G54" s="64"/>
      <c r="H54" s="56">
        <f>ROUND(D54*(E54+F54),2)</f>
        <v>0</v>
      </c>
      <c r="I54" s="16"/>
      <c r="J54" s="16"/>
      <c r="K54" s="16"/>
      <c r="L54" s="16"/>
      <c r="M54" s="16"/>
      <c r="N54" s="16"/>
      <c r="O54" s="16"/>
      <c r="P54" s="16"/>
    </row>
    <row r="55" spans="2:19" x14ac:dyDescent="0.3">
      <c r="B55" s="36"/>
      <c r="D55" s="61"/>
      <c r="H55" s="56"/>
      <c r="I55" s="16"/>
      <c r="J55" s="16"/>
      <c r="K55" s="16"/>
      <c r="L55" s="16"/>
      <c r="M55" s="16"/>
      <c r="N55" s="16"/>
      <c r="O55" s="16"/>
      <c r="P55" s="16"/>
    </row>
    <row r="56" spans="2:19" x14ac:dyDescent="0.3">
      <c r="B56" s="36" t="s">
        <v>184</v>
      </c>
      <c r="D56" s="53">
        <v>15</v>
      </c>
      <c r="E56" s="54"/>
      <c r="F56" s="55">
        <f>IF(AND($B$15&lt;$F$2,$E$15&lt;$F$2),D9,IF($B$15&lt;$F$2,J9,G9))</f>
        <v>0.32068000000000002</v>
      </c>
      <c r="G56" s="54">
        <v>0.84406000000000003</v>
      </c>
      <c r="H56" s="56">
        <f t="shared" ref="H56" si="19">ROUND((D56*E56),2)+ROUND((D56*F56),2)</f>
        <v>4.8099999999999996</v>
      </c>
      <c r="I56" s="16"/>
      <c r="J56" s="16"/>
      <c r="K56" s="16"/>
      <c r="L56" s="16"/>
      <c r="M56" s="16"/>
      <c r="N56" s="16"/>
      <c r="O56" s="16"/>
      <c r="P56" s="16"/>
    </row>
    <row r="57" spans="2:19" x14ac:dyDescent="0.3">
      <c r="B57" s="67"/>
      <c r="C57" s="68"/>
      <c r="D57" s="69"/>
      <c r="E57" s="70"/>
      <c r="F57" s="68"/>
      <c r="G57" s="68"/>
      <c r="H57" s="66"/>
      <c r="I57" s="16"/>
      <c r="J57" s="16"/>
      <c r="K57" s="16"/>
      <c r="L57" s="16"/>
      <c r="M57" s="16"/>
      <c r="N57" s="16"/>
      <c r="O57" s="16"/>
      <c r="P57" s="16"/>
    </row>
    <row r="58" spans="2:19" x14ac:dyDescent="0.3">
      <c r="B58" s="30"/>
      <c r="C58" s="31"/>
      <c r="D58" s="31"/>
      <c r="E58" s="31"/>
      <c r="F58" s="31"/>
      <c r="G58" s="31"/>
      <c r="H58" s="72"/>
      <c r="I58" s="16"/>
      <c r="L58" s="16"/>
      <c r="M58" s="16"/>
      <c r="N58" s="16"/>
      <c r="O58" s="16"/>
      <c r="P58" s="16"/>
    </row>
    <row r="59" spans="2:19" x14ac:dyDescent="0.3">
      <c r="B59" s="36"/>
      <c r="D59" s="73" t="s">
        <v>17</v>
      </c>
      <c r="E59" s="74"/>
      <c r="F59" s="74"/>
      <c r="G59" s="74"/>
      <c r="H59" s="75"/>
      <c r="I59" s="76"/>
      <c r="K59" s="77"/>
      <c r="L59" s="16"/>
      <c r="M59" s="16"/>
      <c r="N59" s="16"/>
      <c r="O59" s="16"/>
      <c r="P59" s="16"/>
    </row>
    <row r="60" spans="2:19" x14ac:dyDescent="0.3">
      <c r="B60" s="36" t="s">
        <v>18</v>
      </c>
      <c r="D60" s="77">
        <f>(SUM(H46:H57)/(1-E60-E61))</f>
        <v>5453.8550420168058</v>
      </c>
      <c r="E60" s="78">
        <f>N19</f>
        <v>8.5000000000000006E-3</v>
      </c>
      <c r="H60" s="56">
        <f>D60*E60</f>
        <v>46.357767857142854</v>
      </c>
      <c r="I60" s="77"/>
      <c r="L60" s="16"/>
      <c r="M60" s="16"/>
      <c r="N60" s="16"/>
      <c r="O60" s="16"/>
      <c r="P60" s="16"/>
    </row>
    <row r="61" spans="2:19" x14ac:dyDescent="0.3">
      <c r="B61" s="36" t="s">
        <v>19</v>
      </c>
      <c r="D61" s="77">
        <f>D60</f>
        <v>5453.8550420168058</v>
      </c>
      <c r="E61" s="78">
        <f>N20</f>
        <v>3.95E-2</v>
      </c>
      <c r="H61" s="56">
        <f>D61*E61</f>
        <v>215.42727415966382</v>
      </c>
      <c r="I61" s="77"/>
      <c r="L61" s="16"/>
      <c r="M61" s="16"/>
      <c r="N61" s="16"/>
      <c r="O61" s="16"/>
      <c r="P61" s="16"/>
    </row>
    <row r="62" spans="2:19" x14ac:dyDescent="0.3">
      <c r="B62" s="36" t="s">
        <v>20</v>
      </c>
      <c r="D62" s="145">
        <f>D60/(1-E62)</f>
        <v>6570.909689176875</v>
      </c>
      <c r="E62" s="138">
        <v>0.17</v>
      </c>
      <c r="H62" s="56">
        <f>D62*E62</f>
        <v>1117.0546471600687</v>
      </c>
      <c r="I62" s="77"/>
      <c r="L62" s="16"/>
      <c r="M62" s="16"/>
      <c r="N62" s="16"/>
      <c r="O62" s="16"/>
      <c r="P62" s="16"/>
    </row>
    <row r="63" spans="2:19" x14ac:dyDescent="0.3">
      <c r="B63" s="67"/>
      <c r="C63" s="68"/>
      <c r="D63" s="68"/>
      <c r="E63" s="68"/>
      <c r="F63" s="68"/>
      <c r="G63" s="68"/>
      <c r="H63" s="79"/>
      <c r="L63" s="16"/>
      <c r="M63" s="16"/>
      <c r="N63" s="16"/>
      <c r="O63" s="16"/>
      <c r="P63" s="16"/>
    </row>
    <row r="64" spans="2:19" x14ac:dyDescent="0.3">
      <c r="B64" s="185" t="s">
        <v>183</v>
      </c>
      <c r="C64" s="186"/>
      <c r="D64" s="187">
        <f>SUM(D46:D48)</f>
        <v>5026.1399999999994</v>
      </c>
      <c r="E64" s="188">
        <f>IF(AND($B$15&lt;$F$2,$E$15&lt;$F$2),C10,IF($B$15&lt;$F$2,I10,F10))</f>
        <v>1.8774721494831901E-4</v>
      </c>
      <c r="F64" s="188">
        <f>IF(AND($B$15&lt;$F$2,$E$15&lt;$F$2),D10,IF($B$15&lt;$F$2,J10,G10))</f>
        <v>-4.4031307414479802E-3</v>
      </c>
      <c r="G64" s="186"/>
      <c r="H64" s="185">
        <f>D64*(E64+F64)</f>
        <v>-21.187107757881005</v>
      </c>
      <c r="L64" s="16"/>
      <c r="M64" s="16"/>
      <c r="N64" s="16"/>
      <c r="O64" s="16"/>
      <c r="P64" s="16"/>
    </row>
    <row r="65" spans="2:16" x14ac:dyDescent="0.3">
      <c r="L65" s="16"/>
      <c r="M65" s="16"/>
      <c r="N65" s="16"/>
      <c r="O65" s="16"/>
      <c r="P65" s="16"/>
    </row>
    <row r="66" spans="2:16" x14ac:dyDescent="0.3">
      <c r="B66" s="80" t="s">
        <v>43</v>
      </c>
      <c r="D66" s="74"/>
      <c r="E66" s="74" t="s">
        <v>14</v>
      </c>
      <c r="F66" s="74"/>
      <c r="G66" s="74"/>
      <c r="H66" s="76"/>
    </row>
    <row r="67" spans="2:16" x14ac:dyDescent="0.3">
      <c r="B67" s="81"/>
      <c r="C67" s="82" t="s">
        <v>9</v>
      </c>
    </row>
    <row r="68" spans="2:16" x14ac:dyDescent="0.3">
      <c r="B68" s="81" t="s">
        <v>44</v>
      </c>
      <c r="C68" s="83">
        <f>(SUM(H46:H57)*IF($B$15&lt;$F$2,D106,D78))</f>
        <v>403.58183970390331</v>
      </c>
    </row>
    <row r="69" spans="2:16" x14ac:dyDescent="0.3">
      <c r="B69" s="81" t="s">
        <v>45</v>
      </c>
      <c r="C69" s="83">
        <f>(SUM(H46:H57)*IF($B$15&lt;$F$2,F106,F78))</f>
        <v>-1871.2115796572575</v>
      </c>
    </row>
    <row r="70" spans="2:16" x14ac:dyDescent="0.3">
      <c r="B70" s="81" t="s">
        <v>46</v>
      </c>
      <c r="C70" s="83">
        <f>(SUM(H46:H57)*IF($B$15&lt;$F$2,E106,E78))</f>
        <v>3174.0260942373043</v>
      </c>
    </row>
    <row r="71" spans="2:16" x14ac:dyDescent="0.3">
      <c r="B71" s="81" t="s">
        <v>47</v>
      </c>
      <c r="C71" s="83">
        <f>(SUM(H46:H57)*IF($B$15&lt;$F$2,G106,G78))</f>
        <v>3487.1190906209213</v>
      </c>
    </row>
    <row r="72" spans="2:16" x14ac:dyDescent="0.3">
      <c r="B72" s="81" t="s">
        <v>48</v>
      </c>
      <c r="C72" s="84">
        <f>H60+H61+H62</f>
        <v>1378.8396891768755</v>
      </c>
    </row>
    <row r="73" spans="2:16" x14ac:dyDescent="0.3">
      <c r="B73" s="85" t="s">
        <v>49</v>
      </c>
      <c r="C73" s="86">
        <f>SUM(C68:C72)</f>
        <v>6572.3551340817467</v>
      </c>
    </row>
    <row r="75" spans="2:16" x14ac:dyDescent="0.3">
      <c r="B75" s="87">
        <f>'B1 (Res) Branca OK'!B76</f>
        <v>2024</v>
      </c>
      <c r="C75" s="87"/>
      <c r="D75" s="87" t="s">
        <v>44</v>
      </c>
      <c r="E75" s="87" t="s">
        <v>46</v>
      </c>
      <c r="F75" s="87" t="s">
        <v>45</v>
      </c>
      <c r="G75" s="87" t="s">
        <v>50</v>
      </c>
    </row>
    <row r="76" spans="2:16" x14ac:dyDescent="0.3">
      <c r="B76" s="87" t="s">
        <v>51</v>
      </c>
      <c r="C76" s="87"/>
      <c r="D76" s="87" t="s">
        <v>52</v>
      </c>
      <c r="E76" s="87" t="s">
        <v>52</v>
      </c>
      <c r="F76" s="87" t="s">
        <v>52</v>
      </c>
      <c r="G76" s="87" t="s">
        <v>52</v>
      </c>
    </row>
    <row r="77" spans="2:16" x14ac:dyDescent="0.3">
      <c r="B77" s="87"/>
      <c r="C77" s="87"/>
      <c r="D77" s="87"/>
      <c r="E77" s="87"/>
      <c r="F77" s="87"/>
      <c r="G77" s="87"/>
    </row>
    <row r="78" spans="2:16" x14ac:dyDescent="0.3">
      <c r="B78" s="87" t="s">
        <v>53</v>
      </c>
      <c r="C78" s="87"/>
      <c r="D78" s="88">
        <f>'B1 (Res) Branca OK'!D79</f>
        <v>0.45246416638672077</v>
      </c>
      <c r="E78" s="88">
        <f>'B1 (Res) Branca OK'!E79</f>
        <v>7.39594111182032E-2</v>
      </c>
      <c r="F78" s="88">
        <f>'B1 (Res) Branca OK'!F79</f>
        <v>0.27500913257019954</v>
      </c>
      <c r="G78" s="88">
        <f>'B1 (Res) Branca OK'!G79</f>
        <v>0.19856728992487654</v>
      </c>
    </row>
    <row r="79" spans="2:16" x14ac:dyDescent="0.3">
      <c r="B79" s="87" t="s">
        <v>54</v>
      </c>
      <c r="C79" s="87"/>
      <c r="D79" s="88">
        <f>'B1 (Res) Branca OK'!D80</f>
        <v>0.53149575868436638</v>
      </c>
      <c r="E79" s="88">
        <f>'B1 (Res) Branca OK'!E80</f>
        <v>8.6877848555460851E-2</v>
      </c>
      <c r="F79" s="88">
        <f>'B1 (Res) Branca OK'!F80</f>
        <v>0.32304478104372042</v>
      </c>
      <c r="G79" s="88">
        <f>'B1 (Res) Branca OK'!G80</f>
        <v>5.8581611716452382E-2</v>
      </c>
    </row>
    <row r="80" spans="2:16" x14ac:dyDescent="0.3">
      <c r="B80" s="87" t="s">
        <v>55</v>
      </c>
      <c r="C80" s="87"/>
      <c r="D80" s="88">
        <f>'B1 (Res) Branca OK'!D81</f>
        <v>0.45246416638672077</v>
      </c>
      <c r="E80" s="88">
        <f>'B1 (Res) Branca OK'!E81</f>
        <v>7.39594111182032E-2</v>
      </c>
      <c r="F80" s="88">
        <f>'B1 (Res) Branca OK'!F81</f>
        <v>0.27500913257019954</v>
      </c>
      <c r="G80" s="88">
        <f>'B1 (Res) Branca OK'!G81</f>
        <v>0.19856728992487654</v>
      </c>
    </row>
    <row r="81" spans="2:15" x14ac:dyDescent="0.3">
      <c r="B81" s="87" t="s">
        <v>56</v>
      </c>
      <c r="C81" s="87"/>
      <c r="D81" s="88">
        <f>'B1 (Res) Branca OK'!D82</f>
        <v>0.45246416638672077</v>
      </c>
      <c r="E81" s="88">
        <f>'B1 (Res) Branca OK'!E82</f>
        <v>7.39594111182032E-2</v>
      </c>
      <c r="F81" s="88">
        <f>'B1 (Res) Branca OK'!F82</f>
        <v>0.27500913257019954</v>
      </c>
      <c r="G81" s="88">
        <f>'B1 (Res) Branca OK'!G82</f>
        <v>0.19856728992487654</v>
      </c>
      <c r="K81" s="15"/>
    </row>
    <row r="82" spans="2:15" x14ac:dyDescent="0.3">
      <c r="B82" s="87" t="s">
        <v>57</v>
      </c>
      <c r="C82" s="87"/>
      <c r="D82" s="88">
        <f>'B1 (Res) Branca OK'!D83</f>
        <v>0.45246416638672077</v>
      </c>
      <c r="E82" s="88">
        <f>'B1 (Res) Branca OK'!E83</f>
        <v>7.39594111182032E-2</v>
      </c>
      <c r="F82" s="88">
        <f>'B1 (Res) Branca OK'!F83</f>
        <v>0.27500913257019954</v>
      </c>
      <c r="G82" s="88">
        <f>'B1 (Res) Branca OK'!G83</f>
        <v>0.19856728992487654</v>
      </c>
    </row>
    <row r="83" spans="2:15" x14ac:dyDescent="0.3">
      <c r="B83" s="87" t="s">
        <v>58</v>
      </c>
      <c r="C83" s="87"/>
      <c r="D83" s="88">
        <f>'B1 (Res) Branca OK'!D84</f>
        <v>0.45246416638672077</v>
      </c>
      <c r="E83" s="88">
        <f>'B1 (Res) Branca OK'!E84</f>
        <v>7.39594111182032E-2</v>
      </c>
      <c r="F83" s="88">
        <f>'B1 (Res) Branca OK'!F84</f>
        <v>0.27500913257019954</v>
      </c>
      <c r="G83" s="88">
        <f>'B1 (Res) Branca OK'!G84</f>
        <v>0.19856728992487654</v>
      </c>
    </row>
    <row r="84" spans="2:15" x14ac:dyDescent="0.3">
      <c r="B84" s="87" t="s">
        <v>59</v>
      </c>
      <c r="C84" s="87"/>
      <c r="D84" s="88">
        <f>'B1 (Res) Branca OK'!D85</f>
        <v>0.45246416638672071</v>
      </c>
      <c r="E84" s="88">
        <f>'B1 (Res) Branca OK'!E85</f>
        <v>7.3959411118203186E-2</v>
      </c>
      <c r="F84" s="88">
        <f>'B1 (Res) Branca OK'!F85</f>
        <v>0.27500913257019949</v>
      </c>
      <c r="G84" s="88">
        <f>'B1 (Res) Branca OK'!G85</f>
        <v>0.19856728992487654</v>
      </c>
    </row>
    <row r="85" spans="2:15" x14ac:dyDescent="0.3">
      <c r="B85" s="87" t="s">
        <v>60</v>
      </c>
      <c r="C85" s="87"/>
      <c r="D85" s="88">
        <f>'B1 (Res) Branca OK'!D86</f>
        <v>0.45246416638672071</v>
      </c>
      <c r="E85" s="88">
        <f>'B1 (Res) Branca OK'!E86</f>
        <v>7.3959411118203186E-2</v>
      </c>
      <c r="F85" s="88">
        <f>'B1 (Res) Branca OK'!F86</f>
        <v>0.27500913257019949</v>
      </c>
      <c r="G85" s="88">
        <f>'B1 (Res) Branca OK'!G86</f>
        <v>0.19856728992487654</v>
      </c>
    </row>
    <row r="86" spans="2:15" x14ac:dyDescent="0.3">
      <c r="B86" s="87" t="s">
        <v>61</v>
      </c>
      <c r="C86" s="87"/>
      <c r="D86" s="88">
        <f>'B1 (Res) Branca OK'!D87</f>
        <v>0.45246416638672071</v>
      </c>
      <c r="E86" s="88">
        <f>'B1 (Res) Branca OK'!E87</f>
        <v>7.39594111182032E-2</v>
      </c>
      <c r="F86" s="88">
        <f>'B1 (Res) Branca OK'!F87</f>
        <v>0.27500913257019954</v>
      </c>
      <c r="G86" s="88">
        <f>'B1 (Res) Branca OK'!G87</f>
        <v>0.19856728992487657</v>
      </c>
      <c r="M86"/>
      <c r="N86"/>
      <c r="O86"/>
    </row>
    <row r="87" spans="2:15" x14ac:dyDescent="0.3">
      <c r="B87" s="80"/>
      <c r="C87" s="80"/>
      <c r="D87" s="80"/>
      <c r="E87" s="80"/>
      <c r="F87" s="80"/>
      <c r="G87" s="80"/>
    </row>
    <row r="88" spans="2:15" x14ac:dyDescent="0.3">
      <c r="B88" s="80"/>
      <c r="C88" s="80"/>
      <c r="D88" s="80"/>
      <c r="E88" s="80"/>
      <c r="F88" s="80"/>
      <c r="G88" s="80"/>
    </row>
    <row r="89" spans="2:15" x14ac:dyDescent="0.3">
      <c r="B89" s="80">
        <f>'B1 (Res) Branca OK'!B90</f>
        <v>2023</v>
      </c>
      <c r="C89" s="87"/>
      <c r="D89" s="87" t="s">
        <v>44</v>
      </c>
      <c r="E89" s="87" t="s">
        <v>46</v>
      </c>
      <c r="F89" s="87" t="s">
        <v>45</v>
      </c>
      <c r="G89" s="87" t="s">
        <v>50</v>
      </c>
    </row>
    <row r="90" spans="2:15" x14ac:dyDescent="0.3">
      <c r="B90" s="87" t="s">
        <v>51</v>
      </c>
      <c r="C90" s="87"/>
      <c r="D90" s="87" t="s">
        <v>52</v>
      </c>
      <c r="E90" s="87" t="s">
        <v>52</v>
      </c>
      <c r="F90" s="87" t="s">
        <v>52</v>
      </c>
      <c r="G90" s="87" t="s">
        <v>52</v>
      </c>
    </row>
    <row r="91" spans="2:15" x14ac:dyDescent="0.3">
      <c r="B91" s="87"/>
      <c r="C91" s="87"/>
      <c r="D91" s="87"/>
      <c r="E91" s="87"/>
      <c r="F91" s="87"/>
      <c r="G91" s="87"/>
    </row>
    <row r="92" spans="2:15" x14ac:dyDescent="0.3">
      <c r="B92" s="87" t="s">
        <v>53</v>
      </c>
      <c r="C92" s="87"/>
      <c r="D92" s="88">
        <f>'B1 (Res) Branca OK'!D93</f>
        <v>0.43939696077133034</v>
      </c>
      <c r="E92" s="88">
        <f>'B1 (Res) Branca OK'!E93</f>
        <v>9.2697585625348772E-2</v>
      </c>
      <c r="F92" s="88">
        <f>'B1 (Res) Branca OK'!F93</f>
        <v>0.25285207888477268</v>
      </c>
      <c r="G92" s="88">
        <f>'B1 (Res) Branca OK'!G93</f>
        <v>0.21506308252114117</v>
      </c>
    </row>
    <row r="93" spans="2:15" x14ac:dyDescent="0.3">
      <c r="B93" s="87" t="s">
        <v>54</v>
      </c>
      <c r="C93" s="87"/>
      <c r="D93" s="88">
        <f>'B1 (Res) Branca OK'!D94</f>
        <v>0.52691619996872485</v>
      </c>
      <c r="E93" s="88">
        <f>'B1 (Res) Branca OK'!E94</f>
        <v>0.11116112291319068</v>
      </c>
      <c r="F93" s="88">
        <f>'B1 (Res) Branca OK'!F94</f>
        <v>0.30321524374287334</v>
      </c>
      <c r="G93" s="88">
        <f>'B1 (Res) Branca OK'!G94</f>
        <v>5.8707433375211129E-2</v>
      </c>
    </row>
    <row r="94" spans="2:15" x14ac:dyDescent="0.3">
      <c r="B94" s="87" t="s">
        <v>55</v>
      </c>
      <c r="C94" s="87"/>
      <c r="D94" s="88">
        <f>'B1 (Res) Branca OK'!D95</f>
        <v>0.43939300245552615</v>
      </c>
      <c r="E94" s="88">
        <f>'B1 (Res) Branca OK'!E95</f>
        <v>9.2696750557401245E-2</v>
      </c>
      <c r="F94" s="88">
        <f>'B1 (Res) Branca OK'!F95</f>
        <v>0.25284980106205335</v>
      </c>
      <c r="G94" s="88">
        <f>'B1 (Res) Branca OK'!G95</f>
        <v>0.21506044592501908</v>
      </c>
    </row>
    <row r="95" spans="2:15" x14ac:dyDescent="0.3">
      <c r="B95" s="87" t="s">
        <v>56</v>
      </c>
      <c r="C95" s="87"/>
      <c r="D95" s="88">
        <f>'B1 (Res) Branca OK'!D96</f>
        <v>0.43939300245552615</v>
      </c>
      <c r="E95" s="88">
        <f>'B1 (Res) Branca OK'!E96</f>
        <v>9.2696750557401245E-2</v>
      </c>
      <c r="F95" s="88">
        <f>'B1 (Res) Branca OK'!F96</f>
        <v>0.25284980106205335</v>
      </c>
      <c r="G95" s="88">
        <f>'B1 (Res) Branca OK'!G96</f>
        <v>0.21506044592501908</v>
      </c>
    </row>
    <row r="96" spans="2:15" x14ac:dyDescent="0.3">
      <c r="B96" s="87" t="s">
        <v>57</v>
      </c>
      <c r="C96" s="87"/>
      <c r="D96" s="88">
        <f>'B1 (Res) Branca OK'!D97</f>
        <v>0.43939300245552615</v>
      </c>
      <c r="E96" s="88">
        <f>'B1 (Res) Branca OK'!E97</f>
        <v>9.2696750557401328E-2</v>
      </c>
      <c r="F96" s="88">
        <f>'B1 (Res) Branca OK'!F97</f>
        <v>0.25284980106205335</v>
      </c>
      <c r="G96" s="88">
        <f>'B1 (Res) Branca OK'!G97</f>
        <v>0.21506044592501908</v>
      </c>
    </row>
    <row r="97" spans="2:7" x14ac:dyDescent="0.3">
      <c r="B97" s="87" t="s">
        <v>58</v>
      </c>
      <c r="C97" s="87"/>
      <c r="D97" s="88">
        <f>'B1 (Res) Branca OK'!D98</f>
        <v>0.43939300245552615</v>
      </c>
      <c r="E97" s="88">
        <f>'B1 (Res) Branca OK'!E98</f>
        <v>9.2696750557401328E-2</v>
      </c>
      <c r="F97" s="88">
        <f>'B1 (Res) Branca OK'!F98</f>
        <v>0.25284980106205335</v>
      </c>
      <c r="G97" s="88">
        <f>'B1 (Res) Branca OK'!G98</f>
        <v>0.21506044592501908</v>
      </c>
    </row>
    <row r="98" spans="2:7" x14ac:dyDescent="0.3">
      <c r="B98" s="87" t="s">
        <v>59</v>
      </c>
      <c r="C98" s="87"/>
      <c r="D98" s="88">
        <f>'B1 (Res) Branca OK'!D99</f>
        <v>0</v>
      </c>
      <c r="E98" s="88">
        <f>'B1 (Res) Branca OK'!E99</f>
        <v>0</v>
      </c>
      <c r="F98" s="88">
        <f>'B1 (Res) Branca OK'!F99</f>
        <v>0</v>
      </c>
      <c r="G98" s="88">
        <f>'B1 (Res) Branca OK'!G99</f>
        <v>0</v>
      </c>
    </row>
    <row r="99" spans="2:7" x14ac:dyDescent="0.3">
      <c r="B99" s="87" t="s">
        <v>60</v>
      </c>
      <c r="C99" s="87"/>
      <c r="D99" s="88">
        <f>'B1 (Res) Branca OK'!D100</f>
        <v>0.43938945729126549</v>
      </c>
      <c r="E99" s="88">
        <f>'B1 (Res) Branca OK'!E100</f>
        <v>9.2697336752737058E-2</v>
      </c>
      <c r="F99" s="88">
        <f>'B1 (Res) Branca OK'!F100</f>
        <v>0.25285140003260154</v>
      </c>
      <c r="G99" s="88">
        <f>'B1 (Res) Branca OK'!G100</f>
        <v>0.21506180592339591</v>
      </c>
    </row>
    <row r="100" spans="2:7" x14ac:dyDescent="0.3">
      <c r="B100" s="87" t="s">
        <v>61</v>
      </c>
      <c r="C100" s="87"/>
      <c r="D100" s="88">
        <f>'B1 (Res) Branca OK'!D101</f>
        <v>0.43938945729126527</v>
      </c>
      <c r="E100" s="88">
        <f>'B1 (Res) Branca OK'!E101</f>
        <v>9.2697336752736934E-2</v>
      </c>
      <c r="F100" s="88">
        <f>'B1 (Res) Branca OK'!F101</f>
        <v>0.25285140003260193</v>
      </c>
      <c r="G100" s="88">
        <f>'B1 (Res) Branca OK'!G101</f>
        <v>0.21506180592339585</v>
      </c>
    </row>
    <row r="101" spans="2:7" x14ac:dyDescent="0.3">
      <c r="B101" s="80"/>
      <c r="C101" s="80"/>
      <c r="D101" s="80"/>
      <c r="E101" s="80"/>
      <c r="F101" s="80"/>
      <c r="G101" s="80"/>
    </row>
    <row r="102" spans="2:7" x14ac:dyDescent="0.3">
      <c r="B102" s="89" t="s">
        <v>66</v>
      </c>
      <c r="C102" s="80"/>
      <c r="D102" s="80"/>
      <c r="E102" s="80"/>
      <c r="F102" s="80"/>
      <c r="G102" s="80"/>
    </row>
    <row r="103" spans="2:7" x14ac:dyDescent="0.3">
      <c r="B103" s="87"/>
      <c r="C103" s="87"/>
      <c r="D103" s="87" t="s">
        <v>44</v>
      </c>
      <c r="E103" s="87" t="s">
        <v>46</v>
      </c>
      <c r="F103" s="87" t="s">
        <v>45</v>
      </c>
      <c r="G103" s="87" t="s">
        <v>50</v>
      </c>
    </row>
    <row r="104" spans="2:7" x14ac:dyDescent="0.3">
      <c r="B104" s="87" t="s">
        <v>51</v>
      </c>
      <c r="C104" s="87"/>
      <c r="D104" s="88" t="s">
        <v>52</v>
      </c>
      <c r="E104" s="88" t="s">
        <v>52</v>
      </c>
      <c r="F104" s="88" t="s">
        <v>52</v>
      </c>
      <c r="G104" s="88" t="s">
        <v>52</v>
      </c>
    </row>
    <row r="105" spans="2:7" x14ac:dyDescent="0.3">
      <c r="B105" s="87"/>
      <c r="C105" s="87"/>
      <c r="D105" s="88"/>
      <c r="E105" s="88"/>
      <c r="F105" s="88"/>
      <c r="G105" s="88"/>
    </row>
    <row r="106" spans="2:7" x14ac:dyDescent="0.3">
      <c r="B106" s="87" t="s">
        <v>53</v>
      </c>
      <c r="C106" s="87"/>
      <c r="D106" s="88">
        <f t="shared" ref="D106:G114" si="20">((D92*$C$15)+(D78*$D$15))/($C$15+$D$15)</f>
        <v>7.7730431158266999E-2</v>
      </c>
      <c r="E106" s="88">
        <f t="shared" si="20"/>
        <v>0.61132189940376469</v>
      </c>
      <c r="F106" s="88">
        <f t="shared" si="20"/>
        <v>-0.36039798763446135</v>
      </c>
      <c r="G106" s="88">
        <f t="shared" si="20"/>
        <v>0.67162405179840057</v>
      </c>
    </row>
    <row r="107" spans="2:7" x14ac:dyDescent="0.3">
      <c r="B107" s="87" t="s">
        <v>54</v>
      </c>
      <c r="C107" s="87"/>
      <c r="D107" s="88">
        <f t="shared" si="20"/>
        <v>0.4001658329358076</v>
      </c>
      <c r="E107" s="88">
        <f t="shared" si="20"/>
        <v>0.78325949062068068</v>
      </c>
      <c r="F107" s="88">
        <f t="shared" si="20"/>
        <v>-0.24561517574508776</v>
      </c>
      <c r="G107" s="88">
        <f t="shared" si="20"/>
        <v>6.2189852188598502E-2</v>
      </c>
    </row>
    <row r="108" spans="2:7" x14ac:dyDescent="0.3">
      <c r="B108" s="87" t="s">
        <v>55</v>
      </c>
      <c r="C108" s="87"/>
      <c r="D108" s="88">
        <f t="shared" si="20"/>
        <v>7.761691687601012E-2</v>
      </c>
      <c r="E108" s="88">
        <f t="shared" si="20"/>
        <v>0.61129795181004365</v>
      </c>
      <c r="F108" s="88">
        <f t="shared" si="20"/>
        <v>-0.36046330971180029</v>
      </c>
      <c r="G108" s="88">
        <f t="shared" si="20"/>
        <v>0.67154844102573785</v>
      </c>
    </row>
    <row r="109" spans="2:7" x14ac:dyDescent="0.3">
      <c r="B109" s="87" t="s">
        <v>56</v>
      </c>
      <c r="C109" s="87"/>
      <c r="D109" s="88">
        <f t="shared" si="20"/>
        <v>7.761691687601012E-2</v>
      </c>
      <c r="E109" s="88">
        <f t="shared" si="20"/>
        <v>0.61129795181004365</v>
      </c>
      <c r="F109" s="88">
        <f t="shared" si="20"/>
        <v>-0.36046330971180029</v>
      </c>
      <c r="G109" s="88">
        <f t="shared" si="20"/>
        <v>0.67154844102573785</v>
      </c>
    </row>
    <row r="110" spans="2:7" x14ac:dyDescent="0.3">
      <c r="B110" s="87" t="s">
        <v>57</v>
      </c>
      <c r="C110" s="87"/>
      <c r="D110" s="88">
        <f t="shared" si="20"/>
        <v>7.761691687601012E-2</v>
      </c>
      <c r="E110" s="88">
        <f t="shared" si="20"/>
        <v>0.61129795181004642</v>
      </c>
      <c r="F110" s="88">
        <f t="shared" si="20"/>
        <v>-0.36046330971180029</v>
      </c>
      <c r="G110" s="88">
        <f t="shared" si="20"/>
        <v>0.67154844102573785</v>
      </c>
    </row>
    <row r="111" spans="2:7" x14ac:dyDescent="0.3">
      <c r="B111" s="87" t="s">
        <v>58</v>
      </c>
      <c r="C111" s="87"/>
      <c r="D111" s="88">
        <f t="shared" si="20"/>
        <v>7.761691687601012E-2</v>
      </c>
      <c r="E111" s="88">
        <f t="shared" si="20"/>
        <v>0.61129795181004642</v>
      </c>
      <c r="F111" s="88">
        <f t="shared" si="20"/>
        <v>-0.36046330971180029</v>
      </c>
      <c r="G111" s="88">
        <f t="shared" si="20"/>
        <v>0.67154844102573785</v>
      </c>
    </row>
    <row r="112" spans="2:7" x14ac:dyDescent="0.3">
      <c r="B112" s="87" t="s">
        <v>59</v>
      </c>
      <c r="C112" s="87"/>
      <c r="D112" s="88">
        <f t="shared" si="20"/>
        <v>-12.523040476122786</v>
      </c>
      <c r="E112" s="88">
        <f t="shared" si="20"/>
        <v>-2.0470056367554301</v>
      </c>
      <c r="F112" s="88">
        <f t="shared" si="20"/>
        <v>-7.6115430885558437</v>
      </c>
      <c r="G112" s="88">
        <f t="shared" si="20"/>
        <v>-5.4958301534046479</v>
      </c>
    </row>
    <row r="113" spans="2:7" x14ac:dyDescent="0.3">
      <c r="B113" s="87" t="s">
        <v>60</v>
      </c>
      <c r="C113" s="87"/>
      <c r="D113" s="88">
        <f t="shared" si="20"/>
        <v>7.7515250713828768E-2</v>
      </c>
      <c r="E113" s="88">
        <f t="shared" si="20"/>
        <v>0.61131476237951321</v>
      </c>
      <c r="F113" s="88">
        <f t="shared" si="20"/>
        <v>-0.36041745536285191</v>
      </c>
      <c r="G113" s="88">
        <f t="shared" si="20"/>
        <v>0.67158744226951272</v>
      </c>
    </row>
    <row r="114" spans="2:7" x14ac:dyDescent="0.3">
      <c r="B114" s="87" t="s">
        <v>61</v>
      </c>
      <c r="C114" s="87"/>
      <c r="D114" s="88">
        <f t="shared" si="20"/>
        <v>7.7515250713821426E-2</v>
      </c>
      <c r="E114" s="88">
        <f t="shared" si="20"/>
        <v>0.6113147623795091</v>
      </c>
      <c r="F114" s="88">
        <f t="shared" si="20"/>
        <v>-0.36041745536284187</v>
      </c>
      <c r="G114" s="88">
        <f t="shared" si="20"/>
        <v>0.67158744226950995</v>
      </c>
    </row>
  </sheetData>
  <customSheetViews>
    <customSheetView guid="{93A7E07A-AC2D-4310-B7ED-B74DACBA50A7}" scale="80" showGridLines="0" topLeftCell="A3">
      <selection activeCell="H22" sqref="H22"/>
      <pageMargins left="0.511811024" right="0.511811024" top="0.78740157499999996" bottom="0.78740157499999996" header="0.31496062000000002" footer="0.31496062000000002"/>
      <pageSetup orientation="portrait" r:id="rId1"/>
    </customSheetView>
    <customSheetView guid="{EB662AE4-4B22-40EC-8355-9AD94D059B97}" scale="70" showGridLines="0" topLeftCell="A4">
      <selection activeCell="C12" sqref="C12"/>
      <pageMargins left="0.511811024" right="0.511811024" top="0.78740157499999996" bottom="0.78740157499999996" header="0.31496062000000002" footer="0.31496062000000002"/>
      <pageSetup orientation="portrait" r:id="rId2"/>
    </customSheetView>
    <customSheetView guid="{A8592FA0-1011-4F02-BFB0-BB1C65ED9311}" scale="80" showGridLines="0">
      <selection activeCell="F14" sqref="F14"/>
      <pageMargins left="0.511811024" right="0.511811024" top="0.78740157499999996" bottom="0.78740157499999996" header="0.31496062000000002" footer="0.31496062000000002"/>
      <pageSetup orientation="portrait" r:id="rId3"/>
    </customSheetView>
  </customSheetViews>
  <mergeCells count="10">
    <mergeCell ref="R4:T4"/>
    <mergeCell ref="U4:W4"/>
    <mergeCell ref="X4:Z4"/>
    <mergeCell ref="B42:H42"/>
    <mergeCell ref="Q4:Q5"/>
    <mergeCell ref="H2:I2"/>
    <mergeCell ref="B4:B5"/>
    <mergeCell ref="C4:E4"/>
    <mergeCell ref="F4:H4"/>
    <mergeCell ref="I4:K4"/>
  </mergeCells>
  <conditionalFormatting sqref="K13:L13">
    <cfRule type="cellIs" dxfId="27" priority="1" operator="equal">
      <formula>"Escassez Hídrica"</formula>
    </cfRule>
    <cfRule type="cellIs" dxfId="26" priority="2" operator="equal">
      <formula>"VERDE"</formula>
    </cfRule>
    <cfRule type="cellIs" dxfId="25" priority="3" operator="equal">
      <formula>"BVM2"</formula>
    </cfRule>
    <cfRule type="cellIs" dxfId="24" priority="4" operator="equal">
      <formula>"BVM1"</formula>
    </cfRule>
    <cfRule type="cellIs" dxfId="23" priority="5" operator="equal">
      <formula>"BAM"</formula>
    </cfRule>
  </conditionalFormatting>
  <conditionalFormatting sqref="M3">
    <cfRule type="cellIs" dxfId="22" priority="16" operator="equal">
      <formula>"VERDE"</formula>
    </cfRule>
    <cfRule type="cellIs" dxfId="21" priority="17" operator="equal">
      <formula>"BVM2"</formula>
    </cfRule>
    <cfRule type="cellIs" dxfId="20" priority="18" operator="equal">
      <formula>"BVM1"</formula>
    </cfRule>
    <cfRule type="cellIs" dxfId="19" priority="19" operator="equal">
      <formula>"BAM"</formula>
    </cfRule>
  </conditionalFormatting>
  <conditionalFormatting sqref="M7">
    <cfRule type="containsText" dxfId="18" priority="11" operator="containsText" text="Escassez Hídrica">
      <formula>NOT(ISERROR(SEARCH("Escassez Hídrica",M7)))</formula>
    </cfRule>
    <cfRule type="cellIs" dxfId="17" priority="12" operator="equal">
      <formula>"VERDE"</formula>
    </cfRule>
    <cfRule type="cellIs" dxfId="16" priority="13" operator="equal">
      <formula>"BVM2"</formula>
    </cfRule>
    <cfRule type="cellIs" dxfId="15" priority="14" operator="equal">
      <formula>"BVM1"</formula>
    </cfRule>
    <cfRule type="cellIs" dxfId="14" priority="15" operator="equal">
      <formula>"BAM"</formula>
    </cfRule>
  </conditionalFormatting>
  <dataValidations disablePrompts="1" count="1">
    <dataValidation type="list" allowBlank="1" showInputMessage="1" showErrorMessage="1" sqref="K13:L13" xr:uid="{4C7D7949-EE97-4CA9-9173-91C87EBC7C6A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F33E-60E3-46AB-A8E8-D7E10071A638}">
  <dimension ref="A1:AB116"/>
  <sheetViews>
    <sheetView showGridLines="0" zoomScale="80" zoomScaleNormal="80" workbookViewId="0">
      <selection activeCell="K25" sqref="K25"/>
    </sheetView>
  </sheetViews>
  <sheetFormatPr defaultColWidth="9.109375" defaultRowHeight="14.4" x14ac:dyDescent="0.3"/>
  <cols>
    <col min="1" max="1" width="5.44140625" style="14" customWidth="1"/>
    <col min="2" max="2" width="25.44140625" style="14" customWidth="1"/>
    <col min="3" max="10" width="12.6640625" style="14" customWidth="1"/>
    <col min="11" max="12" width="14.33203125" style="14" customWidth="1"/>
    <col min="13" max="16" width="12.6640625" style="14" customWidth="1"/>
    <col min="17" max="17" width="9.44140625" style="14" bestFit="1" customWidth="1"/>
    <col min="18" max="18" width="12.109375" style="14" bestFit="1" customWidth="1"/>
    <col min="19" max="19" width="13.109375" style="14" bestFit="1" customWidth="1"/>
    <col min="20" max="20" width="11.33203125" style="14" bestFit="1" customWidth="1"/>
    <col min="21" max="21" width="12.109375" style="14" bestFit="1" customWidth="1"/>
    <col min="22" max="22" width="13.109375" style="14" bestFit="1" customWidth="1"/>
    <col min="23" max="23" width="11.33203125" style="14" bestFit="1" customWidth="1"/>
    <col min="24" max="24" width="12.109375" style="14" bestFit="1" customWidth="1"/>
    <col min="25" max="25" width="13.109375" style="14" bestFit="1" customWidth="1"/>
    <col min="26" max="26" width="11.33203125" style="14" bestFit="1" customWidth="1"/>
    <col min="27" max="16384" width="9.109375" style="14"/>
  </cols>
  <sheetData>
    <row r="1" spans="1:28" x14ac:dyDescent="0.3">
      <c r="A1" s="14" t="s">
        <v>14</v>
      </c>
      <c r="B1" s="14" t="s">
        <v>14</v>
      </c>
      <c r="F1" s="15"/>
      <c r="G1" s="16"/>
      <c r="H1" s="16" t="s">
        <v>14</v>
      </c>
      <c r="I1" s="16"/>
      <c r="J1" s="16"/>
      <c r="K1" s="16"/>
      <c r="L1" s="14" t="s">
        <v>14</v>
      </c>
    </row>
    <row r="2" spans="1:28" ht="18" x14ac:dyDescent="0.3">
      <c r="B2" s="17" t="s">
        <v>173</v>
      </c>
      <c r="E2" s="18" t="s">
        <v>15</v>
      </c>
      <c r="F2" s="19">
        <f>'B1 (Res) Branca OK'!F2</f>
        <v>46241</v>
      </c>
      <c r="G2" s="16" t="s">
        <v>14</v>
      </c>
      <c r="H2" s="274" t="s">
        <v>41</v>
      </c>
      <c r="I2" s="274"/>
      <c r="J2" s="16"/>
      <c r="K2" s="16"/>
      <c r="M2" s="11" t="s">
        <v>67</v>
      </c>
      <c r="N2" s="11" t="s">
        <v>2</v>
      </c>
      <c r="Q2" s="144" t="s">
        <v>153</v>
      </c>
      <c r="R2" s="149"/>
    </row>
    <row r="3" spans="1:28" x14ac:dyDescent="0.3">
      <c r="M3" s="20" t="s">
        <v>22</v>
      </c>
      <c r="N3" s="165">
        <f>'B1 (Res) Branca OK'!N3</f>
        <v>0</v>
      </c>
    </row>
    <row r="4" spans="1:28" ht="15" customHeight="1" x14ac:dyDescent="0.3">
      <c r="B4" s="275" t="s">
        <v>68</v>
      </c>
      <c r="C4" s="277" t="str">
        <f>'B1 (Res) Branca OK'!C4</f>
        <v>TARIFA ANTIGA - REH 3370/2024</v>
      </c>
      <c r="D4" s="277"/>
      <c r="E4" s="277"/>
      <c r="F4" s="277" t="str">
        <f>'B1 (Res) Branca OK'!F4</f>
        <v>TARIFA NOVA - REH xxxx/2025</v>
      </c>
      <c r="G4" s="277"/>
      <c r="H4" s="277"/>
      <c r="I4" s="278" t="s">
        <v>69</v>
      </c>
      <c r="J4" s="278"/>
      <c r="K4" s="278"/>
      <c r="M4" s="21" t="s">
        <v>16</v>
      </c>
      <c r="N4" s="22">
        <f>'B1 (Res) Branca OK'!N4</f>
        <v>1.8849999999999999E-2</v>
      </c>
      <c r="Q4" s="275" t="s">
        <v>68</v>
      </c>
      <c r="R4" s="279" t="str">
        <f>C4</f>
        <v>TARIFA ANTIGA - REH 3370/2024</v>
      </c>
      <c r="S4" s="280"/>
      <c r="T4" s="281"/>
      <c r="U4" s="279" t="str">
        <f>F4</f>
        <v>TARIFA NOVA - REH xxxx/2025</v>
      </c>
      <c r="V4" s="280"/>
      <c r="W4" s="281"/>
      <c r="X4" s="279" t="s">
        <v>69</v>
      </c>
      <c r="Y4" s="280"/>
      <c r="Z4" s="281"/>
    </row>
    <row r="5" spans="1:28" x14ac:dyDescent="0.3">
      <c r="B5" s="276"/>
      <c r="C5" s="23" t="s">
        <v>70</v>
      </c>
      <c r="D5" s="23" t="s">
        <v>1</v>
      </c>
      <c r="E5" s="23" t="s">
        <v>42</v>
      </c>
      <c r="F5" s="23" t="s">
        <v>70</v>
      </c>
      <c r="G5" s="23" t="s">
        <v>1</v>
      </c>
      <c r="H5" s="23" t="s">
        <v>42</v>
      </c>
      <c r="I5" s="24" t="s">
        <v>70</v>
      </c>
      <c r="J5" s="24" t="s">
        <v>1</v>
      </c>
      <c r="K5" s="24" t="s">
        <v>42</v>
      </c>
      <c r="M5" s="25" t="s">
        <v>36</v>
      </c>
      <c r="N5" s="26">
        <f>'B1 (Res) Branca OK'!N5</f>
        <v>4.4630000000000003E-2</v>
      </c>
      <c r="Q5" s="276"/>
      <c r="R5" s="23" t="s">
        <v>154</v>
      </c>
      <c r="S5"/>
      <c r="T5"/>
      <c r="U5" s="23" t="s">
        <v>154</v>
      </c>
      <c r="V5"/>
      <c r="W5"/>
      <c r="X5" s="23" t="s">
        <v>154</v>
      </c>
      <c r="Y5"/>
      <c r="Z5"/>
    </row>
    <row r="6" spans="1:28" x14ac:dyDescent="0.3">
      <c r="B6" s="27" t="s">
        <v>146</v>
      </c>
      <c r="C6" s="28">
        <f>'TABELA DE TARIFAS ANTIGAS'!G85/1000</f>
        <v>0.46862999999999999</v>
      </c>
      <c r="D6" s="28">
        <f>'TABELA DE TARIFAS ANTIGAS'!H85/1000</f>
        <v>0.32068000000000002</v>
      </c>
      <c r="E6" s="28">
        <f t="shared" ref="E6:E8" si="0">C6+D6</f>
        <v>0.78930999999999996</v>
      </c>
      <c r="F6" s="28">
        <f>'TABELA DE TARIFAS NOVAS'!G87/1000</f>
        <v>0.50631999999999999</v>
      </c>
      <c r="G6" s="28">
        <f>'TABELA DE TARIFAS NOVAS'!H87/1000</f>
        <v>0.33738999999999997</v>
      </c>
      <c r="H6" s="28">
        <f t="shared" ref="H6:H9" si="1">F6+G6</f>
        <v>0.84370999999999996</v>
      </c>
      <c r="I6" s="28">
        <f>((C6*$C$15)+(F6*$D$15))/($D$15+$C$15)</f>
        <v>-0.84687258064516224</v>
      </c>
      <c r="J6" s="28">
        <f>((D6*$C$15)+(G6*$D$15))/($D$15+$C$15)</f>
        <v>-0.26255290322580455</v>
      </c>
      <c r="K6" s="29">
        <f t="shared" ref="K6:K9" si="2">I6+J6</f>
        <v>-1.1094254838709667</v>
      </c>
      <c r="M6" s="7" t="s">
        <v>37</v>
      </c>
      <c r="N6" s="8">
        <f>'B1 (Res) Branca OK'!N6</f>
        <v>7.8770000000000007E-2</v>
      </c>
      <c r="Q6" s="27" t="str">
        <f>B6</f>
        <v>B3 Ponta</v>
      </c>
      <c r="R6" s="28">
        <f>'FIO B'!H29/1000</f>
        <v>0.20383072193179136</v>
      </c>
      <c r="S6"/>
      <c r="T6"/>
      <c r="U6" s="28">
        <f>'FIO B'!K29/1000</f>
        <v>0.20915159219558199</v>
      </c>
      <c r="V6"/>
      <c r="W6"/>
      <c r="X6" s="28">
        <f>((R6*$C$15)+(U6*$D$15))/($D$15+$C$15)</f>
        <v>1.811518562787327E-2</v>
      </c>
      <c r="Y6"/>
      <c r="Z6"/>
    </row>
    <row r="7" spans="1:28" customFormat="1" x14ac:dyDescent="0.3">
      <c r="B7" s="27" t="s">
        <v>147</v>
      </c>
      <c r="C7" s="28">
        <f>'TABELA DE TARIFAS ANTIGAS'!G87/1000</f>
        <v>0.72533999999999998</v>
      </c>
      <c r="D7" s="28">
        <f>'TABELA DE TARIFAS ANTIGAS'!H87/1000</f>
        <v>0.30579000000000001</v>
      </c>
      <c r="E7" s="28">
        <f t="shared" si="0"/>
        <v>1.0311300000000001</v>
      </c>
      <c r="F7" s="28">
        <f>'TABELA DE TARIFAS NOVAS'!G89/1000</f>
        <v>0.77600999999999998</v>
      </c>
      <c r="G7" s="28">
        <f>'TABELA DE TARIFAS NOVAS'!H89/1000</f>
        <v>0.32106999999999997</v>
      </c>
      <c r="H7" s="28">
        <f t="shared" si="1"/>
        <v>1.0970800000000001</v>
      </c>
      <c r="I7" s="28">
        <f>((C7*$C$15)+(F7*$D$15))/($D$15+$C$15)</f>
        <v>-1.0432064516129054</v>
      </c>
      <c r="J7" s="28">
        <f>((D7*$C$15)+(G7*$D$15))/($D$15+$C$15)</f>
        <v>-0.22753129032257896</v>
      </c>
      <c r="K7" s="29">
        <f t="shared" si="2"/>
        <v>-1.2707377419354844</v>
      </c>
      <c r="M7" s="20" t="s">
        <v>149</v>
      </c>
      <c r="N7" s="142">
        <f>'B1 (Res) Branca OK'!N7</f>
        <v>0.14199999999999999</v>
      </c>
      <c r="Q7" s="27" t="str">
        <f t="shared" ref="Q7:Q8" si="3">B7</f>
        <v>B3 Fora Ponta</v>
      </c>
      <c r="R7" s="28">
        <f>'FIO B'!H31/1000</f>
        <v>0.69302445456809059</v>
      </c>
      <c r="U7" s="28">
        <f>'FIO B'!K31/1000</f>
        <v>0.71111541346497797</v>
      </c>
      <c r="X7" s="28">
        <f>((R7*$C$15)+(U7*$D$15))/($D$15+$C$15)</f>
        <v>6.1591631134796619E-2</v>
      </c>
      <c r="AA7" s="14"/>
      <c r="AB7" s="14"/>
    </row>
    <row r="8" spans="1:28" customFormat="1" x14ac:dyDescent="0.3">
      <c r="B8" s="27" t="s">
        <v>148</v>
      </c>
      <c r="C8" s="28">
        <f>'TABELA DE TARIFAS ANTIGAS'!G86/1000</f>
        <v>1.0610299999999999</v>
      </c>
      <c r="D8" s="28">
        <f>'TABELA DE TARIFAS ANTIGAS'!H86/1000</f>
        <v>0.48448000000000002</v>
      </c>
      <c r="E8" s="28">
        <f t="shared" si="0"/>
        <v>1.5455099999999999</v>
      </c>
      <c r="F8" s="28">
        <f>'TABELA DE TARIFAS NOVAS'!G88/1000</f>
        <v>1.1286700000000001</v>
      </c>
      <c r="G8" s="28">
        <f>'TABELA DE TARIFAS NOVAS'!H88/1000</f>
        <v>0.51690999999999998</v>
      </c>
      <c r="H8" s="28">
        <f t="shared" si="1"/>
        <v>1.64558</v>
      </c>
      <c r="I8" s="28">
        <f>((C8*$C$15)+(F8*$D$15))/($D$15+$C$15)</f>
        <v>-1.2998241935483967</v>
      </c>
      <c r="J8" s="28">
        <f t="shared" ref="J8" si="4">((D8*$C$15)+(G8*$D$15))/($D$15+$C$15)</f>
        <v>-0.64743161290322215</v>
      </c>
      <c r="K8" s="29">
        <f t="shared" si="2"/>
        <v>-1.947255806451619</v>
      </c>
      <c r="Q8" s="27" t="str">
        <f t="shared" si="3"/>
        <v>B3 Interm.</v>
      </c>
      <c r="R8" s="28">
        <f>'FIO B'!H30/1000</f>
        <v>0.20383072193179136</v>
      </c>
      <c r="U8" s="28">
        <f>'FIO B'!K30/1000</f>
        <v>0.20915159219558199</v>
      </c>
      <c r="X8" s="28">
        <f>((R8*$C$15)+(U8*$D$15))/($D$15+$C$15)</f>
        <v>1.811518562787327E-2</v>
      </c>
      <c r="AA8" s="14"/>
      <c r="AB8" s="14"/>
    </row>
    <row r="9" spans="1:28" customFormat="1" x14ac:dyDescent="0.3">
      <c r="B9" s="184" t="s">
        <v>182</v>
      </c>
      <c r="C9" s="29">
        <f>'B1 (Res) Branca OK'!C9</f>
        <v>1.8774721494831901E-4</v>
      </c>
      <c r="D9" s="29">
        <f>'B1 (Res) Branca OK'!D9</f>
        <v>-4.4031307414479802E-3</v>
      </c>
      <c r="E9" s="29">
        <f>SUM(C9+D9)</f>
        <v>-4.2153835264996612E-3</v>
      </c>
      <c r="F9" s="29">
        <f>T13</f>
        <v>1.7567285996534902E-4</v>
      </c>
      <c r="G9" s="29">
        <f>U13</f>
        <v>3.42973552660492E-3</v>
      </c>
      <c r="H9" s="29">
        <f t="shared" si="1"/>
        <v>3.6054083865702689E-3</v>
      </c>
      <c r="I9" s="28">
        <f>((C9*$C$15)+(F9*$D$15))/($D$15+$C$15)</f>
        <v>6.0918115338617462E-4</v>
      </c>
      <c r="J9" s="28">
        <f>((D9*$C$15)+(G9*$D$15))/($D$15+$C$15)</f>
        <v>-0.27779543080703628</v>
      </c>
      <c r="K9" s="29">
        <f t="shared" si="2"/>
        <v>-0.27718624965365013</v>
      </c>
      <c r="AA9" s="14"/>
      <c r="AB9" s="14"/>
    </row>
    <row r="10" spans="1:28" x14ac:dyDescent="0.3">
      <c r="G10" s="16"/>
      <c r="H10" s="16"/>
      <c r="I10" s="16"/>
      <c r="J10" s="16"/>
      <c r="K10" s="16"/>
      <c r="O10" s="18"/>
      <c r="P10" s="170" t="s">
        <v>175</v>
      </c>
      <c r="Q10" s="171"/>
      <c r="R10" s="172" t="s">
        <v>176</v>
      </c>
      <c r="S10" s="172" t="s">
        <v>177</v>
      </c>
      <c r="T10" s="172" t="s">
        <v>154</v>
      </c>
      <c r="U10" s="172" t="s">
        <v>178</v>
      </c>
      <c r="V10" s="16"/>
      <c r="W10" s="16"/>
      <c r="X10" s="16"/>
      <c r="Y10" s="16"/>
      <c r="Z10" s="16"/>
    </row>
    <row r="11" spans="1:28" x14ac:dyDescent="0.3">
      <c r="B11" s="30"/>
      <c r="C11" s="31"/>
      <c r="D11" s="32"/>
      <c r="E11" s="31"/>
      <c r="F11" s="31"/>
      <c r="G11" s="31"/>
      <c r="H11" s="33" t="s">
        <v>35</v>
      </c>
      <c r="I11" s="16"/>
      <c r="L11" s="18" t="s">
        <v>71</v>
      </c>
      <c r="M11" s="19">
        <f>EOMONTH(B15,0)+1</f>
        <v>45139</v>
      </c>
      <c r="P11" s="173" t="s">
        <v>179</v>
      </c>
      <c r="Q11" s="174"/>
      <c r="R11" s="175"/>
      <c r="S11" s="175"/>
      <c r="T11" s="176"/>
      <c r="U11" s="176"/>
    </row>
    <row r="12" spans="1:28" x14ac:dyDescent="0.3">
      <c r="B12" s="34" t="s">
        <v>34</v>
      </c>
      <c r="C12" s="141"/>
      <c r="E12" s="16"/>
      <c r="F12" s="16"/>
      <c r="G12" s="16"/>
      <c r="H12" s="35">
        <f>E15</f>
        <v>45158</v>
      </c>
      <c r="K12" s="282" t="s">
        <v>72</v>
      </c>
      <c r="L12" s="282"/>
      <c r="P12" s="177" t="s">
        <v>180</v>
      </c>
      <c r="Q12" s="178"/>
      <c r="R12" s="179"/>
      <c r="S12" s="179"/>
      <c r="T12" s="180"/>
      <c r="U12" s="196">
        <f>5.61/1000</f>
        <v>5.6100000000000004E-3</v>
      </c>
    </row>
    <row r="13" spans="1:28" x14ac:dyDescent="0.3">
      <c r="B13" s="36"/>
      <c r="H13" s="37"/>
      <c r="K13" s="20" t="s">
        <v>22</v>
      </c>
      <c r="L13" s="20" t="s">
        <v>22</v>
      </c>
      <c r="P13" s="181" t="s">
        <v>181</v>
      </c>
      <c r="Q13" s="182"/>
      <c r="R13" s="183"/>
      <c r="S13" s="183"/>
      <c r="T13" s="197">
        <f>0.175672859965349/1000</f>
        <v>1.7567285996534902E-4</v>
      </c>
      <c r="U13" s="196">
        <f>3.42973552660492/1000</f>
        <v>3.42973552660492E-3</v>
      </c>
    </row>
    <row r="14" spans="1:28" ht="27.6" x14ac:dyDescent="0.3">
      <c r="B14" s="38" t="s">
        <v>5</v>
      </c>
      <c r="C14" s="38" t="s">
        <v>4</v>
      </c>
      <c r="D14" s="38" t="s">
        <v>25</v>
      </c>
      <c r="E14" s="38" t="s">
        <v>3</v>
      </c>
      <c r="F14" s="16"/>
      <c r="G14" s="16"/>
      <c r="H14" s="39"/>
      <c r="J14" s="38" t="s">
        <v>5</v>
      </c>
      <c r="K14" s="38" t="s">
        <v>4</v>
      </c>
      <c r="L14" s="38" t="s">
        <v>25</v>
      </c>
      <c r="M14" s="38" t="s">
        <v>3</v>
      </c>
    </row>
    <row r="15" spans="1:28" x14ac:dyDescent="0.3">
      <c r="B15" s="40">
        <v>45127</v>
      </c>
      <c r="C15" s="41">
        <f>IF((F2-B15-1)&lt;0,0,(F2-B15-1))</f>
        <v>1113</v>
      </c>
      <c r="D15" s="41">
        <f>E15-F2+1</f>
        <v>-1082</v>
      </c>
      <c r="E15" s="40">
        <v>45158</v>
      </c>
      <c r="F15" s="42"/>
      <c r="G15" s="42"/>
      <c r="H15" s="43"/>
      <c r="J15" s="44">
        <f>B15</f>
        <v>45127</v>
      </c>
      <c r="K15" s="45">
        <f>IF((M11-J15-1)&lt;0,0,(M11-J15-1))</f>
        <v>11</v>
      </c>
      <c r="L15" s="45">
        <f>M15-M11+1</f>
        <v>20</v>
      </c>
      <c r="M15" s="44">
        <f>E15</f>
        <v>45158</v>
      </c>
    </row>
    <row r="16" spans="1:28" x14ac:dyDescent="0.3">
      <c r="F16" s="167" t="s">
        <v>166</v>
      </c>
      <c r="G16" s="168">
        <v>0.03</v>
      </c>
      <c r="H16" s="168">
        <v>0.03</v>
      </c>
    </row>
    <row r="17" spans="2:22" ht="42" customHeight="1" x14ac:dyDescent="0.3">
      <c r="B17" s="201" t="s">
        <v>190</v>
      </c>
      <c r="C17" s="201" t="s">
        <v>191</v>
      </c>
      <c r="D17" s="201" t="s">
        <v>192</v>
      </c>
      <c r="E17" s="202" t="s">
        <v>193</v>
      </c>
      <c r="F17" s="202" t="s">
        <v>194</v>
      </c>
      <c r="G17" s="202" t="s">
        <v>195</v>
      </c>
      <c r="H17" s="202" t="s">
        <v>196</v>
      </c>
      <c r="I17" s="202" t="s">
        <v>197</v>
      </c>
      <c r="J17" s="202" t="s">
        <v>198</v>
      </c>
      <c r="K17" s="203" t="s">
        <v>199</v>
      </c>
      <c r="L17" s="201" t="s">
        <v>200</v>
      </c>
      <c r="M17" s="202" t="s">
        <v>201</v>
      </c>
      <c r="N17" s="202" t="s">
        <v>202</v>
      </c>
      <c r="O17" s="202" t="s">
        <v>203</v>
      </c>
    </row>
    <row r="18" spans="2:22" x14ac:dyDescent="0.3"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62"/>
      <c r="M18" s="205"/>
      <c r="N18" s="205"/>
      <c r="O18" s="205"/>
      <c r="P18" s="16"/>
      <c r="Q18" s="16"/>
      <c r="R18" s="133"/>
      <c r="S18" s="133"/>
      <c r="T18" s="16"/>
      <c r="U18" s="16"/>
      <c r="V18" s="16"/>
    </row>
    <row r="19" spans="2:22" x14ac:dyDescent="0.3">
      <c r="B19" s="205" t="s">
        <v>211</v>
      </c>
      <c r="C19" s="206" t="s">
        <v>204</v>
      </c>
      <c r="D19" s="207">
        <v>200</v>
      </c>
      <c r="E19" s="208">
        <f>(ROUND(D19*K19,2)+ROUND(G19,2)+ROUND(J19,2))/ROUND(D19,4)</f>
        <v>0.59310000000000007</v>
      </c>
      <c r="F19" s="209">
        <f>ROUND(D19*E19,2)</f>
        <v>118.62</v>
      </c>
      <c r="G19" s="209">
        <f>((D19*K19)/(1-$N$19-$N$20))*($N$19+$N$20)</f>
        <v>4.7256806722689069</v>
      </c>
      <c r="H19" s="210">
        <f>ROUND((D19*K19)/(1-$N$19-$N$20)/(1-$I$19),8)</f>
        <v>118.61648274</v>
      </c>
      <c r="I19" s="211">
        <v>0.17</v>
      </c>
      <c r="J19" s="210">
        <f>H19*$I$19</f>
        <v>20.1648020658</v>
      </c>
      <c r="K19" s="208">
        <f>IF(AND($B$15&lt;$F$2,$E$15&lt;$F$2),C6,IF($B$15&lt;$F$2,I6,F6))</f>
        <v>0.46862999999999999</v>
      </c>
      <c r="L19" s="47" t="s">
        <v>27</v>
      </c>
      <c r="M19" s="209">
        <f>D62</f>
        <v>14256.085531825795</v>
      </c>
      <c r="N19" s="212">
        <v>8.5000000000000006E-3</v>
      </c>
      <c r="O19" s="213">
        <f>ROUND(M19*N19,2)</f>
        <v>121.18</v>
      </c>
      <c r="P19" s="16"/>
      <c r="Q19" s="16"/>
      <c r="R19" s="230"/>
      <c r="S19" s="231"/>
      <c r="T19" s="16"/>
      <c r="U19" s="16"/>
      <c r="V19" s="16"/>
    </row>
    <row r="20" spans="2:22" x14ac:dyDescent="0.3">
      <c r="B20" s="205" t="s">
        <v>212</v>
      </c>
      <c r="C20" s="206" t="s">
        <v>204</v>
      </c>
      <c r="D20" s="207">
        <v>200</v>
      </c>
      <c r="E20" s="208">
        <f t="shared" ref="E20:E21" si="5">(ROUND(D20*K20,2)+ROUND(G20,2)+ROUND(J20,2))/ROUND(D20,4)</f>
        <v>1.3428499999999999</v>
      </c>
      <c r="F20" s="209">
        <f t="shared" ref="F20:F28" si="6">ROUND(D20*E20,2)</f>
        <v>268.57</v>
      </c>
      <c r="G20" s="209">
        <f>((D20*K20)/(1-$N$19-$N$20))*($N$19+$N$20)</f>
        <v>10.69946218487395</v>
      </c>
      <c r="H20" s="210">
        <f>ROUND((D20*K20)/(1-$N$19-$N$20)/(1-$I$19),8)</f>
        <v>268.56079781</v>
      </c>
      <c r="I20" s="211">
        <f>I19</f>
        <v>0.17</v>
      </c>
      <c r="J20" s="210">
        <f t="shared" ref="J20:J28" si="7">H20*$I$19</f>
        <v>45.655335627700005</v>
      </c>
      <c r="K20" s="208">
        <f>IF(AND($B$15&lt;$F$2,$E$15&lt;$F$2),C8,IF($B$15&lt;$F$2,I8,F8))</f>
        <v>1.0610299999999999</v>
      </c>
      <c r="L20" s="47" t="s">
        <v>19</v>
      </c>
      <c r="M20" s="209">
        <f>M19</f>
        <v>14256.085531825795</v>
      </c>
      <c r="N20" s="212">
        <v>3.95E-2</v>
      </c>
      <c r="O20" s="213">
        <f>ROUND(M20*N20,2)</f>
        <v>563.12</v>
      </c>
      <c r="P20" s="16"/>
      <c r="Q20" s="16"/>
      <c r="R20" s="230"/>
      <c r="S20" s="231"/>
      <c r="T20" s="16"/>
      <c r="U20" s="16"/>
      <c r="V20" s="16"/>
    </row>
    <row r="21" spans="2:22" x14ac:dyDescent="0.3">
      <c r="B21" s="205" t="s">
        <v>213</v>
      </c>
      <c r="C21" s="206" t="s">
        <v>204</v>
      </c>
      <c r="D21" s="207">
        <v>200</v>
      </c>
      <c r="E21" s="208">
        <f t="shared" si="5"/>
        <v>0.91795000000000004</v>
      </c>
      <c r="F21" s="209">
        <f t="shared" si="6"/>
        <v>183.59</v>
      </c>
      <c r="G21" s="209">
        <f>((D21*K21)/(1-$N$19-$N$20))*($N$19+$N$20)</f>
        <v>7.3143529411764687</v>
      </c>
      <c r="H21" s="210">
        <f>ROUND((D21*K21)/(1-$N$19-$N$20)/(1-$I$19),8)</f>
        <v>183.59319631</v>
      </c>
      <c r="I21" s="211">
        <f>I19</f>
        <v>0.17</v>
      </c>
      <c r="J21" s="210">
        <f t="shared" si="7"/>
        <v>31.210843372700001</v>
      </c>
      <c r="K21" s="208">
        <f>IF(AND($B$15&lt;$F$2,$E$15&lt;$F$2),C7,IF($B$15&lt;$F$2,I7,F7))</f>
        <v>0.72533999999999998</v>
      </c>
      <c r="L21" s="226"/>
      <c r="M21" s="227"/>
      <c r="N21" s="228"/>
      <c r="O21" s="229"/>
      <c r="P21" s="16"/>
      <c r="Q21" s="16"/>
      <c r="R21" s="230"/>
      <c r="S21" s="231"/>
      <c r="T21" s="16"/>
      <c r="U21" s="16"/>
      <c r="V21" s="16"/>
    </row>
    <row r="22" spans="2:22" x14ac:dyDescent="0.3">
      <c r="B22" s="205" t="s">
        <v>214</v>
      </c>
      <c r="C22" s="206" t="s">
        <v>204</v>
      </c>
      <c r="D22" s="214">
        <f>D19</f>
        <v>200</v>
      </c>
      <c r="E22" s="208">
        <f>(ROUND(D22*K22,2)+ROUND(G22,2)+ROUND(J22,2))/ROUND(D22,4)</f>
        <v>0.40584999999999999</v>
      </c>
      <c r="F22" s="209">
        <f t="shared" si="6"/>
        <v>81.17</v>
      </c>
      <c r="G22" s="209">
        <f>((D22*K22)/(1-$N$19-$N$20))*($N$19+$N$20)</f>
        <v>3.2337478991596638</v>
      </c>
      <c r="H22" s="210">
        <f>(D22*K22)/(1-$N$19-$N$20)/(1-$I$19)</f>
        <v>81.168370962842971</v>
      </c>
      <c r="I22" s="205"/>
      <c r="J22" s="210">
        <f t="shared" si="7"/>
        <v>13.798623063683307</v>
      </c>
      <c r="K22" s="208">
        <f>IF(AND($B$15&lt;$F$2,$E$15&lt;$F$2),D6,IF($B$15&lt;$F$2,J6,G6))</f>
        <v>0.32068000000000002</v>
      </c>
      <c r="L22" s="226"/>
      <c r="M22" s="227"/>
      <c r="N22" s="228"/>
      <c r="O22" s="229"/>
      <c r="P22" s="16"/>
      <c r="Q22" s="16"/>
      <c r="R22" s="16"/>
      <c r="S22" s="16"/>
      <c r="T22" s="16"/>
      <c r="U22" s="16"/>
      <c r="V22" s="16"/>
    </row>
    <row r="23" spans="2:22" x14ac:dyDescent="0.3">
      <c r="B23" s="205" t="s">
        <v>215</v>
      </c>
      <c r="C23" s="206" t="s">
        <v>204</v>
      </c>
      <c r="D23" s="214">
        <f>D20</f>
        <v>200</v>
      </c>
      <c r="E23" s="208">
        <f t="shared" ref="E23:E24" si="8">(ROUND(D23*K23,2)+ROUND(G23,2)+ROUND(J23,2))/ROUND(D23,4)</f>
        <v>0.61320000000000008</v>
      </c>
      <c r="F23" s="209">
        <f t="shared" si="6"/>
        <v>122.64</v>
      </c>
      <c r="G23" s="209">
        <f t="shared" ref="G23:G24" si="9">((D23*K23)/(1-$N$19-$N$20))*($N$19+$N$20)</f>
        <v>4.8855126050420168</v>
      </c>
      <c r="H23" s="210">
        <f t="shared" ref="H23:H24" si="10">(D23*K23)/(1-$N$19-$N$20)/(1-$I$19)</f>
        <v>122.62832843980966</v>
      </c>
      <c r="I23" s="205"/>
      <c r="J23" s="210">
        <f t="shared" si="7"/>
        <v>20.846815834767643</v>
      </c>
      <c r="K23" s="208">
        <f>IF(AND($B$15&lt;$F$2,$E$15&lt;$F$2),D8,IF($B$15&lt;$F$2,J8,G8))</f>
        <v>0.48448000000000002</v>
      </c>
      <c r="L23" s="226"/>
      <c r="M23" s="227"/>
      <c r="N23" s="228"/>
      <c r="O23" s="229"/>
      <c r="P23" s="16"/>
      <c r="Q23" s="16"/>
      <c r="R23" s="16"/>
      <c r="S23" s="16"/>
      <c r="T23" s="16"/>
      <c r="U23" s="16"/>
      <c r="V23" s="16"/>
    </row>
    <row r="24" spans="2:22" x14ac:dyDescent="0.3">
      <c r="B24" s="205" t="s">
        <v>216</v>
      </c>
      <c r="C24" s="206" t="s">
        <v>204</v>
      </c>
      <c r="D24" s="214">
        <f>D21</f>
        <v>200</v>
      </c>
      <c r="E24" s="208">
        <f t="shared" si="8"/>
        <v>0.38699999999999996</v>
      </c>
      <c r="F24" s="209">
        <f t="shared" si="6"/>
        <v>77.400000000000006</v>
      </c>
      <c r="G24" s="209">
        <f t="shared" si="9"/>
        <v>3.0835966386554623</v>
      </c>
      <c r="H24" s="210">
        <f t="shared" si="10"/>
        <v>77.399514022476467</v>
      </c>
      <c r="I24" s="205"/>
      <c r="J24" s="210">
        <f t="shared" si="7"/>
        <v>13.157917383821001</v>
      </c>
      <c r="K24" s="208">
        <f>IF(AND($B$15&lt;$F$2,$E$15&lt;$F$2),D7,IF($B$15&lt;$F$2,J7,G7))</f>
        <v>0.30579000000000001</v>
      </c>
      <c r="L24" s="226"/>
      <c r="M24" s="227"/>
      <c r="N24" s="228"/>
      <c r="O24" s="229"/>
      <c r="P24" s="16"/>
      <c r="Q24" s="16"/>
      <c r="R24" s="16"/>
      <c r="S24" s="16"/>
      <c r="T24" s="16"/>
      <c r="U24" s="16"/>
      <c r="V24" s="16"/>
    </row>
    <row r="25" spans="2:22" x14ac:dyDescent="0.3">
      <c r="B25" s="205" t="s">
        <v>38</v>
      </c>
      <c r="C25" s="206" t="s">
        <v>204</v>
      </c>
      <c r="D25" s="214">
        <f>IF($K$13=N4,((D19+D20+D21)*(K15)/(K15+L15)),0)+IF($L$13=N4,((D19+D20+D21)*(L15)/(K15+L15)),0)</f>
        <v>0</v>
      </c>
      <c r="E25" s="208" t="e">
        <f>(ROUND(D25*K25,2)+ROUND(G25,2)+ROUND(J25,2))/ROUND(D25,4)</f>
        <v>#DIV/0!</v>
      </c>
      <c r="F25" s="209" t="e">
        <f t="shared" si="6"/>
        <v>#DIV/0!</v>
      </c>
      <c r="G25" s="209">
        <f>((D25*K25)/(1-$N$19-$N$20))*($N$19+$N$20)</f>
        <v>0</v>
      </c>
      <c r="H25" s="210">
        <f>(D25*K25)/(1-$N$19-$N$20)/(1-$I$19)</f>
        <v>0</v>
      </c>
      <c r="I25" s="205"/>
      <c r="J25" s="210">
        <f t="shared" si="7"/>
        <v>0</v>
      </c>
      <c r="K25" s="208">
        <f>N4</f>
        <v>1.8849999999999999E-2</v>
      </c>
      <c r="L25" s="79"/>
      <c r="M25" s="215"/>
      <c r="N25" s="215"/>
      <c r="O25" s="215"/>
      <c r="P25" s="16"/>
      <c r="Q25" s="16"/>
      <c r="R25" s="232"/>
      <c r="S25" s="16"/>
      <c r="T25" s="16"/>
      <c r="U25" s="16"/>
      <c r="V25" s="16"/>
    </row>
    <row r="26" spans="2:22" x14ac:dyDescent="0.3">
      <c r="B26" s="205" t="s">
        <v>39</v>
      </c>
      <c r="C26" s="206" t="s">
        <v>204</v>
      </c>
      <c r="D26" s="214">
        <f>IF($K$11=M5,(D19*(K13)/(K13+L13)),0)+IF($L$11=M5,(D19*(L13)/(K13+L13)),0)</f>
        <v>0</v>
      </c>
      <c r="E26" s="208">
        <f>K26/(1-$N$19-$N$20)/(1-$I$19)</f>
        <v>5.6482231446795587E-2</v>
      </c>
      <c r="F26" s="209">
        <f t="shared" si="6"/>
        <v>0</v>
      </c>
      <c r="G26" s="209">
        <f>((D26*K26)/(1-$N$19-$N$20))*($N$19+$N$20)</f>
        <v>0</v>
      </c>
      <c r="H26" s="210">
        <f>(D26*K26)/(1-$N$19-$N$20)/(1-$I$19)</f>
        <v>0</v>
      </c>
      <c r="I26" s="205"/>
      <c r="J26" s="210">
        <f t="shared" si="7"/>
        <v>0</v>
      </c>
      <c r="K26" s="208">
        <f>N5</f>
        <v>4.4630000000000003E-2</v>
      </c>
      <c r="O26" s="62"/>
      <c r="P26" s="16"/>
      <c r="Q26" s="16"/>
      <c r="R26" s="232"/>
      <c r="S26" s="233"/>
      <c r="T26" s="54"/>
      <c r="U26" s="16"/>
      <c r="V26" s="16"/>
    </row>
    <row r="27" spans="2:22" x14ac:dyDescent="0.3">
      <c r="B27" s="205" t="s">
        <v>40</v>
      </c>
      <c r="C27" s="206" t="s">
        <v>204</v>
      </c>
      <c r="D27" s="214">
        <f>IF($K$11=M6,(D19*(K13)/(K13+L13)),0)+IF($L$11=M6,(D19*(L13)/(K13+L13)),0)</f>
        <v>0</v>
      </c>
      <c r="E27" s="208">
        <f>K27/(1-$N$19-$N$20)/(1-$I$19)</f>
        <v>9.9688670648982486E-2</v>
      </c>
      <c r="F27" s="209">
        <f t="shared" si="6"/>
        <v>0</v>
      </c>
      <c r="G27" s="209">
        <f>((D27*K27)/(1-$N$19-$N$20))*($N$19+$N$20)</f>
        <v>0</v>
      </c>
      <c r="H27" s="210">
        <f>(D27*K27)/(1-$N$19-$N$20)/(1-$I$19)</f>
        <v>0</v>
      </c>
      <c r="I27" s="205"/>
      <c r="J27" s="210">
        <f t="shared" si="7"/>
        <v>0</v>
      </c>
      <c r="K27" s="208">
        <f>N6</f>
        <v>7.8770000000000007E-2</v>
      </c>
      <c r="O27" s="62"/>
      <c r="P27" s="16"/>
      <c r="Q27" s="54"/>
      <c r="R27" s="234"/>
      <c r="S27" s="235"/>
      <c r="T27" s="54"/>
      <c r="U27" s="16"/>
      <c r="V27" s="16"/>
    </row>
    <row r="28" spans="2:22" x14ac:dyDescent="0.3">
      <c r="B28" s="205" t="s">
        <v>205</v>
      </c>
      <c r="C28" s="206" t="s">
        <v>204</v>
      </c>
      <c r="D28" s="214">
        <f>IF($K$11=M7,(D19*(K13)/(K13+L13)),0)+IF($L$11=M7,(D19*(L13)/(K13+L13)),0)</f>
        <v>0</v>
      </c>
      <c r="E28" s="208">
        <f>K28/(1-$N$19-$N$20)/(1-$I$19)</f>
        <v>0.17971043839222434</v>
      </c>
      <c r="F28" s="209">
        <f t="shared" si="6"/>
        <v>0</v>
      </c>
      <c r="G28" s="209">
        <f>((D28*K28)/(1-$N$19-$N$20))*($N$19+$N$20)</f>
        <v>0</v>
      </c>
      <c r="H28" s="210">
        <f>(D28*K28)/(1-$N$19-$N$20)/(1-$I$19)</f>
        <v>0</v>
      </c>
      <c r="I28" s="205"/>
      <c r="J28" s="210">
        <f t="shared" si="7"/>
        <v>0</v>
      </c>
      <c r="K28" s="208">
        <f>N7</f>
        <v>0.14199999999999999</v>
      </c>
      <c r="O28" s="62"/>
      <c r="P28" s="16"/>
      <c r="Q28" s="16"/>
      <c r="R28" s="16"/>
      <c r="S28" s="235"/>
      <c r="T28" s="16"/>
      <c r="U28" s="16"/>
      <c r="V28" s="16"/>
    </row>
    <row r="29" spans="2:22" x14ac:dyDescent="0.3">
      <c r="B29" s="205" t="s">
        <v>206</v>
      </c>
      <c r="C29" s="205"/>
      <c r="D29" s="214"/>
      <c r="E29" s="205"/>
      <c r="F29" s="217"/>
      <c r="G29" s="205"/>
      <c r="H29" s="205"/>
      <c r="I29" s="205"/>
      <c r="J29" s="205"/>
      <c r="K29" s="205"/>
      <c r="O29" s="62"/>
      <c r="P29" s="16"/>
      <c r="Q29" s="16"/>
      <c r="R29" s="16"/>
      <c r="S29" s="235"/>
      <c r="T29" s="16"/>
      <c r="U29" s="16"/>
      <c r="V29" s="16"/>
    </row>
    <row r="30" spans="2:22" x14ac:dyDescent="0.3">
      <c r="B30" s="205" t="s">
        <v>207</v>
      </c>
      <c r="C30" s="205"/>
      <c r="D30" s="214"/>
      <c r="E30" s="205"/>
      <c r="F30" s="217"/>
      <c r="G30" s="205"/>
      <c r="H30" s="205"/>
      <c r="I30" s="205"/>
      <c r="J30" s="205"/>
      <c r="K30" s="205"/>
      <c r="O30" s="62"/>
      <c r="P30" s="16"/>
      <c r="Q30" s="16"/>
      <c r="R30" s="16"/>
      <c r="S30" s="235"/>
      <c r="T30" s="16"/>
      <c r="U30" s="16"/>
      <c r="V30" s="16"/>
    </row>
    <row r="31" spans="2:22" x14ac:dyDescent="0.3">
      <c r="B31" s="205" t="s">
        <v>208</v>
      </c>
      <c r="C31" s="205"/>
      <c r="D31" s="214"/>
      <c r="E31" s="205"/>
      <c r="F31" s="217"/>
      <c r="G31" s="205"/>
      <c r="H31" s="205"/>
      <c r="I31" s="205"/>
      <c r="J31" s="205"/>
      <c r="K31" s="205"/>
      <c r="O31" s="62"/>
      <c r="S31" s="216"/>
    </row>
    <row r="32" spans="2:22" x14ac:dyDescent="0.3">
      <c r="B32" s="205"/>
      <c r="C32" s="205"/>
      <c r="D32" s="214"/>
      <c r="E32" s="205"/>
      <c r="F32" s="205"/>
      <c r="G32" s="205"/>
      <c r="H32" s="205"/>
      <c r="I32" s="205"/>
      <c r="J32" s="205"/>
      <c r="K32" s="205"/>
      <c r="O32" s="62"/>
    </row>
    <row r="33" spans="2:19" x14ac:dyDescent="0.3">
      <c r="B33" s="205"/>
      <c r="C33" s="205"/>
      <c r="D33" s="214"/>
      <c r="E33" s="205"/>
      <c r="F33" s="205"/>
      <c r="G33" s="205"/>
      <c r="H33" s="205"/>
      <c r="I33" s="205"/>
      <c r="J33" s="205"/>
      <c r="K33" s="205"/>
      <c r="O33" s="62"/>
    </row>
    <row r="34" spans="2:19" x14ac:dyDescent="0.3">
      <c r="B34" s="205"/>
      <c r="C34" s="205"/>
      <c r="D34" s="214"/>
      <c r="E34" s="205"/>
      <c r="F34" s="205"/>
      <c r="G34" s="205"/>
      <c r="H34" s="205"/>
      <c r="I34" s="205"/>
      <c r="J34" s="205"/>
      <c r="K34" s="205"/>
      <c r="O34" s="62"/>
    </row>
    <row r="35" spans="2:19" x14ac:dyDescent="0.3">
      <c r="B35" s="218" t="s">
        <v>209</v>
      </c>
      <c r="C35" s="215"/>
      <c r="D35" s="219"/>
      <c r="E35" s="215"/>
      <c r="F35" s="220" t="e">
        <f>SUM(F19:F34)</f>
        <v>#DIV/0!</v>
      </c>
      <c r="G35" s="221">
        <f>SUM(G19:G34)</f>
        <v>33.942352941176466</v>
      </c>
      <c r="H35" s="222">
        <f>SUM(H19:H34)</f>
        <v>851.96669028512906</v>
      </c>
      <c r="I35" s="215"/>
      <c r="J35" s="222">
        <f>SUM(J19:J34)</f>
        <v>144.83433734847196</v>
      </c>
      <c r="K35" s="215"/>
      <c r="L35" s="68"/>
      <c r="M35" s="68"/>
      <c r="N35" s="68"/>
      <c r="O35" s="79"/>
    </row>
    <row r="37" spans="2:19" x14ac:dyDescent="0.3">
      <c r="B37" s="223" t="s">
        <v>210</v>
      </c>
      <c r="C37" s="224">
        <f>D19+D20+D21</f>
        <v>600</v>
      </c>
      <c r="D37" s="225">
        <f>IF(AND($B$15&lt;$F$2,$E$15&lt;$F$2),C9,IF($B$15&lt;$F$2,I9,F9))</f>
        <v>1.8774721494831901E-4</v>
      </c>
      <c r="E37" s="225">
        <f>IF(AND($B$15&lt;$F$2,$E$15&lt;$F$2),D9,IF($B$15&lt;$F$2,J9,G9))</f>
        <v>-4.4031307414479802E-3</v>
      </c>
      <c r="F37" s="223">
        <f>C37*(D37+E37)</f>
        <v>-2.5292301158997965</v>
      </c>
    </row>
    <row r="42" spans="2:19" x14ac:dyDescent="0.3">
      <c r="B42" s="271" t="s">
        <v>174</v>
      </c>
      <c r="C42" s="272"/>
      <c r="D42" s="272"/>
      <c r="E42" s="272"/>
      <c r="F42" s="272"/>
      <c r="G42" s="272"/>
      <c r="H42" s="273"/>
      <c r="I42" s="16"/>
      <c r="J42" s="140"/>
      <c r="K42" s="16"/>
      <c r="L42" s="16"/>
      <c r="M42" s="16"/>
      <c r="N42" s="16"/>
      <c r="O42" s="16"/>
      <c r="P42" s="16"/>
    </row>
    <row r="43" spans="2:19" x14ac:dyDescent="0.3">
      <c r="B43" s="36"/>
      <c r="D43" s="46" t="s">
        <v>8</v>
      </c>
      <c r="E43" s="46" t="s">
        <v>0</v>
      </c>
      <c r="F43" s="46" t="s">
        <v>1</v>
      </c>
      <c r="G43" s="46" t="s">
        <v>42</v>
      </c>
      <c r="H43" s="47" t="s">
        <v>9</v>
      </c>
      <c r="I43" s="16"/>
      <c r="J43" s="140" t="s">
        <v>152</v>
      </c>
      <c r="K43" s="16"/>
      <c r="L43" s="166"/>
      <c r="M43" s="16"/>
      <c r="N43" s="16"/>
      <c r="O43" s="16"/>
      <c r="P43" s="16"/>
    </row>
    <row r="44" spans="2:19" x14ac:dyDescent="0.3">
      <c r="B44" s="48" t="s">
        <v>73</v>
      </c>
      <c r="C44" s="49"/>
      <c r="D44" s="50"/>
      <c r="E44" s="50"/>
      <c r="F44" s="50"/>
      <c r="G44" s="50"/>
      <c r="H44" s="51">
        <f>SUM(H46:H56)+SUM(H62:H64)</f>
        <v>17176.006664850356</v>
      </c>
      <c r="I44" s="16"/>
      <c r="J44" s="16"/>
      <c r="K44" s="16"/>
      <c r="L44" s="16"/>
      <c r="M44" s="16"/>
      <c r="N44" s="16"/>
      <c r="O44" s="16"/>
      <c r="P44" s="16"/>
    </row>
    <row r="45" spans="2:19" x14ac:dyDescent="0.3">
      <c r="B45" s="36"/>
      <c r="D45" s="46"/>
      <c r="E45" s="46"/>
      <c r="F45" s="46"/>
      <c r="G45" s="46"/>
      <c r="H45" s="52"/>
      <c r="I45" s="16"/>
      <c r="J45" s="16"/>
      <c r="K45" s="16"/>
      <c r="L45" s="16"/>
      <c r="M45" s="16"/>
      <c r="N45" s="16"/>
      <c r="O45" s="16"/>
      <c r="P45" s="16"/>
      <c r="R45" s="144" t="s">
        <v>155</v>
      </c>
      <c r="S45" s="144" t="s">
        <v>156</v>
      </c>
    </row>
    <row r="46" spans="2:19" x14ac:dyDescent="0.3">
      <c r="B46" s="36" t="s">
        <v>6</v>
      </c>
      <c r="D46" s="53">
        <v>16</v>
      </c>
      <c r="E46" s="54">
        <f t="shared" ref="E46:F48" si="11">IF(AND($B$15&lt;$F$2,$E$15&lt;$F$2),C6,IF($B$15&lt;$F$2,I6,F6))</f>
        <v>0.46862999999999999</v>
      </c>
      <c r="F46" s="55">
        <f t="shared" si="11"/>
        <v>0.32068000000000002</v>
      </c>
      <c r="G46" s="54">
        <v>1.325</v>
      </c>
      <c r="H46" s="56">
        <f>ROUND((D46*E46),2)+ROUND((D46*F46),2)</f>
        <v>12.629999999999999</v>
      </c>
      <c r="I46" s="16"/>
      <c r="J46"/>
      <c r="K46"/>
      <c r="L46"/>
      <c r="M46" s="16"/>
      <c r="N46" s="16"/>
      <c r="O46" s="16"/>
      <c r="P46" s="16"/>
      <c r="R46" s="150">
        <f>IF(AND($B$15&lt;$F$2,$E$15&lt;$F$2),R6,IF($B$15&lt;$F$2,X6,U6))</f>
        <v>0.20383072193179136</v>
      </c>
      <c r="S46" s="151">
        <f>D46*R46</f>
        <v>3.2612915509086617</v>
      </c>
    </row>
    <row r="47" spans="2:19" x14ac:dyDescent="0.3">
      <c r="B47" s="36" t="s">
        <v>7</v>
      </c>
      <c r="D47" s="53">
        <v>13580</v>
      </c>
      <c r="E47" s="54">
        <f t="shared" si="11"/>
        <v>0.72533999999999998</v>
      </c>
      <c r="F47" s="55">
        <f t="shared" si="11"/>
        <v>0.30579000000000001</v>
      </c>
      <c r="G47" s="54">
        <v>0.53280000000000005</v>
      </c>
      <c r="H47" s="56">
        <f t="shared" ref="H47:H48" si="12">ROUND((D47*E47),2)+ROUND((D47*F47),2)</f>
        <v>14002.75</v>
      </c>
      <c r="I47" s="16"/>
      <c r="J47"/>
      <c r="K47"/>
      <c r="L47"/>
      <c r="M47" s="16"/>
      <c r="N47" s="16"/>
      <c r="O47" s="16"/>
      <c r="P47" s="16"/>
      <c r="R47" s="150">
        <f>IF(AND($B$15&lt;$F$2,$E$15&lt;$F$2),R7,IF($B$15&lt;$F$2,X7,U7))</f>
        <v>0.69302445456809059</v>
      </c>
      <c r="S47" s="151">
        <f t="shared" ref="S47:S48" si="13">D47*R47</f>
        <v>9411.2720930346695</v>
      </c>
    </row>
    <row r="48" spans="2:19" x14ac:dyDescent="0.3">
      <c r="B48" s="36" t="s">
        <v>141</v>
      </c>
      <c r="D48" s="53">
        <v>15</v>
      </c>
      <c r="E48" s="54">
        <f t="shared" si="11"/>
        <v>1.0610299999999999</v>
      </c>
      <c r="F48" s="55">
        <f t="shared" si="11"/>
        <v>0.48448000000000002</v>
      </c>
      <c r="G48" s="54">
        <v>0.84406000000000003</v>
      </c>
      <c r="H48" s="56">
        <f t="shared" si="12"/>
        <v>23.189999999999998</v>
      </c>
      <c r="I48" s="16"/>
      <c r="J48" s="16"/>
      <c r="K48" s="16"/>
      <c r="L48" s="57"/>
      <c r="M48" s="16"/>
      <c r="N48" s="16"/>
      <c r="O48" s="16"/>
      <c r="P48" s="16"/>
      <c r="R48" s="150">
        <f>IF(AND($B$15&lt;$F$2,$E$15&lt;$F$2),R8,IF($B$15&lt;$F$2,X8,U8))</f>
        <v>0.20383072193179136</v>
      </c>
      <c r="S48" s="151">
        <f t="shared" si="13"/>
        <v>3.0574608289768705</v>
      </c>
    </row>
    <row r="49" spans="2:19" x14ac:dyDescent="0.3">
      <c r="B49" s="36" t="s">
        <v>167</v>
      </c>
      <c r="D49" s="58"/>
      <c r="E49" s="59"/>
      <c r="F49" s="60"/>
      <c r="G49" s="60"/>
      <c r="H49" s="56">
        <f>IF(AND($B$15&lt;$F$2,$E$15&lt;$F$2),-H46*$G$16,-IF($B$15&lt;$F$2,((((E6)*$G$16*$C$15)+((H6)*$H$16*$D$15))/($C$15+$D$15))*D46,H46*$H$16))</f>
        <v>-0.37889999999999996</v>
      </c>
      <c r="I49" s="169">
        <f>H49/H46</f>
        <v>-0.03</v>
      </c>
      <c r="J49" s="16"/>
      <c r="K49" s="16"/>
      <c r="L49" s="16"/>
      <c r="M49" s="16"/>
      <c r="N49" s="16"/>
      <c r="O49" s="16"/>
      <c r="P49" s="16"/>
      <c r="S49" s="152">
        <f>SUM(S46:S48)</f>
        <v>9417.5908454145556</v>
      </c>
    </row>
    <row r="50" spans="2:19" x14ac:dyDescent="0.3">
      <c r="B50" s="36" t="s">
        <v>168</v>
      </c>
      <c r="D50" s="58"/>
      <c r="E50" s="59"/>
      <c r="F50" s="60"/>
      <c r="G50" s="60"/>
      <c r="H50" s="56">
        <f>IF(AND($B$15&lt;$F$2,$E$15&lt;$F$2),-H47*$G$16,-IF($B$15&lt;$F$2,((((E7)*$G$16*$C$15)+((H7)*$H$16*$D$15))/($C$15+$D$15))*D47,H47*$H$16))</f>
        <v>-420.08249999999998</v>
      </c>
      <c r="I50" s="169">
        <f t="shared" ref="I50:I51" si="14">H50/H47</f>
        <v>-0.03</v>
      </c>
      <c r="J50" s="16"/>
      <c r="K50" s="16"/>
      <c r="L50" s="16"/>
      <c r="M50" s="16"/>
      <c r="N50" s="16"/>
      <c r="O50" s="16"/>
      <c r="P50" s="16"/>
      <c r="S50" s="152"/>
    </row>
    <row r="51" spans="2:19" x14ac:dyDescent="0.3">
      <c r="B51" s="36" t="s">
        <v>169</v>
      </c>
      <c r="D51" s="58"/>
      <c r="E51" s="59"/>
      <c r="F51" s="60"/>
      <c r="G51" s="60"/>
      <c r="H51" s="56">
        <f>IF(AND($B$15&lt;$F$2,$E$15&lt;$F$2),-H48*$G$16,-IF($B$15&lt;$F$2,((((E8)*$G$16*$C$15)+((H8)*$H$16*$D$15))/($C$15+$D$15))*D48,H48*$H$16))</f>
        <v>-0.69569999999999987</v>
      </c>
      <c r="I51" s="169">
        <f t="shared" si="14"/>
        <v>-0.03</v>
      </c>
      <c r="J51" s="16"/>
      <c r="K51" s="16"/>
      <c r="L51" s="16"/>
      <c r="M51" s="16"/>
      <c r="N51" s="16"/>
      <c r="O51" s="16"/>
      <c r="P51" s="16"/>
      <c r="S51" s="152"/>
    </row>
    <row r="52" spans="2:19" x14ac:dyDescent="0.3">
      <c r="B52" s="36"/>
      <c r="D52" s="61"/>
      <c r="H52" s="62"/>
      <c r="I52" s="16"/>
      <c r="J52" s="16"/>
      <c r="K52" s="16"/>
      <c r="L52" s="16"/>
      <c r="M52" s="16"/>
      <c r="N52" s="16"/>
      <c r="O52" s="16"/>
      <c r="P52" s="16"/>
    </row>
    <row r="53" spans="2:19" x14ac:dyDescent="0.3">
      <c r="B53" s="36" t="s">
        <v>38</v>
      </c>
      <c r="D53" s="63">
        <f>IF($K$13=M4,((D46+D47+D48)*(K15)/(K15+L15)),0)+IF($L$13=M4,((D46+D47+D48)*(L15)/(K15+L15)),0)</f>
        <v>0</v>
      </c>
      <c r="F53" s="64">
        <f>N4</f>
        <v>1.8849999999999999E-2</v>
      </c>
      <c r="G53" s="64"/>
      <c r="H53" s="56">
        <f>ROUND(D53*(E53+F53),2)</f>
        <v>0</v>
      </c>
      <c r="I53" s="16"/>
      <c r="J53" s="16"/>
      <c r="K53" s="16"/>
      <c r="L53" s="16"/>
      <c r="M53" s="16"/>
      <c r="N53" s="16"/>
      <c r="O53" s="16"/>
      <c r="P53" s="16"/>
    </row>
    <row r="54" spans="2:19" x14ac:dyDescent="0.3">
      <c r="B54" s="36" t="s">
        <v>39</v>
      </c>
      <c r="D54" s="63">
        <f>IF($K$13=M5,((D46+D47+D48)*(K15)/(K15+L15)),0)+IF($L$13=M5,((D46+D47+D48)*(L15)/(K15+L15)),0)</f>
        <v>0</v>
      </c>
      <c r="F54" s="64">
        <f>N5</f>
        <v>4.4630000000000003E-2</v>
      </c>
      <c r="G54" s="64"/>
      <c r="H54" s="56">
        <f>ROUND(D54*(E54+F54),2)</f>
        <v>0</v>
      </c>
      <c r="I54" s="16"/>
      <c r="J54" s="16"/>
      <c r="K54" s="16"/>
      <c r="L54" s="16"/>
      <c r="M54" s="16"/>
      <c r="N54" s="16"/>
      <c r="O54" s="16"/>
      <c r="P54" s="16"/>
    </row>
    <row r="55" spans="2:19" x14ac:dyDescent="0.3">
      <c r="B55" s="36" t="s">
        <v>40</v>
      </c>
      <c r="D55" s="63">
        <f>IF($K$13=M6,((D46+D47+D48)*(K15)/(K15+L15)),0)+IF($L$13=M6,((D46+D47+D48)*(L15)/(K15+L15)),0)</f>
        <v>0</v>
      </c>
      <c r="F55" s="64">
        <f>N6</f>
        <v>7.8770000000000007E-2</v>
      </c>
      <c r="G55" s="64"/>
      <c r="H55" s="56">
        <f>ROUND(D55*(E55+F55),2)</f>
        <v>0</v>
      </c>
      <c r="I55" s="16"/>
      <c r="J55" s="16"/>
      <c r="K55" s="16"/>
      <c r="L55" s="16"/>
      <c r="M55" s="16"/>
      <c r="N55" s="16"/>
      <c r="O55" s="16"/>
      <c r="P55" s="16"/>
    </row>
    <row r="56" spans="2:19" x14ac:dyDescent="0.3">
      <c r="B56" s="36" t="s">
        <v>150</v>
      </c>
      <c r="D56" s="63">
        <f>IF($K$13=M7,((D46+D47+D48)*(K15)/(K15+L15)),0)+IF($L$13=M7,((D46+D47+D48)*(L15)/(K15+L15)),0)</f>
        <v>0</v>
      </c>
      <c r="F56" s="64">
        <f>N7</f>
        <v>0.14199999999999999</v>
      </c>
      <c r="G56" s="64"/>
      <c r="H56" s="56">
        <f>ROUND(D56*(E56+F56),2)</f>
        <v>0</v>
      </c>
      <c r="I56" s="16"/>
      <c r="J56" s="16"/>
      <c r="K56" s="16"/>
      <c r="L56" s="16"/>
      <c r="M56" s="16"/>
      <c r="N56" s="16"/>
      <c r="O56" s="16"/>
      <c r="P56" s="16"/>
    </row>
    <row r="57" spans="2:19" x14ac:dyDescent="0.3">
      <c r="B57" s="36"/>
      <c r="D57" s="61"/>
      <c r="H57" s="56"/>
      <c r="I57" s="16"/>
      <c r="J57" s="16"/>
      <c r="K57" s="16"/>
      <c r="L57" s="16"/>
      <c r="M57" s="16"/>
      <c r="N57" s="16"/>
      <c r="O57" s="16"/>
      <c r="P57" s="16"/>
    </row>
    <row r="58" spans="2:19" x14ac:dyDescent="0.3">
      <c r="B58" s="36"/>
      <c r="D58" s="63"/>
      <c r="F58" s="64"/>
      <c r="G58" s="64"/>
      <c r="H58" s="56"/>
      <c r="I58" s="16"/>
      <c r="J58" s="16"/>
      <c r="K58" s="16"/>
      <c r="L58" s="16"/>
      <c r="M58" s="16"/>
      <c r="N58" s="16"/>
      <c r="O58" s="16"/>
      <c r="P58" s="16"/>
    </row>
    <row r="59" spans="2:19" x14ac:dyDescent="0.3">
      <c r="B59" s="67"/>
      <c r="C59" s="68"/>
      <c r="D59" s="69"/>
      <c r="E59" s="70"/>
      <c r="F59" s="68"/>
      <c r="G59" s="68"/>
      <c r="H59" s="66"/>
      <c r="I59" s="16"/>
      <c r="J59" s="16"/>
      <c r="K59" s="16"/>
      <c r="L59" s="16"/>
      <c r="M59" s="16"/>
      <c r="N59" s="16"/>
      <c r="O59" s="16"/>
      <c r="P59" s="16"/>
    </row>
    <row r="60" spans="2:19" x14ac:dyDescent="0.3">
      <c r="B60" s="30"/>
      <c r="C60" s="31"/>
      <c r="D60" s="31"/>
      <c r="E60" s="31"/>
      <c r="F60" s="31"/>
      <c r="G60" s="31"/>
      <c r="H60" s="72"/>
      <c r="I60" s="16"/>
      <c r="L60" s="16"/>
      <c r="M60" s="16"/>
      <c r="N60" s="16"/>
      <c r="O60" s="16"/>
      <c r="P60" s="16"/>
    </row>
    <row r="61" spans="2:19" x14ac:dyDescent="0.3">
      <c r="B61" s="36"/>
      <c r="D61" s="73" t="s">
        <v>17</v>
      </c>
      <c r="E61" s="74"/>
      <c r="F61" s="74"/>
      <c r="G61" s="74"/>
      <c r="H61" s="75"/>
      <c r="I61" s="76"/>
      <c r="K61" s="77"/>
      <c r="L61" s="16"/>
      <c r="M61" s="16"/>
      <c r="N61" s="16"/>
      <c r="O61" s="16"/>
      <c r="P61" s="16"/>
    </row>
    <row r="62" spans="2:19" x14ac:dyDescent="0.3">
      <c r="B62" s="36" t="s">
        <v>18</v>
      </c>
      <c r="D62" s="77">
        <f>(SUM(H46:H59)/(1-E62-E63))</f>
        <v>14256.085531825795</v>
      </c>
      <c r="E62" s="78">
        <v>8.0000000000000002E-3</v>
      </c>
      <c r="H62" s="56">
        <f>D62*E62</f>
        <v>114.04868425460636</v>
      </c>
      <c r="I62" s="77"/>
      <c r="L62" s="16"/>
      <c r="M62" s="16"/>
      <c r="N62" s="16"/>
      <c r="O62" s="16"/>
      <c r="P62" s="16"/>
    </row>
    <row r="63" spans="2:19" x14ac:dyDescent="0.3">
      <c r="B63" s="36" t="s">
        <v>19</v>
      </c>
      <c r="D63" s="77">
        <f>D62</f>
        <v>14256.085531825795</v>
      </c>
      <c r="E63" s="78">
        <v>3.6799999999999999E-2</v>
      </c>
      <c r="H63" s="56">
        <f>D63*E63</f>
        <v>524.62394757118921</v>
      </c>
      <c r="I63" s="77"/>
      <c r="L63" s="16"/>
      <c r="M63" s="16"/>
      <c r="N63" s="16"/>
      <c r="O63" s="16"/>
      <c r="P63" s="16"/>
    </row>
    <row r="64" spans="2:19" x14ac:dyDescent="0.3">
      <c r="B64" s="36" t="s">
        <v>20</v>
      </c>
      <c r="D64" s="145">
        <f>D62/(1-E64)</f>
        <v>17176.006664850356</v>
      </c>
      <c r="E64" s="138">
        <v>0.17</v>
      </c>
      <c r="H64" s="56">
        <f>D64*E64</f>
        <v>2919.9211330245607</v>
      </c>
      <c r="I64" s="77"/>
      <c r="L64" s="16"/>
      <c r="M64" s="16"/>
      <c r="N64" s="16"/>
      <c r="O64" s="16"/>
      <c r="P64" s="16"/>
    </row>
    <row r="65" spans="2:16" x14ac:dyDescent="0.3">
      <c r="B65" s="67"/>
      <c r="C65" s="68"/>
      <c r="D65" s="68"/>
      <c r="E65" s="68"/>
      <c r="F65" s="68"/>
      <c r="G65" s="68"/>
      <c r="H65" s="79"/>
      <c r="L65" s="16"/>
      <c r="M65" s="16"/>
      <c r="N65" s="16"/>
      <c r="O65" s="16"/>
      <c r="P65" s="16"/>
    </row>
    <row r="66" spans="2:16" x14ac:dyDescent="0.3">
      <c r="B66" s="185" t="s">
        <v>183</v>
      </c>
      <c r="C66" s="186"/>
      <c r="D66" s="187">
        <f>SUM(D46:D48)</f>
        <v>13611</v>
      </c>
      <c r="E66" s="188">
        <f>IF(AND($B$15&lt;$F$2,$E$15&lt;$F$2),C9,IF($B$15&lt;$F$2,I9,F9))</f>
        <v>1.8774721494831901E-4</v>
      </c>
      <c r="F66" s="188">
        <f>IF(AND($B$15&lt;$F$2,$E$15&lt;$F$2),D9,IF($B$15&lt;$F$2,J9,G9))</f>
        <v>-4.4031307414479802E-3</v>
      </c>
      <c r="G66" s="186"/>
      <c r="H66" s="185">
        <f>D66*(E66+F66)</f>
        <v>-57.375585179186892</v>
      </c>
      <c r="L66" s="16"/>
      <c r="M66" s="16"/>
      <c r="N66" s="16"/>
      <c r="O66" s="16"/>
      <c r="P66" s="16"/>
    </row>
    <row r="67" spans="2:16" x14ac:dyDescent="0.3">
      <c r="L67" s="16"/>
      <c r="M67" s="16"/>
      <c r="N67" s="16"/>
      <c r="O67" s="16"/>
      <c r="P67" s="16"/>
    </row>
    <row r="68" spans="2:16" x14ac:dyDescent="0.3">
      <c r="B68" s="80" t="s">
        <v>43</v>
      </c>
      <c r="D68" s="74"/>
      <c r="E68" s="74" t="s">
        <v>14</v>
      </c>
      <c r="F68" s="74"/>
      <c r="G68" s="74"/>
      <c r="H68" s="76"/>
    </row>
    <row r="69" spans="2:16" x14ac:dyDescent="0.3">
      <c r="B69" s="81"/>
      <c r="C69" s="82" t="s">
        <v>9</v>
      </c>
    </row>
    <row r="70" spans="2:16" x14ac:dyDescent="0.3">
      <c r="B70" s="81" t="s">
        <v>44</v>
      </c>
      <c r="C70" s="83">
        <f>(SUM(H46:H59)*IF($B$15&lt;$F$2,D108,D80))</f>
        <v>-227.28371067865575</v>
      </c>
    </row>
    <row r="71" spans="2:16" x14ac:dyDescent="0.3">
      <c r="B71" s="81" t="s">
        <v>45</v>
      </c>
      <c r="C71" s="83">
        <f>(SUM(H46:H59)*IF($B$15&lt;$F$2,F108,F80))</f>
        <v>-7087.8711641653308</v>
      </c>
    </row>
    <row r="72" spans="2:16" x14ac:dyDescent="0.3">
      <c r="B72" s="81" t="s">
        <v>46</v>
      </c>
      <c r="C72" s="83">
        <f>(SUM(H46:H59)*IF($B$15&lt;$F$2,E108,E80))</f>
        <v>10168.398940714504</v>
      </c>
    </row>
    <row r="73" spans="2:16" x14ac:dyDescent="0.3">
      <c r="B73" s="81" t="s">
        <v>47</v>
      </c>
      <c r="C73" s="83">
        <f>(SUM(H46:H59)*IF($B$15&lt;$F$2,G108,G80))</f>
        <v>10768.915066675163</v>
      </c>
    </row>
    <row r="74" spans="2:16" x14ac:dyDescent="0.3">
      <c r="B74" s="81" t="s">
        <v>48</v>
      </c>
      <c r="C74" s="84">
        <f>H62+H63+H64</f>
        <v>3558.5937648503564</v>
      </c>
    </row>
    <row r="75" spans="2:16" x14ac:dyDescent="0.3">
      <c r="B75" s="85" t="s">
        <v>49</v>
      </c>
      <c r="C75" s="86">
        <f>SUM(C70:C74)</f>
        <v>17180.752897396036</v>
      </c>
    </row>
    <row r="77" spans="2:16" x14ac:dyDescent="0.3">
      <c r="B77" s="87">
        <f>'B3 Branca OK'!B81</f>
        <v>2024</v>
      </c>
      <c r="C77" s="87"/>
      <c r="D77" s="87" t="s">
        <v>44</v>
      </c>
      <c r="E77" s="87" t="s">
        <v>46</v>
      </c>
      <c r="F77" s="87" t="s">
        <v>45</v>
      </c>
      <c r="G77" s="87" t="s">
        <v>50</v>
      </c>
    </row>
    <row r="78" spans="2:16" x14ac:dyDescent="0.3">
      <c r="B78" s="87" t="s">
        <v>51</v>
      </c>
      <c r="C78" s="87"/>
      <c r="D78" s="87" t="s">
        <v>52</v>
      </c>
      <c r="E78" s="87" t="s">
        <v>52</v>
      </c>
      <c r="F78" s="87" t="s">
        <v>52</v>
      </c>
      <c r="G78" s="87" t="s">
        <v>52</v>
      </c>
    </row>
    <row r="79" spans="2:16" x14ac:dyDescent="0.3">
      <c r="B79" s="87"/>
      <c r="C79" s="87"/>
      <c r="D79" s="87"/>
      <c r="E79" s="87"/>
      <c r="F79" s="87"/>
      <c r="G79" s="87"/>
    </row>
    <row r="80" spans="2:16" x14ac:dyDescent="0.3">
      <c r="B80" s="87" t="s">
        <v>53</v>
      </c>
      <c r="C80" s="87"/>
      <c r="D80" s="88">
        <f>'B3 Branca OK'!D84</f>
        <v>0.45246416638672077</v>
      </c>
      <c r="E80" s="88">
        <f>'B3 Branca OK'!E84</f>
        <v>7.39594111182032E-2</v>
      </c>
      <c r="F80" s="88">
        <f>'B3 Branca OK'!F84</f>
        <v>0.27500913257019954</v>
      </c>
      <c r="G80" s="88">
        <f>'B3 Branca OK'!G84</f>
        <v>0.19856728992487654</v>
      </c>
    </row>
    <row r="81" spans="2:15" x14ac:dyDescent="0.3">
      <c r="B81" s="87" t="s">
        <v>54</v>
      </c>
      <c r="C81" s="87"/>
      <c r="D81" s="88">
        <f>'B3 Branca OK'!D85</f>
        <v>0.53149575868436638</v>
      </c>
      <c r="E81" s="88">
        <f>'B3 Branca OK'!E85</f>
        <v>8.6877848555460851E-2</v>
      </c>
      <c r="F81" s="88">
        <f>'B3 Branca OK'!F85</f>
        <v>0.32304478104372042</v>
      </c>
      <c r="G81" s="88">
        <f>'B3 Branca OK'!G85</f>
        <v>5.8581611716452382E-2</v>
      </c>
    </row>
    <row r="82" spans="2:15" x14ac:dyDescent="0.3">
      <c r="B82" s="87" t="s">
        <v>55</v>
      </c>
      <c r="C82" s="87"/>
      <c r="D82" s="88">
        <f>'B3 Branca OK'!D86</f>
        <v>0.45246416638672077</v>
      </c>
      <c r="E82" s="88">
        <f>'B3 Branca OK'!E86</f>
        <v>7.39594111182032E-2</v>
      </c>
      <c r="F82" s="88">
        <f>'B3 Branca OK'!F86</f>
        <v>0.27500913257019954</v>
      </c>
      <c r="G82" s="88">
        <f>'B3 Branca OK'!G86</f>
        <v>0.19856728992487654</v>
      </c>
    </row>
    <row r="83" spans="2:15" x14ac:dyDescent="0.3">
      <c r="B83" s="87" t="s">
        <v>56</v>
      </c>
      <c r="C83" s="87"/>
      <c r="D83" s="88">
        <f>'B3 Branca OK'!D87</f>
        <v>0.45246416638672077</v>
      </c>
      <c r="E83" s="88">
        <f>'B3 Branca OK'!E87</f>
        <v>7.39594111182032E-2</v>
      </c>
      <c r="F83" s="88">
        <f>'B3 Branca OK'!F87</f>
        <v>0.27500913257019954</v>
      </c>
      <c r="G83" s="88">
        <f>'B3 Branca OK'!G87</f>
        <v>0.19856728992487654</v>
      </c>
      <c r="K83" s="15"/>
    </row>
    <row r="84" spans="2:15" x14ac:dyDescent="0.3">
      <c r="B84" s="87" t="s">
        <v>57</v>
      </c>
      <c r="C84" s="87"/>
      <c r="D84" s="88">
        <f>'B3 Branca OK'!D88</f>
        <v>0.45246416638672077</v>
      </c>
      <c r="E84" s="88">
        <f>'B3 Branca OK'!E88</f>
        <v>7.39594111182032E-2</v>
      </c>
      <c r="F84" s="88">
        <f>'B3 Branca OK'!F88</f>
        <v>0.27500913257019954</v>
      </c>
      <c r="G84" s="88">
        <f>'B3 Branca OK'!G88</f>
        <v>0.19856728992487654</v>
      </c>
    </row>
    <row r="85" spans="2:15" x14ac:dyDescent="0.3">
      <c r="B85" s="87" t="s">
        <v>58</v>
      </c>
      <c r="C85" s="87"/>
      <c r="D85" s="88">
        <f>'B3 Branca OK'!D89</f>
        <v>0.45246416638672077</v>
      </c>
      <c r="E85" s="88">
        <f>'B3 Branca OK'!E89</f>
        <v>7.39594111182032E-2</v>
      </c>
      <c r="F85" s="88">
        <f>'B3 Branca OK'!F89</f>
        <v>0.27500913257019954</v>
      </c>
      <c r="G85" s="88">
        <f>'B3 Branca OK'!G89</f>
        <v>0.19856728992487654</v>
      </c>
    </row>
    <row r="86" spans="2:15" x14ac:dyDescent="0.3">
      <c r="B86" s="87" t="s">
        <v>59</v>
      </c>
      <c r="C86" s="87"/>
      <c r="D86" s="88">
        <f>'B3 Branca OK'!D90</f>
        <v>0.45246416638672071</v>
      </c>
      <c r="E86" s="88">
        <f>'B3 Branca OK'!E90</f>
        <v>7.3959411118203186E-2</v>
      </c>
      <c r="F86" s="88">
        <f>'B3 Branca OK'!F90</f>
        <v>0.27500913257019949</v>
      </c>
      <c r="G86" s="88">
        <f>'B3 Branca OK'!G90</f>
        <v>0.19856728992487654</v>
      </c>
    </row>
    <row r="87" spans="2:15" x14ac:dyDescent="0.3">
      <c r="B87" s="87" t="s">
        <v>60</v>
      </c>
      <c r="C87" s="87"/>
      <c r="D87" s="88">
        <f>'B3 Branca OK'!D91</f>
        <v>0.45246416638672071</v>
      </c>
      <c r="E87" s="88">
        <f>'B3 Branca OK'!E91</f>
        <v>7.3959411118203186E-2</v>
      </c>
      <c r="F87" s="88">
        <f>'B3 Branca OK'!F91</f>
        <v>0.27500913257019949</v>
      </c>
      <c r="G87" s="88">
        <f>'B3 Branca OK'!G91</f>
        <v>0.19856728992487654</v>
      </c>
    </row>
    <row r="88" spans="2:15" x14ac:dyDescent="0.3">
      <c r="B88" s="87" t="s">
        <v>61</v>
      </c>
      <c r="C88" s="87"/>
      <c r="D88" s="88">
        <f>'B3 Branca OK'!D92</f>
        <v>0.45246416638672071</v>
      </c>
      <c r="E88" s="88">
        <f>'B3 Branca OK'!E92</f>
        <v>7.39594111182032E-2</v>
      </c>
      <c r="F88" s="88">
        <f>'B3 Branca OK'!F92</f>
        <v>0.27500913257019954</v>
      </c>
      <c r="G88" s="88">
        <f>'B3 Branca OK'!G92</f>
        <v>0.19856728992487657</v>
      </c>
      <c r="M88"/>
      <c r="N88"/>
      <c r="O88"/>
    </row>
    <row r="89" spans="2:15" x14ac:dyDescent="0.3">
      <c r="B89" s="80"/>
      <c r="C89" s="80"/>
      <c r="D89" s="80"/>
      <c r="E89" s="80"/>
      <c r="F89" s="80"/>
      <c r="G89" s="80"/>
    </row>
    <row r="90" spans="2:15" x14ac:dyDescent="0.3">
      <c r="B90" s="80"/>
      <c r="C90" s="80"/>
      <c r="D90" s="80"/>
      <c r="E90" s="80"/>
      <c r="F90" s="80"/>
      <c r="G90" s="80"/>
    </row>
    <row r="91" spans="2:15" x14ac:dyDescent="0.3">
      <c r="B91" s="80">
        <f>'B3 Branca OK'!B95</f>
        <v>2023</v>
      </c>
      <c r="C91" s="87"/>
      <c r="D91" s="87" t="s">
        <v>44</v>
      </c>
      <c r="E91" s="87" t="s">
        <v>46</v>
      </c>
      <c r="F91" s="87" t="s">
        <v>45</v>
      </c>
      <c r="G91" s="87" t="s">
        <v>50</v>
      </c>
    </row>
    <row r="92" spans="2:15" x14ac:dyDescent="0.3">
      <c r="B92" s="87" t="s">
        <v>51</v>
      </c>
      <c r="C92" s="87"/>
      <c r="D92" s="87" t="s">
        <v>52</v>
      </c>
      <c r="E92" s="87" t="s">
        <v>52</v>
      </c>
      <c r="F92" s="87" t="s">
        <v>52</v>
      </c>
      <c r="G92" s="87" t="s">
        <v>52</v>
      </c>
    </row>
    <row r="93" spans="2:15" x14ac:dyDescent="0.3">
      <c r="B93" s="87"/>
      <c r="C93" s="87"/>
      <c r="D93" s="87"/>
      <c r="E93" s="87"/>
      <c r="F93" s="87"/>
      <c r="G93" s="87"/>
    </row>
    <row r="94" spans="2:15" x14ac:dyDescent="0.3">
      <c r="B94" s="87" t="s">
        <v>53</v>
      </c>
      <c r="C94" s="87"/>
      <c r="D94" s="88">
        <f>'B3 Branca OK'!D98</f>
        <v>0.43939696077133034</v>
      </c>
      <c r="E94" s="88">
        <f>'B3 Branca OK'!E98</f>
        <v>9.2697585625348772E-2</v>
      </c>
      <c r="F94" s="88">
        <f>'B3 Branca OK'!F98</f>
        <v>0.25285207888477268</v>
      </c>
      <c r="G94" s="88">
        <f>'B3 Branca OK'!G98</f>
        <v>0.21506308252114117</v>
      </c>
    </row>
    <row r="95" spans="2:15" x14ac:dyDescent="0.3">
      <c r="B95" s="87" t="s">
        <v>54</v>
      </c>
      <c r="C95" s="87"/>
      <c r="D95" s="88">
        <f>'B3 Branca OK'!D99</f>
        <v>0.52691619996872485</v>
      </c>
      <c r="E95" s="88">
        <f>'B3 Branca OK'!E99</f>
        <v>0.11116112291319068</v>
      </c>
      <c r="F95" s="88">
        <f>'B3 Branca OK'!F99</f>
        <v>0.30321524374287334</v>
      </c>
      <c r="G95" s="88">
        <f>'B3 Branca OK'!G99</f>
        <v>5.8707433375211129E-2</v>
      </c>
    </row>
    <row r="96" spans="2:15" x14ac:dyDescent="0.3">
      <c r="B96" s="87" t="s">
        <v>55</v>
      </c>
      <c r="C96" s="87"/>
      <c r="D96" s="88">
        <f>'B3 Branca OK'!D100</f>
        <v>0.43939300245552615</v>
      </c>
      <c r="E96" s="88">
        <f>'B3 Branca OK'!E100</f>
        <v>9.2696750557401245E-2</v>
      </c>
      <c r="F96" s="88">
        <f>'B3 Branca OK'!F100</f>
        <v>0.25284980106205335</v>
      </c>
      <c r="G96" s="88">
        <f>'B3 Branca OK'!G100</f>
        <v>0.21506044592501908</v>
      </c>
    </row>
    <row r="97" spans="2:7" x14ac:dyDescent="0.3">
      <c r="B97" s="87" t="s">
        <v>56</v>
      </c>
      <c r="C97" s="87"/>
      <c r="D97" s="88">
        <f>'B3 Branca OK'!D101</f>
        <v>0.43939300245552615</v>
      </c>
      <c r="E97" s="88">
        <f>'B3 Branca OK'!E101</f>
        <v>9.2696750557401245E-2</v>
      </c>
      <c r="F97" s="88">
        <f>'B3 Branca OK'!F101</f>
        <v>0.25284980106205335</v>
      </c>
      <c r="G97" s="88">
        <f>'B3 Branca OK'!G101</f>
        <v>0.21506044592501908</v>
      </c>
    </row>
    <row r="98" spans="2:7" x14ac:dyDescent="0.3">
      <c r="B98" s="87" t="s">
        <v>57</v>
      </c>
      <c r="C98" s="87"/>
      <c r="D98" s="88">
        <f>'B3 Branca OK'!D102</f>
        <v>0.43939300245552615</v>
      </c>
      <c r="E98" s="88">
        <f>'B3 Branca OK'!E102</f>
        <v>9.2696750557401328E-2</v>
      </c>
      <c r="F98" s="88">
        <f>'B3 Branca OK'!F102</f>
        <v>0.25284980106205335</v>
      </c>
      <c r="G98" s="88">
        <f>'B3 Branca OK'!G102</f>
        <v>0.21506044592501908</v>
      </c>
    </row>
    <row r="99" spans="2:7" x14ac:dyDescent="0.3">
      <c r="B99" s="87" t="s">
        <v>58</v>
      </c>
      <c r="C99" s="87"/>
      <c r="D99" s="88">
        <f>'B3 Branca OK'!D103</f>
        <v>0.43939300245552615</v>
      </c>
      <c r="E99" s="88">
        <f>'B3 Branca OK'!E103</f>
        <v>9.2696750557401328E-2</v>
      </c>
      <c r="F99" s="88">
        <f>'B3 Branca OK'!F103</f>
        <v>0.25284980106205335</v>
      </c>
      <c r="G99" s="88">
        <f>'B3 Branca OK'!G103</f>
        <v>0.21506044592501908</v>
      </c>
    </row>
    <row r="100" spans="2:7" x14ac:dyDescent="0.3">
      <c r="B100" s="87" t="s">
        <v>59</v>
      </c>
      <c r="C100" s="87"/>
      <c r="D100" s="88">
        <f>'B3 Branca OK'!D104</f>
        <v>0</v>
      </c>
      <c r="E100" s="88">
        <f>'B3 Branca OK'!E104</f>
        <v>0</v>
      </c>
      <c r="F100" s="88">
        <f>'B3 Branca OK'!F104</f>
        <v>0</v>
      </c>
      <c r="G100" s="88">
        <f>'B3 Branca OK'!G104</f>
        <v>0</v>
      </c>
    </row>
    <row r="101" spans="2:7" x14ac:dyDescent="0.3">
      <c r="B101" s="87" t="s">
        <v>60</v>
      </c>
      <c r="C101" s="87"/>
      <c r="D101" s="88">
        <f>'B3 Branca OK'!D105</f>
        <v>0.43938945729126549</v>
      </c>
      <c r="E101" s="88">
        <f>'B3 Branca OK'!E105</f>
        <v>9.2697336752737058E-2</v>
      </c>
      <c r="F101" s="88">
        <f>'B3 Branca OK'!F105</f>
        <v>0.25285140003260154</v>
      </c>
      <c r="G101" s="88">
        <f>'B3 Branca OK'!G105</f>
        <v>0.21506180592339591</v>
      </c>
    </row>
    <row r="102" spans="2:7" x14ac:dyDescent="0.3">
      <c r="B102" s="87" t="s">
        <v>61</v>
      </c>
      <c r="C102" s="87"/>
      <c r="D102" s="88">
        <f>'B3 Branca OK'!D106</f>
        <v>0.43938945729126527</v>
      </c>
      <c r="E102" s="88">
        <f>'B3 Branca OK'!E106</f>
        <v>9.2697336752736934E-2</v>
      </c>
      <c r="F102" s="88">
        <f>'B3 Branca OK'!F106</f>
        <v>0.25285140003260193</v>
      </c>
      <c r="G102" s="88">
        <f>'B3 Branca OK'!G106</f>
        <v>0.21506180592339585</v>
      </c>
    </row>
    <row r="103" spans="2:7" x14ac:dyDescent="0.3">
      <c r="B103" s="80"/>
      <c r="C103" s="80"/>
      <c r="D103" s="80"/>
      <c r="E103" s="80"/>
      <c r="F103" s="80"/>
      <c r="G103" s="80"/>
    </row>
    <row r="104" spans="2:7" x14ac:dyDescent="0.3">
      <c r="B104" s="89" t="s">
        <v>66</v>
      </c>
      <c r="C104" s="80"/>
      <c r="D104" s="80"/>
      <c r="E104" s="80"/>
      <c r="F104" s="80"/>
      <c r="G104" s="80"/>
    </row>
    <row r="105" spans="2:7" x14ac:dyDescent="0.3">
      <c r="B105" s="87"/>
      <c r="C105" s="87"/>
      <c r="D105" s="87" t="s">
        <v>44</v>
      </c>
      <c r="E105" s="87" t="s">
        <v>46</v>
      </c>
      <c r="F105" s="87" t="s">
        <v>45</v>
      </c>
      <c r="G105" s="87" t="s">
        <v>50</v>
      </c>
    </row>
    <row r="106" spans="2:7" x14ac:dyDescent="0.3">
      <c r="B106" s="87" t="s">
        <v>51</v>
      </c>
      <c r="C106" s="87"/>
      <c r="D106" s="88" t="s">
        <v>52</v>
      </c>
      <c r="E106" s="88" t="s">
        <v>52</v>
      </c>
      <c r="F106" s="88" t="s">
        <v>52</v>
      </c>
      <c r="G106" s="88" t="s">
        <v>52</v>
      </c>
    </row>
    <row r="107" spans="2:7" x14ac:dyDescent="0.3">
      <c r="B107" s="87"/>
      <c r="C107" s="87"/>
      <c r="D107" s="88"/>
      <c r="E107" s="88"/>
      <c r="F107" s="88"/>
      <c r="G107" s="88"/>
    </row>
    <row r="108" spans="2:7" x14ac:dyDescent="0.3">
      <c r="B108" s="87" t="s">
        <v>53</v>
      </c>
      <c r="C108" s="87"/>
      <c r="D108" s="88">
        <f t="shared" ref="D108:G116" si="15">((D94*$C$15)+(D80*$D$15))/($C$15+$D$15)</f>
        <v>-1.6690667481974918E-2</v>
      </c>
      <c r="E108" s="88">
        <f t="shared" si="15"/>
        <v>0.74672032164894586</v>
      </c>
      <c r="F108" s="88">
        <f t="shared" si="15"/>
        <v>-0.5205005691033523</v>
      </c>
      <c r="G108" s="88">
        <f t="shared" si="15"/>
        <v>0.79081945636495776</v>
      </c>
    </row>
    <row r="109" spans="2:7" x14ac:dyDescent="0.3">
      <c r="B109" s="87" t="s">
        <v>54</v>
      </c>
      <c r="C109" s="87"/>
      <c r="D109" s="88">
        <f t="shared" si="15"/>
        <v>0.36707482802278485</v>
      </c>
      <c r="E109" s="88">
        <f t="shared" si="15"/>
        <v>0.95872573114105086</v>
      </c>
      <c r="F109" s="88">
        <f t="shared" si="15"/>
        <v>-0.38889957430604688</v>
      </c>
      <c r="G109" s="88">
        <f t="shared" si="15"/>
        <v>6.3099015142209822E-2</v>
      </c>
    </row>
    <row r="110" spans="2:7" x14ac:dyDescent="0.3">
      <c r="B110" s="87" t="s">
        <v>55</v>
      </c>
      <c r="C110" s="87"/>
      <c r="D110" s="88">
        <f t="shared" si="15"/>
        <v>-1.6832783788105085E-2</v>
      </c>
      <c r="E110" s="88">
        <f t="shared" si="15"/>
        <v>0.74669034001586232</v>
      </c>
      <c r="F110" s="88">
        <f t="shared" si="15"/>
        <v>-0.52058235028679178</v>
      </c>
      <c r="G110" s="88">
        <f t="shared" si="15"/>
        <v>0.7907247940590254</v>
      </c>
    </row>
    <row r="111" spans="2:7" x14ac:dyDescent="0.3">
      <c r="B111" s="87" t="s">
        <v>56</v>
      </c>
      <c r="C111" s="87"/>
      <c r="D111" s="88">
        <f t="shared" si="15"/>
        <v>-1.6832783788105085E-2</v>
      </c>
      <c r="E111" s="88">
        <f t="shared" si="15"/>
        <v>0.74669034001586232</v>
      </c>
      <c r="F111" s="88">
        <f t="shared" si="15"/>
        <v>-0.52058235028679178</v>
      </c>
      <c r="G111" s="88">
        <f t="shared" si="15"/>
        <v>0.7907247940590254</v>
      </c>
    </row>
    <row r="112" spans="2:7" x14ac:dyDescent="0.3">
      <c r="B112" s="87" t="s">
        <v>57</v>
      </c>
      <c r="C112" s="87"/>
      <c r="D112" s="88">
        <f t="shared" si="15"/>
        <v>-1.6832783788105085E-2</v>
      </c>
      <c r="E112" s="88">
        <f t="shared" si="15"/>
        <v>0.74669034001586498</v>
      </c>
      <c r="F112" s="88">
        <f t="shared" si="15"/>
        <v>-0.52058235028679178</v>
      </c>
      <c r="G112" s="88">
        <f t="shared" si="15"/>
        <v>0.7907247940590254</v>
      </c>
    </row>
    <row r="113" spans="2:7" x14ac:dyDescent="0.3">
      <c r="B113" s="87" t="s">
        <v>58</v>
      </c>
      <c r="C113" s="87"/>
      <c r="D113" s="88">
        <f t="shared" si="15"/>
        <v>-1.6832783788105085E-2</v>
      </c>
      <c r="E113" s="88">
        <f t="shared" si="15"/>
        <v>0.74669034001586498</v>
      </c>
      <c r="F113" s="88">
        <f t="shared" si="15"/>
        <v>-0.52058235028679178</v>
      </c>
      <c r="G113" s="88">
        <f t="shared" si="15"/>
        <v>0.7907247940590254</v>
      </c>
    </row>
    <row r="114" spans="2:7" x14ac:dyDescent="0.3">
      <c r="B114" s="87" t="s">
        <v>59</v>
      </c>
      <c r="C114" s="87"/>
      <c r="D114" s="88">
        <f t="shared" si="15"/>
        <v>-15.792458968723608</v>
      </c>
      <c r="E114" s="88">
        <f t="shared" si="15"/>
        <v>-2.5814220267708339</v>
      </c>
      <c r="F114" s="88">
        <f t="shared" si="15"/>
        <v>-9.5987058529340601</v>
      </c>
      <c r="G114" s="88">
        <f t="shared" si="15"/>
        <v>-6.9306389580231107</v>
      </c>
    </row>
    <row r="115" spans="2:7" x14ac:dyDescent="0.3">
      <c r="B115" s="87" t="s">
        <v>60</v>
      </c>
      <c r="C115" s="87"/>
      <c r="D115" s="88">
        <f t="shared" si="15"/>
        <v>-1.6960066621075222E-2</v>
      </c>
      <c r="E115" s="88">
        <f t="shared" si="15"/>
        <v>0.74671138631937095</v>
      </c>
      <c r="F115" s="88">
        <f t="shared" si="15"/>
        <v>-0.52052494208613931</v>
      </c>
      <c r="G115" s="88">
        <f t="shared" si="15"/>
        <v>0.79077362238784543</v>
      </c>
    </row>
    <row r="116" spans="2:7" x14ac:dyDescent="0.3">
      <c r="B116" s="87" t="s">
        <v>61</v>
      </c>
      <c r="C116" s="87"/>
      <c r="D116" s="88">
        <f t="shared" si="15"/>
        <v>-1.6960066621082556E-2</v>
      </c>
      <c r="E116" s="88">
        <f t="shared" si="15"/>
        <v>0.74671138631936584</v>
      </c>
      <c r="F116" s="88">
        <f t="shared" si="15"/>
        <v>-0.52052494208612832</v>
      </c>
      <c r="G116" s="88">
        <f t="shared" si="15"/>
        <v>0.79077362238784266</v>
      </c>
    </row>
  </sheetData>
  <customSheetViews>
    <customSheetView guid="{93A7E07A-AC2D-4310-B7ED-B74DACBA50A7}" scale="80" showGridLines="0">
      <selection activeCell="A19" sqref="A19:XFD19"/>
      <pageMargins left="0.511811024" right="0.511811024" top="0.78740157499999996" bottom="0.78740157499999996" header="0.31496062000000002" footer="0.31496062000000002"/>
      <pageSetup orientation="portrait" r:id="rId1"/>
    </customSheetView>
    <customSheetView guid="{EB662AE4-4B22-40EC-8355-9AD94D059B97}" scale="80" showGridLines="0" topLeftCell="A5">
      <selection activeCell="C9" sqref="C9:E9"/>
      <pageMargins left="0.511811024" right="0.511811024" top="0.78740157499999996" bottom="0.78740157499999996" header="0.31496062000000002" footer="0.31496062000000002"/>
      <pageSetup orientation="portrait" r:id="rId2"/>
    </customSheetView>
    <customSheetView guid="{A8592FA0-1011-4F02-BFB0-BB1C65ED9311}" scale="80" showGridLines="0">
      <selection activeCell="E25" sqref="E25"/>
      <pageMargins left="0.511811024" right="0.511811024" top="0.78740157499999996" bottom="0.78740157499999996" header="0.31496062000000002" footer="0.31496062000000002"/>
      <pageSetup orientation="portrait" r:id="rId3"/>
    </customSheetView>
  </customSheetViews>
  <mergeCells count="11">
    <mergeCell ref="H2:I2"/>
    <mergeCell ref="U4:W4"/>
    <mergeCell ref="X4:Z4"/>
    <mergeCell ref="K12:L12"/>
    <mergeCell ref="B42:H42"/>
    <mergeCell ref="B4:B5"/>
    <mergeCell ref="C4:E4"/>
    <mergeCell ref="F4:H4"/>
    <mergeCell ref="I4:K4"/>
    <mergeCell ref="Q4:Q5"/>
    <mergeCell ref="R4:T4"/>
  </mergeCells>
  <conditionalFormatting sqref="K13:L13">
    <cfRule type="cellIs" dxfId="13" priority="1" operator="equal">
      <formula>"Escassez Hídrica"</formula>
    </cfRule>
    <cfRule type="cellIs" dxfId="12" priority="2" operator="equal">
      <formula>"VERDE"</formula>
    </cfRule>
    <cfRule type="cellIs" dxfId="11" priority="3" operator="equal">
      <formula>"BVM2"</formula>
    </cfRule>
    <cfRule type="cellIs" dxfId="10" priority="4" operator="equal">
      <formula>"BVM1"</formula>
    </cfRule>
    <cfRule type="cellIs" dxfId="9" priority="5" operator="equal">
      <formula>"BAM"</formula>
    </cfRule>
  </conditionalFormatting>
  <conditionalFormatting sqref="M3">
    <cfRule type="cellIs" dxfId="8" priority="16" operator="equal">
      <formula>"VERDE"</formula>
    </cfRule>
    <cfRule type="cellIs" dxfId="7" priority="17" operator="equal">
      <formula>"BVM2"</formula>
    </cfRule>
    <cfRule type="cellIs" dxfId="6" priority="18" operator="equal">
      <formula>"BVM1"</formula>
    </cfRule>
    <cfRule type="cellIs" dxfId="5" priority="19" operator="equal">
      <formula>"BAM"</formula>
    </cfRule>
  </conditionalFormatting>
  <conditionalFormatting sqref="M7">
    <cfRule type="containsText" dxfId="4" priority="11" operator="containsText" text="Escassez Hídrica">
      <formula>NOT(ISERROR(SEARCH("Escassez Hídrica",M7)))</formula>
    </cfRule>
    <cfRule type="cellIs" dxfId="3" priority="12" operator="equal">
      <formula>"VERDE"</formula>
    </cfRule>
    <cfRule type="cellIs" dxfId="2" priority="13" operator="equal">
      <formula>"BVM2"</formula>
    </cfRule>
    <cfRule type="cellIs" dxfId="1" priority="14" operator="equal">
      <formula>"BVM1"</formula>
    </cfRule>
    <cfRule type="cellIs" dxfId="0" priority="15" operator="equal">
      <formula>"BAM"</formula>
    </cfRule>
  </conditionalFormatting>
  <dataValidations disablePrompts="1" count="1">
    <dataValidation type="list" allowBlank="1" showInputMessage="1" showErrorMessage="1" sqref="K13:L13" xr:uid="{50222EBE-CD7B-47C9-A86A-366FF0206D8D}">
      <formula1>$M$3:$M$7</formula1>
    </dataValidation>
  </dataValidation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891448F6717847BCC1627ECE39252D" ma:contentTypeVersion="16" ma:contentTypeDescription="Crie um novo documento." ma:contentTypeScope="" ma:versionID="73bcb56c385bf2a5bec6d72fb0244d1e">
  <xsd:schema xmlns:xsd="http://www.w3.org/2001/XMLSchema" xmlns:xs="http://www.w3.org/2001/XMLSchema" xmlns:p="http://schemas.microsoft.com/office/2006/metadata/properties" xmlns:ns1="http://schemas.microsoft.com/sharepoint/v3" xmlns:ns2="dee4fbf6-117c-49a8-8347-1ad6b80523b2" xmlns:ns3="8a069c89-97f4-473c-8adf-a00e29b2cc6b" targetNamespace="http://schemas.microsoft.com/office/2006/metadata/properties" ma:root="true" ma:fieldsID="cab4a2184729188c6730d5972d74cc4a" ns1:_="" ns2:_="" ns3:_="">
    <xsd:import namespace="http://schemas.microsoft.com/sharepoint/v3"/>
    <xsd:import namespace="dee4fbf6-117c-49a8-8347-1ad6b80523b2"/>
    <xsd:import namespace="8a069c89-97f4-473c-8adf-a00e29b2c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4fbf6-117c-49a8-8347-1ad6b8052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69c89-97f4-473c-8adf-a00e29b2c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6f367be-cbae-4434-adac-9267ed6ec758}" ma:internalName="TaxCatchAll" ma:showField="CatchAllData" ma:web="8a069c89-97f4-473c-8adf-a00e29b2c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a069c89-97f4-473c-8adf-a00e29b2cc6b" xsi:nil="true"/>
    <_ip_UnifiedCompliancePolicyProperties xmlns="http://schemas.microsoft.com/sharepoint/v3" xsi:nil="true"/>
    <lcf76f155ced4ddcb4097134ff3c332f xmlns="dee4fbf6-117c-49a8-8347-1ad6b80523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EB859-823D-4845-832A-BD05EDA5C6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A2A4C9-1EA8-4DFB-B9E6-EE65E5B4B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e4fbf6-117c-49a8-8347-1ad6b80523b2"/>
    <ds:schemaRef ds:uri="8a069c89-97f4-473c-8adf-a00e29b2c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209A69-F7A4-4522-9851-9255B176EE1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a069c89-97f4-473c-8adf-a00e29b2cc6b"/>
    <ds:schemaRef ds:uri="dee4fbf6-117c-49a8-8347-1ad6b80523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TABELA DE TARIFAS ANTIGAS</vt:lpstr>
      <vt:lpstr>TABELA DE TARIFAS NOVAS</vt:lpstr>
      <vt:lpstr>B1 (Res) Branca OK</vt:lpstr>
      <vt:lpstr>B2 (Rural) Branca OK</vt:lpstr>
      <vt:lpstr>FIO B</vt:lpstr>
      <vt:lpstr>B2 (Rural Irrig) Branca OK</vt:lpstr>
      <vt:lpstr>B3 Branca OK</vt:lpstr>
      <vt:lpstr>B3 PPF Branca OK</vt:lpstr>
      <vt:lpstr>B3CP Branca OK</vt:lpstr>
      <vt:lpstr>O3 Branca</vt:lpstr>
      <vt:lpstr>B3 Branca (AES) NÃO</vt:lpstr>
      <vt:lpstr>'TABELA DE TARIFAS ANTIGAS'!_Ref352134769</vt:lpstr>
      <vt:lpstr>'TABELA DE TARIFAS NOVAS'!_Ref352134769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Gasparini Croce</dc:creator>
  <cp:lastModifiedBy>Alex Da Costa Pereira</cp:lastModifiedBy>
  <cp:lastPrinted>2015-08-05T13:30:05Z</cp:lastPrinted>
  <dcterms:created xsi:type="dcterms:W3CDTF">2015-03-01T12:41:45Z</dcterms:created>
  <dcterms:modified xsi:type="dcterms:W3CDTF">2026-08-06T19:36:55Z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Validação IRT_ESCELSA_2017.xlsx</vt:lpwstr>
  </property>
  <property fmtid="{D5CDD505-2E9C-101B-9397-08002B2CF9AE}" pid="3" name="MSIP_Label_9811530c-902c-4b75-8616-d6c82cd1332a_Enabled">
    <vt:lpwstr>true</vt:lpwstr>
  </property>
  <property fmtid="{D5CDD505-2E9C-101B-9397-08002B2CF9AE}" pid="4" name="MSIP_Label_9811530c-902c-4b75-8616-d6c82cd1332a_SetDate">
    <vt:lpwstr>2021-06-28T19:07:36Z</vt:lpwstr>
  </property>
  <property fmtid="{D5CDD505-2E9C-101B-9397-08002B2CF9AE}" pid="5" name="MSIP_Label_9811530c-902c-4b75-8616-d6c82cd1332a_Method">
    <vt:lpwstr>Standard</vt:lpwstr>
  </property>
  <property fmtid="{D5CDD505-2E9C-101B-9397-08002B2CF9AE}" pid="6" name="MSIP_Label_9811530c-902c-4b75-8616-d6c82cd1332a_Name">
    <vt:lpwstr>9811530c-902c-4b75-8616-d6c82cd1332a</vt:lpwstr>
  </property>
  <property fmtid="{D5CDD505-2E9C-101B-9397-08002B2CF9AE}" pid="7" name="MSIP_Label_9811530c-902c-4b75-8616-d6c82cd1332a_SiteId">
    <vt:lpwstr>bf86fbdb-f8c2-440e-923c-05a60dc2bc9b</vt:lpwstr>
  </property>
  <property fmtid="{D5CDD505-2E9C-101B-9397-08002B2CF9AE}" pid="8" name="MSIP_Label_9811530c-902c-4b75-8616-d6c82cd1332a_ActionId">
    <vt:lpwstr>2db41e99-5a42-49b4-8195-38a20c74eebb</vt:lpwstr>
  </property>
  <property fmtid="{D5CDD505-2E9C-101B-9397-08002B2CF9AE}" pid="9" name="MSIP_Label_9811530c-902c-4b75-8616-d6c82cd1332a_ContentBits">
    <vt:lpwstr>0</vt:lpwstr>
  </property>
  <property fmtid="{D5CDD505-2E9C-101B-9397-08002B2CF9AE}" pid="10" name="ContentTypeId">
    <vt:lpwstr>0x010100CA891448F6717847BCC1627ECE39252D</vt:lpwstr>
  </property>
</Properties>
</file>