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dlestick" sheetId="1" r:id="rId4"/>
    <sheet state="visible" name="AAPL, IBM, AMZN" sheetId="2" r:id="rId5"/>
    <sheet state="visible" name="Fidelity" sheetId="3" r:id="rId6"/>
    <sheet state="visible" name="Forex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Não disponível para o Ibovespa.
	-Fausto Barros de Sá Teles</t>
      </text>
    </comment>
  </commentList>
</comments>
</file>

<file path=xl/sharedStrings.xml><?xml version="1.0" encoding="utf-8"?>
<sst xmlns="http://schemas.openxmlformats.org/spreadsheetml/2006/main" count="45" uniqueCount="34">
  <si>
    <t>AAPL</t>
  </si>
  <si>
    <t>AMZN</t>
  </si>
  <si>
    <t>IBM</t>
  </si>
  <si>
    <t>Price</t>
  </si>
  <si>
    <t>Risk-free rate</t>
  </si>
  <si>
    <t>High52</t>
  </si>
  <si>
    <t>Market return (S&amp;P)</t>
  </si>
  <si>
    <t>Low52</t>
  </si>
  <si>
    <t>Shares</t>
  </si>
  <si>
    <t>Market cap</t>
  </si>
  <si>
    <t>P/E</t>
  </si>
  <si>
    <t>EPS</t>
  </si>
  <si>
    <t>Beta</t>
  </si>
  <si>
    <t>Earnings</t>
  </si>
  <si>
    <t>Cost of Equity</t>
  </si>
  <si>
    <t>HighLowDiff</t>
  </si>
  <si>
    <t>Growth52</t>
  </si>
  <si>
    <t>Decline52</t>
  </si>
  <si>
    <t>Return YTD</t>
  </si>
  <si>
    <t>Net Assets</t>
  </si>
  <si>
    <t>Income Dividend</t>
  </si>
  <si>
    <t>Distribution Yield</t>
  </si>
  <si>
    <t>Capital gain</t>
  </si>
  <si>
    <t>Morningstar rating</t>
  </si>
  <si>
    <t>Expense ratio</t>
  </si>
  <si>
    <t>USD</t>
  </si>
  <si>
    <t>EUR</t>
  </si>
  <si>
    <t>CHF</t>
  </si>
  <si>
    <t>GBP</t>
  </si>
  <si>
    <t>CAD</t>
  </si>
  <si>
    <t>JPY</t>
  </si>
  <si>
    <t>RUB</t>
  </si>
  <si>
    <t>UAH</t>
  </si>
  <si>
    <t>BRL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</si>
</sst>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$]#,##0.00"/>
  </numFmts>
  <fonts count="3">
    <font>
      <sz val="10.0"/>
      <color rgb="FF000000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0" numFmtId="165" xfId="0" applyFill="1" applyFont="1" applyNumberFormat="1"/>
    <xf borderId="0" fillId="0" fontId="1" numFmtId="10" xfId="0" applyAlignment="1" applyFont="1" applyNumberFormat="1">
      <alignment readingOrder="0"/>
    </xf>
    <xf borderId="0" fillId="2" fontId="0" numFmtId="0" xfId="0" applyAlignment="1" applyFont="1">
      <alignment horizontal="left"/>
    </xf>
    <xf borderId="0" fillId="2" fontId="0" numFmtId="165" xfId="0" applyAlignment="1" applyFont="1" applyNumberFormat="1">
      <alignment horizontal="left"/>
    </xf>
    <xf borderId="0" fillId="0" fontId="2" numFmtId="10" xfId="0" applyFont="1" applyNumberFormat="1"/>
    <xf borderId="0" fillId="0" fontId="2" numFmtId="165" xfId="0" applyFont="1" applyNumberFormat="1"/>
    <xf borderId="0" fillId="2" fontId="0" numFmtId="0" xfId="0" applyFont="1"/>
    <xf borderId="0" fillId="2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IFERROR(__xludf.DUMMYFUNCTION("GOOGLEFINANCE(""NASDAQ:AAPL"", ""all"", TODAY()-30, TODAY(),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IFERROR(__xludf.DUMMYFUNCTION("""COMPUTED_VALUE"""),44340.66666666667)</f>
        <v>44340.66667</v>
      </c>
      <c r="B2" s="1">
        <f>IFERROR(__xludf.DUMMYFUNCTION("""COMPUTED_VALUE"""),126.01)</f>
        <v>126.01</v>
      </c>
      <c r="C2" s="1">
        <f>IFERROR(__xludf.DUMMYFUNCTION("""COMPUTED_VALUE"""),127.94)</f>
        <v>127.94</v>
      </c>
      <c r="D2" s="1">
        <f>IFERROR(__xludf.DUMMYFUNCTION("""COMPUTED_VALUE"""),125.94)</f>
        <v>125.94</v>
      </c>
      <c r="E2" s="1">
        <f>IFERROR(__xludf.DUMMYFUNCTION("""COMPUTED_VALUE"""),127.1)</f>
        <v>127.1</v>
      </c>
      <c r="F2" s="1">
        <f>IFERROR(__xludf.DUMMYFUNCTION("""COMPUTED_VALUE"""),6.3092945E7)</f>
        <v>63092945</v>
      </c>
    </row>
    <row r="3">
      <c r="A3" s="2">
        <f>IFERROR(__xludf.DUMMYFUNCTION("""COMPUTED_VALUE"""),44341.66666666667)</f>
        <v>44341.66667</v>
      </c>
      <c r="B3" s="1">
        <f>IFERROR(__xludf.DUMMYFUNCTION("""COMPUTED_VALUE"""),127.82)</f>
        <v>127.82</v>
      </c>
      <c r="C3" s="1">
        <f>IFERROR(__xludf.DUMMYFUNCTION("""COMPUTED_VALUE"""),128.32)</f>
        <v>128.32</v>
      </c>
      <c r="D3" s="1">
        <f>IFERROR(__xludf.DUMMYFUNCTION("""COMPUTED_VALUE"""),126.32)</f>
        <v>126.32</v>
      </c>
      <c r="E3" s="1">
        <f>IFERROR(__xludf.DUMMYFUNCTION("""COMPUTED_VALUE"""),126.9)</f>
        <v>126.9</v>
      </c>
      <c r="F3" s="1">
        <f>IFERROR(__xludf.DUMMYFUNCTION("""COMPUTED_VALUE"""),7.2009482E7)</f>
        <v>72009482</v>
      </c>
    </row>
    <row r="4">
      <c r="A4" s="2">
        <f>IFERROR(__xludf.DUMMYFUNCTION("""COMPUTED_VALUE"""),44342.66666666667)</f>
        <v>44342.66667</v>
      </c>
      <c r="B4" s="1">
        <f>IFERROR(__xludf.DUMMYFUNCTION("""COMPUTED_VALUE"""),126.96)</f>
        <v>126.96</v>
      </c>
      <c r="C4" s="1">
        <f>IFERROR(__xludf.DUMMYFUNCTION("""COMPUTED_VALUE"""),127.39)</f>
        <v>127.39</v>
      </c>
      <c r="D4" s="1">
        <f>IFERROR(__xludf.DUMMYFUNCTION("""COMPUTED_VALUE"""),126.42)</f>
        <v>126.42</v>
      </c>
      <c r="E4" s="1">
        <f>IFERROR(__xludf.DUMMYFUNCTION("""COMPUTED_VALUE"""),126.85)</f>
        <v>126.85</v>
      </c>
      <c r="F4" s="1">
        <f>IFERROR(__xludf.DUMMYFUNCTION("""COMPUTED_VALUE"""),5.657592E7)</f>
        <v>56575920</v>
      </c>
    </row>
    <row r="5">
      <c r="A5" s="2">
        <f>IFERROR(__xludf.DUMMYFUNCTION("""COMPUTED_VALUE"""),44343.66666666667)</f>
        <v>44343.66667</v>
      </c>
      <c r="B5" s="1">
        <f>IFERROR(__xludf.DUMMYFUNCTION("""COMPUTED_VALUE"""),126.44)</f>
        <v>126.44</v>
      </c>
      <c r="C5" s="1">
        <f>IFERROR(__xludf.DUMMYFUNCTION("""COMPUTED_VALUE"""),127.64)</f>
        <v>127.64</v>
      </c>
      <c r="D5" s="1">
        <f>IFERROR(__xludf.DUMMYFUNCTION("""COMPUTED_VALUE"""),125.08)</f>
        <v>125.08</v>
      </c>
      <c r="E5" s="1">
        <f>IFERROR(__xludf.DUMMYFUNCTION("""COMPUTED_VALUE"""),125.28)</f>
        <v>125.28</v>
      </c>
      <c r="F5" s="1">
        <f>IFERROR(__xludf.DUMMYFUNCTION("""COMPUTED_VALUE"""),9.4625601E7)</f>
        <v>94625601</v>
      </c>
    </row>
    <row r="6">
      <c r="A6" s="2">
        <f>IFERROR(__xludf.DUMMYFUNCTION("""COMPUTED_VALUE"""),44344.66666666667)</f>
        <v>44344.66667</v>
      </c>
      <c r="B6" s="1">
        <f>IFERROR(__xludf.DUMMYFUNCTION("""COMPUTED_VALUE"""),125.57)</f>
        <v>125.57</v>
      </c>
      <c r="C6" s="1">
        <f>IFERROR(__xludf.DUMMYFUNCTION("""COMPUTED_VALUE"""),125.8)</f>
        <v>125.8</v>
      </c>
      <c r="D6" s="1">
        <f>IFERROR(__xludf.DUMMYFUNCTION("""COMPUTED_VALUE"""),124.55)</f>
        <v>124.55</v>
      </c>
      <c r="E6" s="1">
        <f>IFERROR(__xludf.DUMMYFUNCTION("""COMPUTED_VALUE"""),124.61)</f>
        <v>124.61</v>
      </c>
      <c r="F6" s="1">
        <f>IFERROR(__xludf.DUMMYFUNCTION("""COMPUTED_VALUE"""),7.1311109E7)</f>
        <v>71311109</v>
      </c>
    </row>
    <row r="7">
      <c r="A7" s="2">
        <f>IFERROR(__xludf.DUMMYFUNCTION("""COMPUTED_VALUE"""),44348.66666666667)</f>
        <v>44348.66667</v>
      </c>
      <c r="B7" s="1">
        <f>IFERROR(__xludf.DUMMYFUNCTION("""COMPUTED_VALUE"""),125.08)</f>
        <v>125.08</v>
      </c>
      <c r="C7" s="1">
        <f>IFERROR(__xludf.DUMMYFUNCTION("""COMPUTED_VALUE"""),125.35)</f>
        <v>125.35</v>
      </c>
      <c r="D7" s="1">
        <f>IFERROR(__xludf.DUMMYFUNCTION("""COMPUTED_VALUE"""),123.94)</f>
        <v>123.94</v>
      </c>
      <c r="E7" s="1">
        <f>IFERROR(__xludf.DUMMYFUNCTION("""COMPUTED_VALUE"""),124.28)</f>
        <v>124.28</v>
      </c>
      <c r="F7" s="1">
        <f>IFERROR(__xludf.DUMMYFUNCTION("""COMPUTED_VALUE"""),6.7637118E7)</f>
        <v>67637118</v>
      </c>
    </row>
    <row r="8">
      <c r="A8" s="2">
        <f>IFERROR(__xludf.DUMMYFUNCTION("""COMPUTED_VALUE"""),44349.66666666667)</f>
        <v>44349.66667</v>
      </c>
      <c r="B8" s="1">
        <f>IFERROR(__xludf.DUMMYFUNCTION("""COMPUTED_VALUE"""),124.28)</f>
        <v>124.28</v>
      </c>
      <c r="C8" s="1">
        <f>IFERROR(__xludf.DUMMYFUNCTION("""COMPUTED_VALUE"""),125.24)</f>
        <v>125.24</v>
      </c>
      <c r="D8" s="1">
        <f>IFERROR(__xludf.DUMMYFUNCTION("""COMPUTED_VALUE"""),124.05)</f>
        <v>124.05</v>
      </c>
      <c r="E8" s="1">
        <f>IFERROR(__xludf.DUMMYFUNCTION("""COMPUTED_VALUE"""),125.06)</f>
        <v>125.06</v>
      </c>
      <c r="F8" s="1">
        <f>IFERROR(__xludf.DUMMYFUNCTION("""COMPUTED_VALUE"""),5.9278862E7)</f>
        <v>59278862</v>
      </c>
    </row>
    <row r="9">
      <c r="A9" s="2">
        <f>IFERROR(__xludf.DUMMYFUNCTION("""COMPUTED_VALUE"""),44350.66666666667)</f>
        <v>44350.66667</v>
      </c>
      <c r="B9" s="1">
        <f>IFERROR(__xludf.DUMMYFUNCTION("""COMPUTED_VALUE"""),124.68)</f>
        <v>124.68</v>
      </c>
      <c r="C9" s="1">
        <f>IFERROR(__xludf.DUMMYFUNCTION("""COMPUTED_VALUE"""),124.85)</f>
        <v>124.85</v>
      </c>
      <c r="D9" s="1">
        <f>IFERROR(__xludf.DUMMYFUNCTION("""COMPUTED_VALUE"""),123.13)</f>
        <v>123.13</v>
      </c>
      <c r="E9" s="1">
        <f>IFERROR(__xludf.DUMMYFUNCTION("""COMPUTED_VALUE"""),123.54)</f>
        <v>123.54</v>
      </c>
      <c r="F9" s="1">
        <f>IFERROR(__xludf.DUMMYFUNCTION("""COMPUTED_VALUE"""),7.622917E7)</f>
        <v>76229170</v>
      </c>
    </row>
    <row r="10">
      <c r="A10" s="2">
        <f>IFERROR(__xludf.DUMMYFUNCTION("""COMPUTED_VALUE"""),44351.66666666667)</f>
        <v>44351.66667</v>
      </c>
      <c r="B10" s="1">
        <f>IFERROR(__xludf.DUMMYFUNCTION("""COMPUTED_VALUE"""),124.07)</f>
        <v>124.07</v>
      </c>
      <c r="C10" s="1">
        <f>IFERROR(__xludf.DUMMYFUNCTION("""COMPUTED_VALUE"""),126.16)</f>
        <v>126.16</v>
      </c>
      <c r="D10" s="1">
        <f>IFERROR(__xludf.DUMMYFUNCTION("""COMPUTED_VALUE"""),123.85)</f>
        <v>123.85</v>
      </c>
      <c r="E10" s="1">
        <f>IFERROR(__xludf.DUMMYFUNCTION("""COMPUTED_VALUE"""),125.89)</f>
        <v>125.89</v>
      </c>
      <c r="F10" s="1">
        <f>IFERROR(__xludf.DUMMYFUNCTION("""COMPUTED_VALUE"""),7.5169343E7)</f>
        <v>75169343</v>
      </c>
    </row>
    <row r="11">
      <c r="A11" s="2">
        <f>IFERROR(__xludf.DUMMYFUNCTION("""COMPUTED_VALUE"""),44354.66666666667)</f>
        <v>44354.66667</v>
      </c>
      <c r="B11" s="1">
        <f>IFERROR(__xludf.DUMMYFUNCTION("""COMPUTED_VALUE"""),126.17)</f>
        <v>126.17</v>
      </c>
      <c r="C11" s="1">
        <f>IFERROR(__xludf.DUMMYFUNCTION("""COMPUTED_VALUE"""),126.32)</f>
        <v>126.32</v>
      </c>
      <c r="D11" s="1">
        <f>IFERROR(__xludf.DUMMYFUNCTION("""COMPUTED_VALUE"""),124.83)</f>
        <v>124.83</v>
      </c>
      <c r="E11" s="1">
        <f>IFERROR(__xludf.DUMMYFUNCTION("""COMPUTED_VALUE"""),125.9)</f>
        <v>125.9</v>
      </c>
      <c r="F11" s="1">
        <f>IFERROR(__xludf.DUMMYFUNCTION("""COMPUTED_VALUE"""),7.105755E7)</f>
        <v>71057550</v>
      </c>
    </row>
    <row r="12">
      <c r="A12" s="2">
        <f>IFERROR(__xludf.DUMMYFUNCTION("""COMPUTED_VALUE"""),44355.66666666667)</f>
        <v>44355.66667</v>
      </c>
      <c r="B12" s="1">
        <f>IFERROR(__xludf.DUMMYFUNCTION("""COMPUTED_VALUE"""),126.6)</f>
        <v>126.6</v>
      </c>
      <c r="C12" s="1">
        <f>IFERROR(__xludf.DUMMYFUNCTION("""COMPUTED_VALUE"""),128.46)</f>
        <v>128.46</v>
      </c>
      <c r="D12" s="1">
        <f>IFERROR(__xludf.DUMMYFUNCTION("""COMPUTED_VALUE"""),126.21)</f>
        <v>126.21</v>
      </c>
      <c r="E12" s="1">
        <f>IFERROR(__xludf.DUMMYFUNCTION("""COMPUTED_VALUE"""),126.74)</f>
        <v>126.74</v>
      </c>
      <c r="F12" s="1">
        <f>IFERROR(__xludf.DUMMYFUNCTION("""COMPUTED_VALUE"""),7.4403774E7)</f>
        <v>74403774</v>
      </c>
    </row>
    <row r="13">
      <c r="A13" s="2">
        <f>IFERROR(__xludf.DUMMYFUNCTION("""COMPUTED_VALUE"""),44356.66666666667)</f>
        <v>44356.66667</v>
      </c>
      <c r="B13" s="1">
        <f>IFERROR(__xludf.DUMMYFUNCTION("""COMPUTED_VALUE"""),127.21)</f>
        <v>127.21</v>
      </c>
      <c r="C13" s="1">
        <f>IFERROR(__xludf.DUMMYFUNCTION("""COMPUTED_VALUE"""),127.75)</f>
        <v>127.75</v>
      </c>
      <c r="D13" s="1">
        <f>IFERROR(__xludf.DUMMYFUNCTION("""COMPUTED_VALUE"""),126.52)</f>
        <v>126.52</v>
      </c>
      <c r="E13" s="1">
        <f>IFERROR(__xludf.DUMMYFUNCTION("""COMPUTED_VALUE"""),127.13)</f>
        <v>127.13</v>
      </c>
      <c r="F13" s="1">
        <f>IFERROR(__xludf.DUMMYFUNCTION("""COMPUTED_VALUE"""),5.6877937E7)</f>
        <v>56877937</v>
      </c>
    </row>
    <row r="14">
      <c r="A14" s="2">
        <f>IFERROR(__xludf.DUMMYFUNCTION("""COMPUTED_VALUE"""),44357.66666666667)</f>
        <v>44357.66667</v>
      </c>
      <c r="B14" s="1">
        <f>IFERROR(__xludf.DUMMYFUNCTION("""COMPUTED_VALUE"""),127.02)</f>
        <v>127.02</v>
      </c>
      <c r="C14" s="1">
        <f>IFERROR(__xludf.DUMMYFUNCTION("""COMPUTED_VALUE"""),128.19)</f>
        <v>128.19</v>
      </c>
      <c r="D14" s="1">
        <f>IFERROR(__xludf.DUMMYFUNCTION("""COMPUTED_VALUE"""),125.94)</f>
        <v>125.94</v>
      </c>
      <c r="E14" s="1">
        <f>IFERROR(__xludf.DUMMYFUNCTION("""COMPUTED_VALUE"""),126.11)</f>
        <v>126.11</v>
      </c>
      <c r="F14" s="1">
        <f>IFERROR(__xludf.DUMMYFUNCTION("""COMPUTED_VALUE"""),7.1186421E7)</f>
        <v>71186421</v>
      </c>
    </row>
    <row r="15">
      <c r="A15" s="2">
        <f>IFERROR(__xludf.DUMMYFUNCTION("""COMPUTED_VALUE"""),44358.66666666667)</f>
        <v>44358.66667</v>
      </c>
      <c r="B15" s="1">
        <f>IFERROR(__xludf.DUMMYFUNCTION("""COMPUTED_VALUE"""),126.53)</f>
        <v>126.53</v>
      </c>
      <c r="C15" s="1">
        <f>IFERROR(__xludf.DUMMYFUNCTION("""COMPUTED_VALUE"""),127.44)</f>
        <v>127.44</v>
      </c>
      <c r="D15" s="1">
        <f>IFERROR(__xludf.DUMMYFUNCTION("""COMPUTED_VALUE"""),126.1)</f>
        <v>126.1</v>
      </c>
      <c r="E15" s="1">
        <f>IFERROR(__xludf.DUMMYFUNCTION("""COMPUTED_VALUE"""),127.35)</f>
        <v>127.35</v>
      </c>
      <c r="F15" s="1">
        <f>IFERROR(__xludf.DUMMYFUNCTION("""COMPUTED_VALUE"""),5.3522373E7)</f>
        <v>53522373</v>
      </c>
    </row>
    <row r="16">
      <c r="A16" s="2">
        <f>IFERROR(__xludf.DUMMYFUNCTION("""COMPUTED_VALUE"""),44361.66666666667)</f>
        <v>44361.66667</v>
      </c>
      <c r="B16" s="1">
        <f>IFERROR(__xludf.DUMMYFUNCTION("""COMPUTED_VALUE"""),127.82)</f>
        <v>127.82</v>
      </c>
      <c r="C16" s="1">
        <f>IFERROR(__xludf.DUMMYFUNCTION("""COMPUTED_VALUE"""),130.54)</f>
        <v>130.54</v>
      </c>
      <c r="D16" s="1">
        <f>IFERROR(__xludf.DUMMYFUNCTION("""COMPUTED_VALUE"""),127.07)</f>
        <v>127.07</v>
      </c>
      <c r="E16" s="1">
        <f>IFERROR(__xludf.DUMMYFUNCTION("""COMPUTED_VALUE"""),130.48)</f>
        <v>130.48</v>
      </c>
      <c r="F16" s="1">
        <f>IFERROR(__xludf.DUMMYFUNCTION("""COMPUTED_VALUE"""),9.690649E7)</f>
        <v>96906490</v>
      </c>
    </row>
    <row r="17">
      <c r="A17" s="2">
        <f>IFERROR(__xludf.DUMMYFUNCTION("""COMPUTED_VALUE"""),44362.66666666667)</f>
        <v>44362.66667</v>
      </c>
      <c r="B17" s="1">
        <f>IFERROR(__xludf.DUMMYFUNCTION("""COMPUTED_VALUE"""),129.94)</f>
        <v>129.94</v>
      </c>
      <c r="C17" s="1">
        <f>IFERROR(__xludf.DUMMYFUNCTION("""COMPUTED_VALUE"""),130.6)</f>
        <v>130.6</v>
      </c>
      <c r="D17" s="1">
        <f>IFERROR(__xludf.DUMMYFUNCTION("""COMPUTED_VALUE"""),129.39)</f>
        <v>129.39</v>
      </c>
      <c r="E17" s="1">
        <f>IFERROR(__xludf.DUMMYFUNCTION("""COMPUTED_VALUE"""),129.64)</f>
        <v>129.64</v>
      </c>
      <c r="F17" s="1">
        <f>IFERROR(__xludf.DUMMYFUNCTION("""COMPUTED_VALUE"""),6.2746332E7)</f>
        <v>62746332</v>
      </c>
    </row>
    <row r="18">
      <c r="A18" s="2">
        <f>IFERROR(__xludf.DUMMYFUNCTION("""COMPUTED_VALUE"""),44363.66666666667)</f>
        <v>44363.66667</v>
      </c>
      <c r="B18" s="1">
        <f>IFERROR(__xludf.DUMMYFUNCTION("""COMPUTED_VALUE"""),130.37)</f>
        <v>130.37</v>
      </c>
      <c r="C18" s="1">
        <f>IFERROR(__xludf.DUMMYFUNCTION("""COMPUTED_VALUE"""),130.89)</f>
        <v>130.89</v>
      </c>
      <c r="D18" s="1">
        <f>IFERROR(__xludf.DUMMYFUNCTION("""COMPUTED_VALUE"""),128.46)</f>
        <v>128.46</v>
      </c>
      <c r="E18" s="1">
        <f>IFERROR(__xludf.DUMMYFUNCTION("""COMPUTED_VALUE"""),130.15)</f>
        <v>130.15</v>
      </c>
      <c r="F18" s="1">
        <f>IFERROR(__xludf.DUMMYFUNCTION("""COMPUTED_VALUE"""),9.1815026E7)</f>
        <v>91815026</v>
      </c>
    </row>
    <row r="19">
      <c r="A19" s="2">
        <f>IFERROR(__xludf.DUMMYFUNCTION("""COMPUTED_VALUE"""),44364.66666666667)</f>
        <v>44364.66667</v>
      </c>
      <c r="B19" s="1">
        <f>IFERROR(__xludf.DUMMYFUNCTION("""COMPUTED_VALUE"""),129.8)</f>
        <v>129.8</v>
      </c>
      <c r="C19" s="1">
        <f>IFERROR(__xludf.DUMMYFUNCTION("""COMPUTED_VALUE"""),132.55)</f>
        <v>132.55</v>
      </c>
      <c r="D19" s="1">
        <f>IFERROR(__xludf.DUMMYFUNCTION("""COMPUTED_VALUE"""),129.65)</f>
        <v>129.65</v>
      </c>
      <c r="E19" s="1">
        <f>IFERROR(__xludf.DUMMYFUNCTION("""COMPUTED_VALUE"""),131.79)</f>
        <v>131.79</v>
      </c>
      <c r="F19" s="1">
        <f>IFERROR(__xludf.DUMMYFUNCTION("""COMPUTED_VALUE"""),9.6721669E7)</f>
        <v>96721669</v>
      </c>
    </row>
    <row r="20">
      <c r="A20" s="2">
        <f>IFERROR(__xludf.DUMMYFUNCTION("""COMPUTED_VALUE"""),44365.66666666667)</f>
        <v>44365.66667</v>
      </c>
      <c r="B20" s="1">
        <f>IFERROR(__xludf.DUMMYFUNCTION("""COMPUTED_VALUE"""),130.71)</f>
        <v>130.71</v>
      </c>
      <c r="C20" s="1">
        <f>IFERROR(__xludf.DUMMYFUNCTION("""COMPUTED_VALUE"""),131.51)</f>
        <v>131.51</v>
      </c>
      <c r="D20" s="1">
        <f>IFERROR(__xludf.DUMMYFUNCTION("""COMPUTED_VALUE"""),130.24)</f>
        <v>130.24</v>
      </c>
      <c r="E20" s="1">
        <f>IFERROR(__xludf.DUMMYFUNCTION("""COMPUTED_VALUE"""),130.46)</f>
        <v>130.46</v>
      </c>
      <c r="F20" s="1">
        <f>IFERROR(__xludf.DUMMYFUNCTION("""COMPUTED_VALUE"""),1.08953309E8)</f>
        <v>108953309</v>
      </c>
    </row>
    <row r="21">
      <c r="A21" s="2">
        <f>IFERROR(__xludf.DUMMYFUNCTION("""COMPUTED_VALUE"""),44368.66666666667)</f>
        <v>44368.66667</v>
      </c>
      <c r="B21" s="1">
        <f>IFERROR(__xludf.DUMMYFUNCTION("""COMPUTED_VALUE"""),130.3)</f>
        <v>130.3</v>
      </c>
      <c r="C21" s="1">
        <f>IFERROR(__xludf.DUMMYFUNCTION("""COMPUTED_VALUE"""),132.41)</f>
        <v>132.41</v>
      </c>
      <c r="D21" s="1">
        <f>IFERROR(__xludf.DUMMYFUNCTION("""COMPUTED_VALUE"""),129.21)</f>
        <v>129.21</v>
      </c>
      <c r="E21" s="1">
        <f>IFERROR(__xludf.DUMMYFUNCTION("""COMPUTED_VALUE"""),132.3)</f>
        <v>132.3</v>
      </c>
      <c r="F21" s="1">
        <f>IFERROR(__xludf.DUMMYFUNCTION("""COMPUTED_VALUE"""),7.9663316E7)</f>
        <v>79663316</v>
      </c>
    </row>
    <row r="22">
      <c r="A22" s="2">
        <f>IFERROR(__xludf.DUMMYFUNCTION("""COMPUTED_VALUE"""),44369.66666666667)</f>
        <v>44369.66667</v>
      </c>
      <c r="B22" s="1">
        <f>IFERROR(__xludf.DUMMYFUNCTION("""COMPUTED_VALUE"""),132.13)</f>
        <v>132.13</v>
      </c>
      <c r="C22" s="1">
        <f>IFERROR(__xludf.DUMMYFUNCTION("""COMPUTED_VALUE"""),134.08)</f>
        <v>134.08</v>
      </c>
      <c r="D22" s="1">
        <f>IFERROR(__xludf.DUMMYFUNCTION("""COMPUTED_VALUE"""),131.62)</f>
        <v>131.62</v>
      </c>
      <c r="E22" s="1">
        <f>IFERROR(__xludf.DUMMYFUNCTION("""COMPUTED_VALUE"""),133.98)</f>
        <v>133.98</v>
      </c>
      <c r="F22" s="1">
        <f>IFERROR(__xludf.DUMMYFUNCTION("""COMPUTED_VALUE"""),7.4783618E7)</f>
        <v>74783618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71"/>
    <col customWidth="1" min="4" max="4" width="19.14"/>
    <col customWidth="1" min="7" max="7" width="18.14"/>
  </cols>
  <sheetData>
    <row r="1">
      <c r="B1" s="3" t="s">
        <v>0</v>
      </c>
      <c r="C1" s="3" t="s">
        <v>1</v>
      </c>
      <c r="D1" s="3" t="s">
        <v>2</v>
      </c>
    </row>
    <row r="2">
      <c r="A2" s="3" t="s">
        <v>3</v>
      </c>
      <c r="B2" s="4">
        <f>IFERROR(__xludf.DUMMYFUNCTION("GOOGLEFINANCE(""NASDAQ:AAPL"", ""price"")"),133.7)</f>
        <v>133.7</v>
      </c>
      <c r="C2" s="4">
        <f>IFERROR(__xludf.DUMMYFUNCTION("GOOGLEFINANCE(""NASDAQ:AMZN"", ""price"")"),3503.82)</f>
        <v>3503.82</v>
      </c>
      <c r="D2" s="4">
        <f>IFERROR(__xludf.DUMMYFUNCTION("GOOGLEFINANCE(""NYSE:IBM"", ""price"")"),144.61)</f>
        <v>144.61</v>
      </c>
      <c r="G2" s="3" t="s">
        <v>4</v>
      </c>
      <c r="H2" s="5">
        <v>0.0067</v>
      </c>
    </row>
    <row r="3">
      <c r="A3" s="3" t="s">
        <v>5</v>
      </c>
      <c r="B3" s="4">
        <f>IFERROR(__xludf.DUMMYFUNCTION("GOOGLEFINANCE(""NASDAQ:AAPL"", ""high52"")"),145.09)</f>
        <v>145.09</v>
      </c>
      <c r="C3" s="4">
        <f>IFERROR(__xludf.DUMMYFUNCTION("GOOGLEFINANCE(""NASDAQ:AMZN"", ""high52"")"),3554.0)</f>
        <v>3554</v>
      </c>
      <c r="D3" s="4">
        <f>IFERROR(__xludf.DUMMYFUNCTION("GOOGLEFINANCE(""NYSE:IBM"", ""high52"")"),152.84)</f>
        <v>152.84</v>
      </c>
      <c r="G3" s="3" t="s">
        <v>6</v>
      </c>
      <c r="H3" s="5">
        <v>0.0796</v>
      </c>
    </row>
    <row r="4">
      <c r="A4" s="3" t="s">
        <v>7</v>
      </c>
      <c r="B4" s="4">
        <f>IFERROR(__xludf.DUMMYFUNCTION("GOOGLEFINANCE(""NASDAQ:AAPL"", ""low52"")"),87.82)</f>
        <v>87.82</v>
      </c>
      <c r="C4" s="4">
        <f>IFERROR(__xludf.DUMMYFUNCTION("GOOGLEFINANCE(""NASDAQ:AMZN"", ""low52"")"),2630.08)</f>
        <v>2630.08</v>
      </c>
      <c r="D4" s="4">
        <f>IFERROR(__xludf.DUMMYFUNCTION("GOOGLEFINANCE(""NYSE:IBM"", ""low52"")"),105.92)</f>
        <v>105.92</v>
      </c>
    </row>
    <row r="5">
      <c r="A5" s="3" t="s">
        <v>8</v>
      </c>
      <c r="B5" s="6">
        <f>IFERROR(__xludf.DUMMYFUNCTION("GOOGLEFINANCE(""NASDAQ:AAPL"", ""shares"")"),1.668763E10)</f>
        <v>16687630000</v>
      </c>
      <c r="C5" s="6">
        <f>IFERROR(__xludf.DUMMYFUNCTION("GOOGLEFINANCE(""NASDAQ:AMZN"", ""shares"")"),5.04324E8)</f>
        <v>504324000</v>
      </c>
      <c r="D5" s="6">
        <f>IFERROR(__xludf.DUMMYFUNCTION("GOOGLEFINANCE(""NYSE:IBM"", ""shares"")"),8.93523E8)</f>
        <v>893523000</v>
      </c>
    </row>
    <row r="6">
      <c r="A6" s="3" t="s">
        <v>9</v>
      </c>
      <c r="B6" s="4">
        <f>IFERROR(__xludf.DUMMYFUNCTION("GOOGLEFINANCE(""NASDAQ:AAPL"", ""marketcap"")"),2.231136080073E12)</f>
        <v>2231136080073</v>
      </c>
      <c r="C6" s="7">
        <f>IFERROR(__xludf.DUMMYFUNCTION("GOOGLEFINANCE(""NASDAQ:AMZN"", ""marketcap"")"),1.767059851391E12)</f>
        <v>1767059851391</v>
      </c>
      <c r="D6" s="7">
        <f>IFERROR(__xludf.DUMMYFUNCTION("GOOGLEFINANCE(""NYSE:IBM"", ""marketcap"")"),1.29212332653E11)</f>
        <v>129212332653</v>
      </c>
    </row>
    <row r="7">
      <c r="A7" s="3" t="s">
        <v>10</v>
      </c>
      <c r="B7" s="6">
        <f>IFERROR(__xludf.DUMMYFUNCTION("GOOGLEFINANCE(""NASDAQ:AAPL"", ""pe"")"),30.0)</f>
        <v>30</v>
      </c>
      <c r="C7" s="6">
        <f>IFERROR(__xludf.DUMMYFUNCTION("GOOGLEFINANCE(""NASDAQ:AMZN"", ""pe"")"),66.68)</f>
        <v>66.68</v>
      </c>
      <c r="D7" s="6">
        <f>IFERROR(__xludf.DUMMYFUNCTION("GOOGLEFINANCE(""NYSE:IBM"", ""pe"")"),24.18)</f>
        <v>24.18</v>
      </c>
    </row>
    <row r="8">
      <c r="A8" s="3" t="s">
        <v>11</v>
      </c>
      <c r="B8" s="6">
        <f>IFERROR(__xludf.DUMMYFUNCTION("GOOGLEFINANCE(""NASDAQ:AAPL"", ""eps"")"),4.46)</f>
        <v>4.46</v>
      </c>
      <c r="C8" s="6">
        <f>IFERROR(__xludf.DUMMYFUNCTION("GOOGLEFINANCE(""NASDAQ:AMZN"", ""eps"")"),52.55)</f>
        <v>52.55</v>
      </c>
      <c r="D8" s="6">
        <f>IFERROR(__xludf.DUMMYFUNCTION("GOOGLEFINANCE(""NYSE:IBM"", ""eps"")"),5.98)</f>
        <v>5.98</v>
      </c>
    </row>
    <row r="9">
      <c r="A9" s="3" t="s">
        <v>12</v>
      </c>
      <c r="B9" s="6">
        <f>IFERROR(__xludf.DUMMYFUNCTION("GOOGLEFINANCE(""NASDAQ:AAPL"", ""beta"")"),1.2)</f>
        <v>1.2</v>
      </c>
      <c r="C9" s="6">
        <f>IFERROR(__xludf.DUMMYFUNCTION("GOOGLEFINANCE(""NASDAQ:AMZN"", ""beta"")"),1.15)</f>
        <v>1.15</v>
      </c>
      <c r="D9" s="6">
        <f>IFERROR(__xludf.DUMMYFUNCTION("GOOGLEFINANCE(""NYSE:IBM"", ""beta"")"),1.23)</f>
        <v>1.23</v>
      </c>
    </row>
    <row r="10">
      <c r="A10" s="3" t="s">
        <v>13</v>
      </c>
      <c r="B10" s="4">
        <f t="shared" ref="B10:D10" si="1">B8*B5</f>
        <v>74426829800</v>
      </c>
      <c r="C10" s="4">
        <f t="shared" si="1"/>
        <v>26502226200</v>
      </c>
      <c r="D10" s="4">
        <f t="shared" si="1"/>
        <v>5343267540</v>
      </c>
    </row>
    <row r="11">
      <c r="A11" s="3" t="s">
        <v>14</v>
      </c>
      <c r="B11" s="8">
        <f t="shared" ref="B11:D11" si="2">$H2+B9*($H3-$H2)</f>
        <v>0.09418</v>
      </c>
      <c r="C11" s="8">
        <f t="shared" si="2"/>
        <v>0.090535</v>
      </c>
      <c r="D11" s="8">
        <f t="shared" si="2"/>
        <v>0.096367</v>
      </c>
    </row>
    <row r="12">
      <c r="A12" s="3" t="s">
        <v>15</v>
      </c>
      <c r="B12" s="8">
        <f t="shared" ref="B12:D12" si="3">B3/B4</f>
        <v>1.652129355</v>
      </c>
      <c r="C12" s="8">
        <f t="shared" si="3"/>
        <v>1.351289695</v>
      </c>
      <c r="D12" s="8">
        <f t="shared" si="3"/>
        <v>1.442975831</v>
      </c>
    </row>
    <row r="13">
      <c r="A13" s="3" t="s">
        <v>16</v>
      </c>
      <c r="B13" s="8">
        <f t="shared" ref="B13:D13" si="4">B2/B4</f>
        <v>1.522432248</v>
      </c>
      <c r="C13" s="8">
        <f t="shared" si="4"/>
        <v>1.332210427</v>
      </c>
      <c r="D13" s="8">
        <f t="shared" si="4"/>
        <v>1.36527568</v>
      </c>
    </row>
    <row r="14">
      <c r="A14" s="3" t="s">
        <v>17</v>
      </c>
      <c r="B14" s="8">
        <f t="shared" ref="B14:D14" si="5">B2/B3-1</f>
        <v>-0.07850299814</v>
      </c>
      <c r="C14" s="8">
        <f t="shared" si="5"/>
        <v>-0.01411930219</v>
      </c>
      <c r="D14" s="8">
        <f t="shared" si="5"/>
        <v>-0.05384716043</v>
      </c>
    </row>
    <row r="17">
      <c r="A17" s="3" t="s">
        <v>0</v>
      </c>
      <c r="B17" s="1" t="str">
        <f>IFERROR(__xludf.DUMMYFUNCTION("SPARKLINE(GOOGLEFINANCE(""NASDAQ:""&amp;A17, ""price"", TODAY()-365, TODAY()))"),"")</f>
        <v/>
      </c>
    </row>
    <row r="18">
      <c r="A18" s="3" t="s">
        <v>1</v>
      </c>
      <c r="B18" s="1" t="str">
        <f>IFERROR(__xludf.DUMMYFUNCTION("SPARKLINE(GOOGLEFINANCE(""NASDAQ:""&amp;A18, ""price"", TODAY()-365, TODAY()))"),"")</f>
        <v/>
      </c>
    </row>
    <row r="19">
      <c r="A19" s="3" t="s">
        <v>2</v>
      </c>
      <c r="B19" s="1" t="str">
        <f>IFERROR(__xludf.DUMMYFUNCTION("SPARKLINE(GOOGLEFINANCE(""NYSE:""&amp;A19, ""price"", TODAY()-365, TODAY()))"),"")</f>
        <v/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8.14"/>
  </cols>
  <sheetData>
    <row r="1">
      <c r="A1" s="3" t="s">
        <v>3</v>
      </c>
      <c r="B1" s="9">
        <f>IFERROR(__xludf.DUMMYFUNCTION("GOOGLEFINANCE(""MUTF:FXAIX"", ""closeyest"")"),147.78)</f>
        <v>147.78</v>
      </c>
    </row>
    <row r="2">
      <c r="A2" s="3" t="s">
        <v>18</v>
      </c>
      <c r="B2" s="10">
        <f>IFERROR(__xludf.DUMMYFUNCTION("GOOGLEFINANCE(""MUTF:FXAIX"", ""returnytd"")"),4.1)</f>
        <v>4.1</v>
      </c>
    </row>
    <row r="3">
      <c r="A3" s="3" t="s">
        <v>19</v>
      </c>
      <c r="B3" s="11">
        <f>IFERROR(__xludf.DUMMYFUNCTION("GOOGLEFINANCE(""MUTF:FXAIX"", ""netassets"")"),8.4712614255E10)</f>
        <v>84712614255</v>
      </c>
    </row>
    <row r="4">
      <c r="A4" s="3" t="s">
        <v>20</v>
      </c>
      <c r="B4" s="10">
        <f>IFERROR(__xludf.DUMMYFUNCTION("GOOGLEFINANCE(""MUTF:FXAIX"", ""incomedividend"")"),0.45)</f>
        <v>0.45</v>
      </c>
    </row>
    <row r="5">
      <c r="A5" s="3" t="s">
        <v>21</v>
      </c>
      <c r="B5" s="10">
        <f>IFERROR(__xludf.DUMMYFUNCTION("GOOGLEFINANCE(""MUTF:FXAIX"", ""yieldpct"")"),1.85)</f>
        <v>1.85</v>
      </c>
    </row>
    <row r="6">
      <c r="A6" s="3" t="s">
        <v>22</v>
      </c>
      <c r="B6" s="10">
        <f>IFERROR(__xludf.DUMMYFUNCTION("GOOGLEFINANCE(""MUTF:FXAIX"", ""capitalgain"")"),0.09)</f>
        <v>0.09</v>
      </c>
    </row>
    <row r="7">
      <c r="A7" s="3" t="s">
        <v>23</v>
      </c>
      <c r="B7" s="10">
        <f>IFERROR(__xludf.DUMMYFUNCTION("GOOGLEFINANCE(""MUTF:FXAIX"", ""morningstarrating"")"),5.0)</f>
        <v>5</v>
      </c>
    </row>
    <row r="8">
      <c r="A8" s="3" t="s">
        <v>24</v>
      </c>
      <c r="B8" s="10">
        <f>IFERROR(__xludf.DUMMYFUNCTION("GOOGLEFINANCE(""MUTF:FXAIX"", ""expenseratio"")"),0.02)</f>
        <v>0.02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25</v>
      </c>
      <c r="B2" s="3" t="s">
        <v>26</v>
      </c>
      <c r="C2" s="1" t="str">
        <f>IFERROR(__xludf.DUMMYFUNCTION("SPARKLINE(GOOGLEFINANCE(""CURRENCY:""&amp;A2&amp;B2, ""price"", TODAY()-365, TODAY()))"),"")</f>
        <v/>
      </c>
    </row>
    <row r="3">
      <c r="A3" s="3" t="s">
        <v>25</v>
      </c>
      <c r="B3" s="3" t="s">
        <v>27</v>
      </c>
      <c r="C3" s="1" t="str">
        <f>IFERROR(__xludf.DUMMYFUNCTION("SPARKLINE(GOOGLEFINANCE(""CURRENCY:""&amp;A3&amp;B3, ""price"", TODAY()-365, TODAY()))"),"")</f>
        <v/>
      </c>
    </row>
    <row r="4">
      <c r="A4" s="3" t="s">
        <v>25</v>
      </c>
      <c r="B4" s="3" t="s">
        <v>28</v>
      </c>
      <c r="C4" s="1" t="str">
        <f>IFERROR(__xludf.DUMMYFUNCTION("SPARKLINE(GOOGLEFINANCE(""CURRENCY:""&amp;A4&amp;B4, ""price"", TODAY()-365, TODAY()))"),"")</f>
        <v/>
      </c>
    </row>
    <row r="5">
      <c r="A5" s="3" t="s">
        <v>25</v>
      </c>
      <c r="B5" s="3" t="s">
        <v>29</v>
      </c>
      <c r="C5" s="1" t="str">
        <f>IFERROR(__xludf.DUMMYFUNCTION("SPARKLINE(GOOGLEFINANCE(""CURRENCY:""&amp;A5&amp;B5, ""price"", TODAY()-365, TODAY()))"),"")</f>
        <v/>
      </c>
    </row>
    <row r="6">
      <c r="A6" s="3" t="s">
        <v>25</v>
      </c>
      <c r="B6" s="3" t="s">
        <v>30</v>
      </c>
      <c r="C6" s="1" t="str">
        <f>IFERROR(__xludf.DUMMYFUNCTION("SPARKLINE(GOOGLEFINANCE(""CURRENCY:""&amp;A6&amp;B6, ""price"", TODAY()-365, TODAY()))"),"")</f>
        <v/>
      </c>
    </row>
    <row r="7">
      <c r="A7" s="3" t="s">
        <v>25</v>
      </c>
      <c r="B7" s="3" t="s">
        <v>31</v>
      </c>
      <c r="C7" s="1" t="str">
        <f>IFERROR(__xludf.DUMMYFUNCTION("SPARKLINE(GOOGLEFINANCE(""CURRENCY:""&amp;A7&amp;B7, ""price"", TODAY()-365, TODAY()))"),"")</f>
        <v/>
      </c>
    </row>
    <row r="8">
      <c r="A8" s="3" t="s">
        <v>25</v>
      </c>
      <c r="B8" s="3" t="s">
        <v>32</v>
      </c>
      <c r="C8" s="1" t="str">
        <f>IFERROR(__xludf.DUMMYFUNCTION("SPARKLINE(GOOGLEFINANCE(""CURRENCY:""&amp;A8&amp;B8, ""price"", TODAY()-365, TODAY()))"),"")</f>
        <v/>
      </c>
    </row>
    <row r="9">
      <c r="A9" s="3" t="s">
        <v>25</v>
      </c>
      <c r="B9" s="3" t="s">
        <v>33</v>
      </c>
      <c r="C9" s="1" t="str">
        <f>IFERROR(__xludf.DUMMYFUNCTION("SPARKLINE(GOOGLEFINANCE(""CURRENCY:""&amp;A9&amp;B9, ""price"", TODAY()-365, TODAY()))"),"")</f>
        <v/>
      </c>
    </row>
  </sheetData>
  <drawing r:id="rId1"/>
</worksheet>
</file>