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aryan\Desktop\"/>
    </mc:Choice>
  </mc:AlternateContent>
  <xr:revisionPtr revIDLastSave="0" documentId="13_ncr:1_{95479FBF-1D97-4208-ABCC-5C935649AD32}" xr6:coauthVersionLast="47" xr6:coauthVersionMax="47" xr10:uidLastSave="{00000000-0000-0000-0000-000000000000}"/>
  <bookViews>
    <workbookView xWindow="-108" yWindow="-108" windowWidth="23256" windowHeight="12456" tabRatio="871" firstSheet="4" activeTab="11" xr2:uid="{00000000-000D-0000-FFFF-FFFF00000000}"/>
  </bookViews>
  <sheets>
    <sheet name="Start Here" sheetId="1" r:id="rId1"/>
    <sheet name="1 Formulas" sheetId="2" r:id="rId2"/>
    <sheet name="2 Text" sheetId="3" r:id="rId3"/>
    <sheet name="3 IF Logic" sheetId="4" r:id="rId4"/>
    <sheet name="4 Sort Filter CF" sheetId="5" r:id="rId5"/>
    <sheet name="Employees copy" sheetId="22" r:id="rId6"/>
    <sheet name="5 Lookups" sheetId="6" r:id="rId7"/>
    <sheet name="6 SUMIF COUNTIF" sheetId="7" r:id="rId8"/>
    <sheet name="7 Dates" sheetId="8" r:id="rId9"/>
    <sheet name="8 Pivot" sheetId="9" r:id="rId10"/>
    <sheet name="9 Project" sheetId="10" r:id="rId11"/>
    <sheet name="Dashboard" sheetId="24" r:id="rId12"/>
    <sheet name="Employees" sheetId="11" r:id="rId13"/>
    <sheet name="Sales" sheetId="12" r:id="rId14"/>
    <sheet name="Sales (2)" sheetId="26" r:id="rId15"/>
    <sheet name="Solutions" sheetId="13" r:id="rId16"/>
    <sheet name="k_1" sheetId="14" state="veryHidden" r:id="rId17"/>
    <sheet name="k_2" sheetId="15" state="veryHidden" r:id="rId18"/>
    <sheet name="k_3" sheetId="16" state="veryHidden" r:id="rId19"/>
    <sheet name="k_4" sheetId="17" state="veryHidden" r:id="rId20"/>
    <sheet name="k_5" sheetId="18" state="veryHidden" r:id="rId21"/>
    <sheet name="k_6" sheetId="19" state="veryHidden" r:id="rId22"/>
    <sheet name="k_7" sheetId="20" state="veryHidden" r:id="rId23"/>
    <sheet name="k_8" sheetId="21" state="veryHidden" r:id="rId24"/>
  </sheets>
  <definedNames>
    <definedName name="_xlnm._FilterDatabase" localSheetId="4" hidden="1">'Employees copy'!$A$1:$H$21</definedName>
    <definedName name="_xlnm._FilterDatabase" localSheetId="5" hidden="1">'Employees copy'!$A$1:$H$21</definedName>
    <definedName name="NativeTimeline_Order_Date">#N/A</definedName>
    <definedName name="Slicer_Category">#N/A</definedName>
  </definedNames>
  <calcPr calcId="191029"/>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H61" i="26" l="1"/>
  <c r="H60" i="26"/>
  <c r="H59" i="26"/>
  <c r="H58" i="26"/>
  <c r="H57" i="26"/>
  <c r="H56" i="26"/>
  <c r="H55" i="26"/>
  <c r="H54" i="26"/>
  <c r="H53" i="26"/>
  <c r="H52" i="26"/>
  <c r="H51" i="26"/>
  <c r="H50" i="26"/>
  <c r="H49" i="26"/>
  <c r="H48" i="26"/>
  <c r="H47" i="26"/>
  <c r="H46" i="26"/>
  <c r="H45" i="26"/>
  <c r="H44" i="26"/>
  <c r="H43" i="26"/>
  <c r="H42" i="26"/>
  <c r="H41" i="26"/>
  <c r="H40" i="26"/>
  <c r="H39" i="26"/>
  <c r="H38" i="26"/>
  <c r="H37" i="26"/>
  <c r="H36" i="26"/>
  <c r="H35" i="26"/>
  <c r="H34" i="26"/>
  <c r="H33" i="26"/>
  <c r="H32" i="26"/>
  <c r="H31" i="26"/>
  <c r="H30" i="26"/>
  <c r="H29" i="26"/>
  <c r="H28" i="26"/>
  <c r="H27" i="26"/>
  <c r="H26" i="26"/>
  <c r="H25" i="26"/>
  <c r="H24" i="26"/>
  <c r="H23" i="26"/>
  <c r="H22" i="26"/>
  <c r="H21" i="26"/>
  <c r="H20" i="26"/>
  <c r="H19" i="26"/>
  <c r="H18" i="26"/>
  <c r="H17" i="26"/>
  <c r="H16" i="26"/>
  <c r="H15" i="26"/>
  <c r="H14" i="26"/>
  <c r="H13" i="26"/>
  <c r="H12" i="26"/>
  <c r="H11" i="26"/>
  <c r="H10" i="26"/>
  <c r="H9" i="26"/>
  <c r="H8" i="26"/>
  <c r="H7" i="26"/>
  <c r="H6" i="26"/>
  <c r="H5" i="26"/>
  <c r="H4" i="26"/>
  <c r="H3" i="26"/>
  <c r="H2" i="26"/>
  <c r="J12" i="24"/>
  <c r="L7" i="8"/>
  <c r="M7" i="8" s="1"/>
  <c r="L8" i="8"/>
  <c r="M8" i="8" s="1"/>
  <c r="L9" i="8"/>
  <c r="M9" i="8" s="1"/>
  <c r="L10" i="8"/>
  <c r="M10" i="8" s="1"/>
  <c r="L11" i="8"/>
  <c r="M11" i="8" s="1"/>
  <c r="L12" i="8"/>
  <c r="M12" i="8" s="1"/>
  <c r="L13" i="8"/>
  <c r="M13" i="8" s="1"/>
  <c r="L14" i="8"/>
  <c r="M14" i="8" s="1"/>
  <c r="L15" i="8"/>
  <c r="M15" i="8" s="1"/>
  <c r="L6" i="8"/>
  <c r="M6" i="8" s="1"/>
  <c r="J7" i="8"/>
  <c r="K7" i="8" s="1"/>
  <c r="J8" i="8"/>
  <c r="K8" i="8" s="1"/>
  <c r="J9" i="8"/>
  <c r="K9" i="8" s="1"/>
  <c r="J10" i="8"/>
  <c r="K10" i="8" s="1"/>
  <c r="J11" i="8"/>
  <c r="K11" i="8" s="1"/>
  <c r="J12" i="8"/>
  <c r="K12" i="8" s="1"/>
  <c r="J13" i="8"/>
  <c r="K13" i="8" s="1"/>
  <c r="J14" i="8"/>
  <c r="K14" i="8" s="1"/>
  <c r="J15" i="8"/>
  <c r="K15" i="8" s="1"/>
  <c r="J6" i="8"/>
  <c r="K6" i="8" s="1"/>
  <c r="H7" i="8"/>
  <c r="H8" i="8"/>
  <c r="H9" i="8"/>
  <c r="I9" i="8" s="1"/>
  <c r="H10" i="8"/>
  <c r="I10" i="8" s="1"/>
  <c r="H11" i="8"/>
  <c r="I11" i="8" s="1"/>
  <c r="H12" i="8"/>
  <c r="I12" i="8" s="1"/>
  <c r="H13" i="8"/>
  <c r="I13" i="8" s="1"/>
  <c r="H14" i="8"/>
  <c r="I14" i="8" s="1"/>
  <c r="H15" i="8"/>
  <c r="I15" i="8" s="1"/>
  <c r="H6" i="8"/>
  <c r="I6" i="8" s="1"/>
  <c r="F7" i="8"/>
  <c r="G7" i="8" s="1"/>
  <c r="F8" i="8"/>
  <c r="G8" i="8" s="1"/>
  <c r="F9" i="8"/>
  <c r="G9" i="8" s="1"/>
  <c r="F10" i="8"/>
  <c r="G10" i="8" s="1"/>
  <c r="F11" i="8"/>
  <c r="G11" i="8" s="1"/>
  <c r="F12" i="8"/>
  <c r="G12" i="8" s="1"/>
  <c r="F13" i="8"/>
  <c r="G13" i="8" s="1"/>
  <c r="F14" i="8"/>
  <c r="G14" i="8" s="1"/>
  <c r="F15" i="8"/>
  <c r="G15" i="8" s="1"/>
  <c r="F6" i="8"/>
  <c r="G6" i="8" s="1"/>
  <c r="D7" i="8"/>
  <c r="E7" i="8" s="1"/>
  <c r="D8" i="8"/>
  <c r="E8" i="8" s="1"/>
  <c r="D9" i="8"/>
  <c r="E9" i="8" s="1"/>
  <c r="D10" i="8"/>
  <c r="E10" i="8" s="1"/>
  <c r="D11" i="8"/>
  <c r="E11" i="8" s="1"/>
  <c r="D12" i="8"/>
  <c r="E12" i="8" s="1"/>
  <c r="D13" i="8"/>
  <c r="E13" i="8" s="1"/>
  <c r="D14" i="8"/>
  <c r="E14" i="8" s="1"/>
  <c r="D15" i="8"/>
  <c r="E15" i="8" s="1"/>
  <c r="D6" i="8"/>
  <c r="D13" i="7"/>
  <c r="E13" i="7" s="1"/>
  <c r="D12" i="7"/>
  <c r="E12" i="7" s="1"/>
  <c r="D11" i="7"/>
  <c r="E11" i="7" s="1"/>
  <c r="D10" i="7"/>
  <c r="E10" i="7" s="1"/>
  <c r="D9" i="7"/>
  <c r="E9" i="7" s="1"/>
  <c r="D8" i="7"/>
  <c r="E8" i="7" s="1"/>
  <c r="D7" i="7"/>
  <c r="E7" i="7" s="1"/>
  <c r="D6" i="7"/>
  <c r="E6" i="7" s="1"/>
  <c r="D5" i="7"/>
  <c r="E5" i="7" s="1"/>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 r="N2" i="7"/>
  <c r="B24" i="6"/>
  <c r="D25" i="6"/>
  <c r="D26" i="6"/>
  <c r="D27" i="6"/>
  <c r="D28" i="6"/>
  <c r="E28" i="6" s="1"/>
  <c r="D29" i="6"/>
  <c r="E29" i="6" s="1"/>
  <c r="B25" i="6"/>
  <c r="C25" i="6" s="1"/>
  <c r="B26" i="6"/>
  <c r="C26" i="6" s="1"/>
  <c r="B27" i="6"/>
  <c r="C27" i="6" s="1"/>
  <c r="B28" i="6"/>
  <c r="C28" i="6" s="1"/>
  <c r="B29" i="6"/>
  <c r="C29" i="6" s="1"/>
  <c r="D16" i="6"/>
  <c r="E16" i="6" s="1"/>
  <c r="D17" i="6"/>
  <c r="E17" i="6" s="1"/>
  <c r="D18" i="6"/>
  <c r="E18" i="6" s="1"/>
  <c r="D19" i="6"/>
  <c r="E19" i="6" s="1"/>
  <c r="D20" i="6"/>
  <c r="E20" i="6" s="1"/>
  <c r="D15" i="6"/>
  <c r="E15" i="6" s="1"/>
  <c r="B15" i="6"/>
  <c r="C15" i="6" s="1"/>
  <c r="B16" i="6"/>
  <c r="C16" i="6" s="1"/>
  <c r="B17" i="6"/>
  <c r="B18" i="6"/>
  <c r="C18" i="6" s="1"/>
  <c r="B19" i="6"/>
  <c r="C19" i="6" s="1"/>
  <c r="B20" i="6"/>
  <c r="C20" i="6" s="1"/>
  <c r="C17" i="6"/>
  <c r="D7" i="6"/>
  <c r="E7" i="6" s="1"/>
  <c r="D8" i="6"/>
  <c r="E8" i="6" s="1"/>
  <c r="D9" i="6"/>
  <c r="E9" i="6" s="1"/>
  <c r="D10" i="6"/>
  <c r="E10" i="6" s="1"/>
  <c r="D11" i="6"/>
  <c r="E11" i="6" s="1"/>
  <c r="D6" i="6"/>
  <c r="E6" i="6" s="1"/>
  <c r="B7" i="6"/>
  <c r="C7" i="6" s="1"/>
  <c r="B8" i="6"/>
  <c r="C8" i="6" s="1"/>
  <c r="B9" i="6"/>
  <c r="C9" i="6" s="1"/>
  <c r="B10" i="6"/>
  <c r="C10" i="6" s="1"/>
  <c r="B11" i="6"/>
  <c r="C11" i="6" s="1"/>
  <c r="B6" i="6"/>
  <c r="C6" i="6" s="1"/>
  <c r="E5" i="5"/>
  <c r="M6" i="4" a="1"/>
  <c r="N6" i="4" s="1"/>
  <c r="M7" i="4" a="1"/>
  <c r="N7" i="4" s="1"/>
  <c r="M8" i="4" a="1"/>
  <c r="N8" i="4" s="1"/>
  <c r="M9" i="4" a="1"/>
  <c r="N9" i="4" s="1"/>
  <c r="M10" i="4" a="1"/>
  <c r="N10" i="4" s="1"/>
  <c r="M11" i="4" a="1"/>
  <c r="N11" i="4" s="1"/>
  <c r="M12" i="4" a="1"/>
  <c r="N12" i="4" s="1"/>
  <c r="M13" i="4" a="1"/>
  <c r="N13" i="4" s="1"/>
  <c r="M14" i="4" a="1"/>
  <c r="N14" i="4" s="1"/>
  <c r="M15" i="4" a="1"/>
  <c r="N15" i="4" s="1"/>
  <c r="M16" i="4" a="1"/>
  <c r="N16" i="4" s="1"/>
  <c r="M17" i="4" a="1"/>
  <c r="N17" i="4" s="1"/>
  <c r="M18" i="4" a="1"/>
  <c r="N18" i="4" s="1"/>
  <c r="M19" i="4" a="1"/>
  <c r="N19" i="4" s="1"/>
  <c r="M20" i="4" a="1"/>
  <c r="N20" i="4" s="1"/>
  <c r="M21" i="4" a="1"/>
  <c r="N21" i="4" s="1"/>
  <c r="M22" i="4" a="1"/>
  <c r="N22" i="4" s="1"/>
  <c r="M23" i="4" a="1"/>
  <c r="N23" i="4" s="1"/>
  <c r="M24" i="4" a="1"/>
  <c r="N24" i="4" s="1"/>
  <c r="M5" i="4" a="1"/>
  <c r="N5" i="4" s="1"/>
  <c r="K6" i="4"/>
  <c r="K7" i="4"/>
  <c r="L7" i="4" s="1"/>
  <c r="K8" i="4"/>
  <c r="L8" i="4" s="1"/>
  <c r="K9" i="4"/>
  <c r="L9" i="4" s="1"/>
  <c r="K10" i="4"/>
  <c r="L10" i="4" s="1"/>
  <c r="K11" i="4"/>
  <c r="L11" i="4" s="1"/>
  <c r="K12" i="4"/>
  <c r="L12" i="4" s="1"/>
  <c r="K13" i="4"/>
  <c r="L13" i="4" s="1"/>
  <c r="K14" i="4"/>
  <c r="L14" i="4" s="1"/>
  <c r="K15" i="4"/>
  <c r="L15" i="4" s="1"/>
  <c r="K16" i="4"/>
  <c r="L16" i="4" s="1"/>
  <c r="K17" i="4"/>
  <c r="L17" i="4" s="1"/>
  <c r="K18" i="4"/>
  <c r="L18" i="4" s="1"/>
  <c r="K19" i="4"/>
  <c r="L19" i="4" s="1"/>
  <c r="K20" i="4"/>
  <c r="L20" i="4" s="1"/>
  <c r="K21" i="4"/>
  <c r="L21" i="4" s="1"/>
  <c r="K22" i="4"/>
  <c r="L22" i="4" s="1"/>
  <c r="K23" i="4"/>
  <c r="L23" i="4" s="1"/>
  <c r="K24" i="4"/>
  <c r="L24" i="4" s="1"/>
  <c r="K5" i="4"/>
  <c r="L5" i="4" s="1"/>
  <c r="I6" i="4"/>
  <c r="I7" i="4"/>
  <c r="I8" i="4"/>
  <c r="I9" i="4"/>
  <c r="J9" i="4" s="1"/>
  <c r="I10" i="4"/>
  <c r="J10" i="4" s="1"/>
  <c r="I11" i="4"/>
  <c r="J11" i="4" s="1"/>
  <c r="I12" i="4"/>
  <c r="J12" i="4" s="1"/>
  <c r="I13" i="4"/>
  <c r="J13" i="4" s="1"/>
  <c r="I14" i="4"/>
  <c r="J14" i="4" s="1"/>
  <c r="I15" i="4"/>
  <c r="J15" i="4" s="1"/>
  <c r="I16" i="4"/>
  <c r="J16" i="4" s="1"/>
  <c r="I17" i="4"/>
  <c r="J17" i="4" s="1"/>
  <c r="I18" i="4"/>
  <c r="J18" i="4" s="1"/>
  <c r="I19" i="4"/>
  <c r="J19" i="4" s="1"/>
  <c r="I20" i="4"/>
  <c r="J20" i="4" s="1"/>
  <c r="I21" i="4"/>
  <c r="J21" i="4" s="1"/>
  <c r="I22" i="4"/>
  <c r="J22" i="4" s="1"/>
  <c r="I23" i="4"/>
  <c r="J23" i="4" s="1"/>
  <c r="I24" i="4"/>
  <c r="J24" i="4" s="1"/>
  <c r="I5" i="4"/>
  <c r="J5" i="4" s="1"/>
  <c r="G6" i="4"/>
  <c r="H6" i="4" s="1"/>
  <c r="G7" i="4"/>
  <c r="H7" i="4" s="1"/>
  <c r="G8" i="4"/>
  <c r="H8" i="4" s="1"/>
  <c r="G9" i="4"/>
  <c r="H9" i="4" s="1"/>
  <c r="G10" i="4"/>
  <c r="H10" i="4" s="1"/>
  <c r="G11" i="4"/>
  <c r="H11" i="4" s="1"/>
  <c r="G12" i="4"/>
  <c r="H12" i="4" s="1"/>
  <c r="G13" i="4"/>
  <c r="H13" i="4" s="1"/>
  <c r="G14" i="4"/>
  <c r="H14" i="4" s="1"/>
  <c r="G15" i="4"/>
  <c r="H15" i="4" s="1"/>
  <c r="G16" i="4"/>
  <c r="H16" i="4" s="1"/>
  <c r="G17" i="4"/>
  <c r="H17" i="4" s="1"/>
  <c r="G18" i="4"/>
  <c r="H18" i="4" s="1"/>
  <c r="G19" i="4"/>
  <c r="H19" i="4" s="1"/>
  <c r="G20" i="4"/>
  <c r="H20" i="4" s="1"/>
  <c r="G21" i="4"/>
  <c r="H21" i="4" s="1"/>
  <c r="G22" i="4"/>
  <c r="H22" i="4" s="1"/>
  <c r="G23" i="4"/>
  <c r="H23" i="4" s="1"/>
  <c r="G24" i="4"/>
  <c r="H24" i="4" s="1"/>
  <c r="G5" i="4"/>
  <c r="H5" i="4" s="1"/>
  <c r="M6" i="3"/>
  <c r="M7" i="3"/>
  <c r="M8" i="3"/>
  <c r="M9" i="3"/>
  <c r="M10" i="3"/>
  <c r="M11" i="3"/>
  <c r="M12" i="3"/>
  <c r="M13" i="3"/>
  <c r="M14" i="3"/>
  <c r="M5" i="3"/>
  <c r="K6" i="3"/>
  <c r="L6" i="3" s="1"/>
  <c r="K7" i="3"/>
  <c r="L7" i="3" s="1"/>
  <c r="K8" i="3"/>
  <c r="L8" i="3" s="1"/>
  <c r="K9" i="3"/>
  <c r="L9" i="3" s="1"/>
  <c r="K10" i="3"/>
  <c r="L10" i="3" s="1"/>
  <c r="K11" i="3"/>
  <c r="L11" i="3" s="1"/>
  <c r="K12" i="3"/>
  <c r="L12" i="3" s="1"/>
  <c r="K13" i="3"/>
  <c r="L13" i="3" s="1"/>
  <c r="K14" i="3"/>
  <c r="L14" i="3" s="1"/>
  <c r="K5" i="3"/>
  <c r="L5" i="3" s="1"/>
  <c r="I6" i="3"/>
  <c r="J6" i="3" s="1"/>
  <c r="I7" i="3"/>
  <c r="J7" i="3" s="1"/>
  <c r="I8" i="3"/>
  <c r="J8" i="3" s="1"/>
  <c r="I9" i="3"/>
  <c r="J9" i="3" s="1"/>
  <c r="I10" i="3"/>
  <c r="J10" i="3" s="1"/>
  <c r="I11" i="3"/>
  <c r="J11" i="3" s="1"/>
  <c r="I12" i="3"/>
  <c r="J12" i="3" s="1"/>
  <c r="I13" i="3"/>
  <c r="J13" i="3" s="1"/>
  <c r="I14" i="3"/>
  <c r="J14" i="3" s="1"/>
  <c r="I5" i="3"/>
  <c r="J5" i="3" s="1"/>
  <c r="F6" i="3"/>
  <c r="G6" i="3" s="1"/>
  <c r="F7" i="3"/>
  <c r="G7" i="3" s="1"/>
  <c r="F8" i="3"/>
  <c r="G8" i="3" s="1"/>
  <c r="F9" i="3"/>
  <c r="G9" i="3" s="1"/>
  <c r="F10" i="3"/>
  <c r="G10" i="3" s="1"/>
  <c r="F11" i="3"/>
  <c r="G11" i="3" s="1"/>
  <c r="F12" i="3"/>
  <c r="G12" i="3" s="1"/>
  <c r="F13" i="3"/>
  <c r="G13" i="3" s="1"/>
  <c r="F14" i="3"/>
  <c r="G14" i="3" s="1"/>
  <c r="F5" i="3"/>
  <c r="G5" i="3" s="1"/>
  <c r="C6" i="3"/>
  <c r="D6" i="3" s="1"/>
  <c r="C7" i="3"/>
  <c r="D7" i="3" s="1"/>
  <c r="C8" i="3"/>
  <c r="D8" i="3" s="1"/>
  <c r="C9" i="3"/>
  <c r="D9" i="3" s="1"/>
  <c r="C10" i="3"/>
  <c r="D10" i="3" s="1"/>
  <c r="C11" i="3"/>
  <c r="D11" i="3" s="1"/>
  <c r="C12" i="3"/>
  <c r="D12" i="3" s="1"/>
  <c r="C13" i="3"/>
  <c r="D13" i="3" s="1"/>
  <c r="C14" i="3"/>
  <c r="D14" i="3" s="1"/>
  <c r="C5" i="3"/>
  <c r="D5" i="3" s="1"/>
  <c r="D14" i="2"/>
  <c r="E14" i="2" s="1"/>
  <c r="D13" i="2"/>
  <c r="D12" i="2"/>
  <c r="E12" i="2" s="1"/>
  <c r="D11" i="2"/>
  <c r="E11" i="2" s="1"/>
  <c r="D9" i="2"/>
  <c r="D10" i="2"/>
  <c r="E10" i="2" s="1"/>
  <c r="E9" i="2"/>
  <c r="D8" i="2"/>
  <c r="E8" i="2" s="1"/>
  <c r="D7" i="2"/>
  <c r="E7" i="2" s="1"/>
  <c r="D6" i="2"/>
  <c r="E6" i="2" s="1"/>
  <c r="D5" i="2"/>
  <c r="E5" i="2" s="1"/>
  <c r="D13" i="21"/>
  <c r="D12" i="21"/>
  <c r="D11" i="21"/>
  <c r="D10" i="21"/>
  <c r="D9" i="21"/>
  <c r="I7" i="21"/>
  <c r="D7" i="21"/>
  <c r="L6" i="21"/>
  <c r="I6" i="21"/>
  <c r="L5" i="21"/>
  <c r="I5" i="21"/>
  <c r="D5" i="21"/>
  <c r="L4" i="21"/>
  <c r="I4" i="21"/>
  <c r="L3" i="21"/>
  <c r="I3" i="21"/>
  <c r="L2" i="21"/>
  <c r="D8" i="21" s="1"/>
  <c r="I2" i="21"/>
  <c r="L15" i="20"/>
  <c r="J15" i="20"/>
  <c r="H15" i="20"/>
  <c r="F15" i="20"/>
  <c r="D15" i="20"/>
  <c r="L14" i="20"/>
  <c r="J14" i="20"/>
  <c r="H14" i="20"/>
  <c r="F14" i="20"/>
  <c r="D14" i="20"/>
  <c r="L13" i="20"/>
  <c r="J13" i="20"/>
  <c r="H13" i="20"/>
  <c r="F13" i="20"/>
  <c r="D13" i="20"/>
  <c r="L12" i="20"/>
  <c r="J12" i="20"/>
  <c r="H12" i="20"/>
  <c r="F12" i="20"/>
  <c r="D12" i="20"/>
  <c r="L11" i="20"/>
  <c r="J11" i="20"/>
  <c r="H11" i="20"/>
  <c r="F11" i="20"/>
  <c r="D11" i="20"/>
  <c r="L10" i="20"/>
  <c r="J10" i="20"/>
  <c r="H10" i="20"/>
  <c r="F10" i="20"/>
  <c r="D10" i="20"/>
  <c r="L9" i="20"/>
  <c r="J9" i="20"/>
  <c r="H9" i="20"/>
  <c r="F9" i="20"/>
  <c r="D9" i="20"/>
  <c r="L8" i="20"/>
  <c r="J8" i="20"/>
  <c r="H8" i="20"/>
  <c r="F8" i="20"/>
  <c r="D8" i="20"/>
  <c r="L7" i="20"/>
  <c r="J7" i="20"/>
  <c r="H7" i="20"/>
  <c r="F7" i="20"/>
  <c r="D7" i="20"/>
  <c r="L6" i="20"/>
  <c r="J6" i="20"/>
  <c r="H6" i="20"/>
  <c r="F6" i="20"/>
  <c r="D6" i="20"/>
  <c r="D13" i="19"/>
  <c r="D12" i="19"/>
  <c r="D11" i="19"/>
  <c r="D10" i="19"/>
  <c r="D9" i="19"/>
  <c r="D8" i="19"/>
  <c r="D7" i="19"/>
  <c r="D6" i="19"/>
  <c r="D5" i="19"/>
  <c r="D29" i="18"/>
  <c r="B29" i="18"/>
  <c r="D28" i="18"/>
  <c r="B28" i="18"/>
  <c r="D27" i="18"/>
  <c r="B27" i="18"/>
  <c r="D26" i="18"/>
  <c r="B26" i="18"/>
  <c r="D25" i="18"/>
  <c r="B25" i="18"/>
  <c r="D24" i="18"/>
  <c r="B24" i="18"/>
  <c r="D20" i="18"/>
  <c r="B20" i="18"/>
  <c r="D19" i="18"/>
  <c r="B19" i="18"/>
  <c r="D18" i="18"/>
  <c r="B18" i="18"/>
  <c r="D17" i="18"/>
  <c r="B17" i="18"/>
  <c r="D16" i="18"/>
  <c r="B16" i="18"/>
  <c r="D15" i="18"/>
  <c r="B15" i="18"/>
  <c r="D11" i="18"/>
  <c r="B11" i="18"/>
  <c r="D10" i="18"/>
  <c r="B10" i="18"/>
  <c r="D9" i="18"/>
  <c r="B9" i="18"/>
  <c r="D8" i="18"/>
  <c r="B8" i="18"/>
  <c r="D7" i="18"/>
  <c r="B7" i="18"/>
  <c r="D6" i="18"/>
  <c r="B6" i="18"/>
  <c r="D12" i="17"/>
  <c r="D11" i="17"/>
  <c r="D10" i="17"/>
  <c r="D9" i="17"/>
  <c r="D8" i="17"/>
  <c r="D7" i="17"/>
  <c r="D6" i="17"/>
  <c r="D5" i="17"/>
  <c r="M24" i="16"/>
  <c r="K24" i="16"/>
  <c r="I24" i="16"/>
  <c r="G24" i="16"/>
  <c r="M23" i="16"/>
  <c r="K23" i="16"/>
  <c r="I23" i="16"/>
  <c r="G23" i="16"/>
  <c r="M22" i="16"/>
  <c r="K22" i="16"/>
  <c r="I22" i="16"/>
  <c r="G22" i="16"/>
  <c r="M21" i="16"/>
  <c r="K21" i="16"/>
  <c r="I21" i="16"/>
  <c r="G21" i="16"/>
  <c r="M20" i="16"/>
  <c r="K20" i="16"/>
  <c r="I20" i="16"/>
  <c r="G20" i="16"/>
  <c r="M19" i="16"/>
  <c r="K19" i="16"/>
  <c r="I19" i="16"/>
  <c r="G19" i="16"/>
  <c r="M18" i="16"/>
  <c r="K18" i="16"/>
  <c r="I18" i="16"/>
  <c r="G18" i="16"/>
  <c r="M17" i="16"/>
  <c r="K17" i="16"/>
  <c r="I17" i="16"/>
  <c r="G17" i="16"/>
  <c r="M16" i="16"/>
  <c r="K16" i="16"/>
  <c r="I16" i="16"/>
  <c r="G16" i="16"/>
  <c r="M15" i="16"/>
  <c r="K15" i="16"/>
  <c r="I15" i="16"/>
  <c r="G15" i="16"/>
  <c r="M14" i="16"/>
  <c r="K14" i="16"/>
  <c r="I14" i="16"/>
  <c r="G14" i="16"/>
  <c r="M13" i="16"/>
  <c r="K13" i="16"/>
  <c r="I13" i="16"/>
  <c r="G13" i="16"/>
  <c r="M12" i="16"/>
  <c r="K12" i="16"/>
  <c r="I12" i="16"/>
  <c r="G12" i="16"/>
  <c r="M11" i="16"/>
  <c r="K11" i="16"/>
  <c r="I11" i="16"/>
  <c r="G11" i="16"/>
  <c r="M10" i="16"/>
  <c r="K10" i="16"/>
  <c r="I10" i="16"/>
  <c r="G10" i="16"/>
  <c r="M9" i="16"/>
  <c r="K9" i="16"/>
  <c r="I9" i="16"/>
  <c r="G9" i="16"/>
  <c r="M8" i="16"/>
  <c r="K8" i="16"/>
  <c r="I8" i="16"/>
  <c r="G8" i="16"/>
  <c r="M7" i="16"/>
  <c r="K7" i="16"/>
  <c r="I7" i="16"/>
  <c r="G7" i="16"/>
  <c r="M6" i="16"/>
  <c r="K6" i="16"/>
  <c r="I6" i="16"/>
  <c r="G6" i="16"/>
  <c r="M5" i="16"/>
  <c r="K5" i="16"/>
  <c r="I5" i="16"/>
  <c r="G5" i="16"/>
  <c r="M14" i="15"/>
  <c r="K14" i="15"/>
  <c r="I14" i="15"/>
  <c r="F14" i="15"/>
  <c r="C14" i="15"/>
  <c r="M13" i="15"/>
  <c r="K13" i="15"/>
  <c r="I13" i="15"/>
  <c r="F13" i="15"/>
  <c r="C13" i="15"/>
  <c r="M12" i="15"/>
  <c r="K12" i="15"/>
  <c r="I12" i="15"/>
  <c r="F12" i="15"/>
  <c r="C12" i="15"/>
  <c r="M11" i="15"/>
  <c r="K11" i="15"/>
  <c r="I11" i="15"/>
  <c r="F11" i="15"/>
  <c r="C11" i="15"/>
  <c r="M10" i="15"/>
  <c r="K10" i="15"/>
  <c r="I10" i="15"/>
  <c r="F10" i="15"/>
  <c r="C10" i="15"/>
  <c r="M9" i="15"/>
  <c r="K9" i="15"/>
  <c r="I9" i="15"/>
  <c r="F9" i="15"/>
  <c r="C9" i="15"/>
  <c r="M8" i="15"/>
  <c r="K8" i="15"/>
  <c r="I8" i="15"/>
  <c r="F8" i="15"/>
  <c r="C8" i="15"/>
  <c r="M7" i="15"/>
  <c r="K7" i="15"/>
  <c r="I7" i="15"/>
  <c r="F7" i="15"/>
  <c r="C7" i="15"/>
  <c r="M6" i="15"/>
  <c r="K6" i="15"/>
  <c r="I6" i="15"/>
  <c r="F6" i="15"/>
  <c r="C6" i="15"/>
  <c r="M5" i="15"/>
  <c r="K5" i="15"/>
  <c r="I5" i="15"/>
  <c r="F5" i="15"/>
  <c r="C5" i="15"/>
  <c r="D14" i="14"/>
  <c r="D13" i="14"/>
  <c r="D12" i="14"/>
  <c r="D11" i="14"/>
  <c r="D10" i="14"/>
  <c r="D9" i="14"/>
  <c r="D8" i="14"/>
  <c r="D7" i="14"/>
  <c r="D6" i="14"/>
  <c r="D5" i="14"/>
  <c r="H61" i="12"/>
  <c r="H60" i="12"/>
  <c r="H59" i="12"/>
  <c r="H58" i="12"/>
  <c r="H57" i="12"/>
  <c r="H56" i="12"/>
  <c r="H55" i="12"/>
  <c r="H54" i="12"/>
  <c r="H53" i="12"/>
  <c r="H52" i="12"/>
  <c r="H51" i="12"/>
  <c r="H50" i="12"/>
  <c r="H49" i="12"/>
  <c r="H48" i="12"/>
  <c r="H47" i="12"/>
  <c r="H46" i="12"/>
  <c r="H45" i="12"/>
  <c r="H44" i="12"/>
  <c r="H43" i="12"/>
  <c r="H42" i="12"/>
  <c r="H41" i="12"/>
  <c r="H40" i="12"/>
  <c r="H39" i="12"/>
  <c r="H38" i="12"/>
  <c r="H37" i="12"/>
  <c r="H36" i="12"/>
  <c r="H35" i="12"/>
  <c r="H34" i="12"/>
  <c r="H33" i="12"/>
  <c r="H32" i="12"/>
  <c r="H31" i="12"/>
  <c r="H30" i="12"/>
  <c r="H29" i="12"/>
  <c r="H28" i="12"/>
  <c r="H27" i="12"/>
  <c r="H26" i="12"/>
  <c r="H25" i="12"/>
  <c r="H24" i="12"/>
  <c r="H23" i="12"/>
  <c r="H22" i="12"/>
  <c r="H21" i="12"/>
  <c r="H20" i="12"/>
  <c r="H19" i="12"/>
  <c r="H18" i="12"/>
  <c r="H17" i="12"/>
  <c r="H16" i="12"/>
  <c r="H15" i="12"/>
  <c r="H14" i="12"/>
  <c r="H13" i="12"/>
  <c r="H12" i="12"/>
  <c r="H11" i="12"/>
  <c r="H10" i="12"/>
  <c r="H9" i="12"/>
  <c r="H8" i="12"/>
  <c r="H7" i="12"/>
  <c r="H6" i="12"/>
  <c r="H5" i="12"/>
  <c r="H4" i="12"/>
  <c r="H3" i="12"/>
  <c r="H2" i="12"/>
  <c r="E14" i="9"/>
  <c r="E13" i="9"/>
  <c r="E12" i="9"/>
  <c r="E11" i="9"/>
  <c r="E10" i="9"/>
  <c r="E9" i="9"/>
  <c r="E8" i="9"/>
  <c r="E7" i="9"/>
  <c r="E6" i="9"/>
  <c r="E5" i="9"/>
  <c r="I8" i="8"/>
  <c r="I7" i="8"/>
  <c r="E27" i="6"/>
  <c r="E26" i="6"/>
  <c r="E25" i="6"/>
  <c r="E12" i="5"/>
  <c r="E11" i="5"/>
  <c r="E10" i="5"/>
  <c r="E9" i="5"/>
  <c r="E8" i="5"/>
  <c r="E7" i="5"/>
  <c r="E6" i="5"/>
  <c r="J8" i="4"/>
  <c r="J7" i="4"/>
  <c r="L6" i="4"/>
  <c r="J6" i="4"/>
  <c r="N14" i="3"/>
  <c r="N13" i="3"/>
  <c r="N12" i="3"/>
  <c r="N11" i="3"/>
  <c r="N10" i="3"/>
  <c r="N9" i="3"/>
  <c r="N8" i="3"/>
  <c r="N7" i="3"/>
  <c r="N6" i="3"/>
  <c r="N5" i="3"/>
  <c r="E13" i="2"/>
  <c r="C20" i="1"/>
  <c r="B19" i="1"/>
  <c r="D19" i="1" s="1"/>
  <c r="E6" i="8" l="1"/>
  <c r="B18" i="1" s="1"/>
  <c r="D18" i="1" s="1"/>
  <c r="B17" i="1"/>
  <c r="D17" i="1" s="1"/>
  <c r="D24" i="6"/>
  <c r="E24" i="6" s="1"/>
  <c r="C24" i="6"/>
  <c r="B16" i="1"/>
  <c r="D16" i="1" s="1"/>
  <c r="B15" i="1"/>
  <c r="D15" i="1" s="1"/>
  <c r="B14" i="1"/>
  <c r="D14" i="1" s="1"/>
  <c r="B13" i="1"/>
  <c r="D13" i="1" s="1"/>
  <c r="B12" i="1"/>
  <c r="D14" i="21"/>
  <c r="D6" i="21"/>
  <c r="B20" i="1" l="1"/>
  <c r="D20" i="1" s="1"/>
  <c r="D1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<sst xmlns="http://schemas.openxmlformats.org/spreadsheetml/2006/main" count="1747" uniqueCount="424">
  <si>
    <t>Excel for Data Analysis: Practice Workbook</t>
  </si>
  <si>
    <t>Matches your masterclass chapters. Work through the sheets in order.</t>
  </si>
  <si>
    <t>How it works</t>
  </si>
  <si>
    <t>1. Each chapter sheet has YELLOW cells. Type your formula or answer there.</t>
  </si>
  <si>
    <t>2. The Check column turns green ✓ Correct or red ✗ Try again instantly.</t>
  </si>
  <si>
    <t>3. Grey cells are given data. Never edit or sort the original Employees and Sales sheets.</t>
  </si>
  <si>
    <t>4. Stuck? The red Solutions tab has the answers. Try first!</t>
  </si>
  <si>
    <t>5. IMPORTANT: in chapter 4, sort/filter a COPY of the Employees sheet. Sorting the original changes answers in other chapters.</t>
  </si>
  <si>
    <t>Chapter</t>
  </si>
  <si>
    <t>Correct</t>
  </si>
  <si>
    <t>Total</t>
  </si>
  <si>
    <t>Progress</t>
  </si>
  <si>
    <t>1 Formulas</t>
  </si>
  <si>
    <t>2 Text</t>
  </si>
  <si>
    <t>3 IF Logic</t>
  </si>
  <si>
    <t>4 Sort Filter CF</t>
  </si>
  <si>
    <t>5 Lookups</t>
  </si>
  <si>
    <t>6 SUMIF COUNTIF</t>
  </si>
  <si>
    <t>7 Dates</t>
  </si>
  <si>
    <t>8 Pivot</t>
  </si>
  <si>
    <t>TOTAL</t>
  </si>
  <si>
    <t>Chapter 9 (Project) is a hands-on checklist, not auto-scored.</t>
  </si>
  <si>
    <t>Chapter: Basic Formulas</t>
  </si>
  <si>
    <t>Use the Employees sheet. Type a formula in the yellow cell (start with =).</t>
  </si>
  <si>
    <t>#</t>
  </si>
  <si>
    <t>Task</t>
  </si>
  <si>
    <t>Hint</t>
  </si>
  <si>
    <t>Your Answer</t>
  </si>
  <si>
    <t>Check</t>
  </si>
  <si>
    <t>Total salary of all employees</t>
  </si>
  <si>
    <t>SUM</t>
  </si>
  <si>
    <t>Average salary</t>
  </si>
  <si>
    <t>AVERAGE</t>
  </si>
  <si>
    <t>Highest salary</t>
  </si>
  <si>
    <t>MAX</t>
  </si>
  <si>
    <t>Lowest salary</t>
  </si>
  <si>
    <t>MIN</t>
  </si>
  <si>
    <t>How many employees are there? (count the EmpID column)</t>
  </si>
  <si>
    <t>COUNTA counts text too</t>
  </si>
  <si>
    <t>How many employees have a rating? (some are blank)</t>
  </si>
  <si>
    <t>COUNT counts numbers only</t>
  </si>
  <si>
    <t>Average rating (blanks should be ignored)</t>
  </si>
  <si>
    <t>AVERAGE skips blank cells</t>
  </si>
  <si>
    <t>Total salary of only the first 10 employees (E001 to E010)</t>
  </si>
  <si>
    <t>Select a smaller range</t>
  </si>
  <si>
    <t>E005's salary after a 10% raise</t>
  </si>
  <si>
    <t>Cell reference × 1.1 (E005 is in row 6)</t>
  </si>
  <si>
    <t>Total annual payroll (monthly total × 12)</t>
  </si>
  <si>
    <t>SUM(...)*12</t>
  </si>
  <si>
    <t>Chapter: Text Functions &amp; Data Cleaning</t>
  </si>
  <si>
    <t>Fill every yellow cell with a formula, then drag it down. Grey cells are messy raw data.</t>
  </si>
  <si>
    <t>Raw Name</t>
  </si>
  <si>
    <t>Clean Name
(TRIM + PROPER)</t>
  </si>
  <si>
    <t>Raw Phone</t>
  </si>
  <si>
    <t>Phone without dash
(SUBSTITUTE)</t>
  </si>
  <si>
    <t>Product Code</t>
  </si>
  <si>
    <t>City Code
(first 3: LEFT)</t>
  </si>
  <si>
    <t>Year
(middle 4: MID)</t>
  </si>
  <si>
    <t>Raw Name length
(LEN)</t>
  </si>
  <si>
    <t xml:space="preserve"> rAHUL sHARMA</t>
  </si>
  <si>
    <t>83152-21130</t>
  </si>
  <si>
    <t>AHM-2022-2786</t>
  </si>
  <si>
    <t xml:space="preserve">PRIYA PATEL  </t>
  </si>
  <si>
    <t>70902-29811</t>
  </si>
  <si>
    <t>CHN-2024-2395</t>
  </si>
  <si>
    <t>amit verma</t>
  </si>
  <si>
    <t>97083-88101</t>
  </si>
  <si>
    <t>PUN-2023-2555</t>
  </si>
  <si>
    <t>sneha iyer</t>
  </si>
  <si>
    <t>87966-27168</t>
  </si>
  <si>
    <t>MUM-2021-1684</t>
  </si>
  <si>
    <t>vikram singh</t>
  </si>
  <si>
    <t>94559-28251</t>
  </si>
  <si>
    <t>PUN-2022-3458</t>
  </si>
  <si>
    <t xml:space="preserve">  anjali gupta </t>
  </si>
  <si>
    <t>78252-37889</t>
  </si>
  <si>
    <t>BLR-2025-3941</t>
  </si>
  <si>
    <t>rohan mehta</t>
  </si>
  <si>
    <t>80682-43995</t>
  </si>
  <si>
    <t>CHN-2024-2148</t>
  </si>
  <si>
    <t xml:space="preserve">  kavya reddy </t>
  </si>
  <si>
    <t>99819-56371</t>
  </si>
  <si>
    <t>PUN-2025-8467</t>
  </si>
  <si>
    <t xml:space="preserve"> aRJUN nAIR</t>
  </si>
  <si>
    <t>97103-75752</t>
  </si>
  <si>
    <t>DEL-2025-2488</t>
  </si>
  <si>
    <t>pooja joshi</t>
  </si>
  <si>
    <t>86729-12451</t>
  </si>
  <si>
    <t>PUN-2022-9971</t>
  </si>
  <si>
    <t>Chapter: IF, AND, OR, Nested IF</t>
  </si>
  <si>
    <t>Grey columns are given. Write one formula in each yellow column and drag it down. Blank rating counts as 0.</t>
  </si>
  <si>
    <t>EmpID</t>
  </si>
  <si>
    <t>Name</t>
  </si>
  <si>
    <t>Dept</t>
  </si>
  <si>
    <t>Salary</t>
  </si>
  <si>
    <t>Rating</t>
  </si>
  <si>
    <t>Years</t>
  </si>
  <si>
    <t>Salary Band
High if &gt;75000
else Normal</t>
  </si>
  <si>
    <t>Promotion
Yes if Rating&gt;=4
AND Years&gt;=3, else No</t>
  </si>
  <si>
    <t>Bonus
"Bonus" if Dept=Sales
OR Rating=5, else "No Bonus"</t>
  </si>
  <si>
    <t>Grade
5=A, 4=B, 3=C,
else D</t>
  </si>
  <si>
    <t>E001</t>
  </si>
  <si>
    <t>Rahul Sharma</t>
  </si>
  <si>
    <t>Sales</t>
  </si>
  <si>
    <t>E002</t>
  </si>
  <si>
    <t>Priya Patel</t>
  </si>
  <si>
    <t>IT</t>
  </si>
  <si>
    <t>E003</t>
  </si>
  <si>
    <t>Amit Verma</t>
  </si>
  <si>
    <t>HR</t>
  </si>
  <si>
    <t>E004</t>
  </si>
  <si>
    <t>Sneha Iyer</t>
  </si>
  <si>
    <t>Finance</t>
  </si>
  <si>
    <t>E005</t>
  </si>
  <si>
    <t>Vikram Singh</t>
  </si>
  <si>
    <t>E006</t>
  </si>
  <si>
    <t>Anjali Gupta</t>
  </si>
  <si>
    <t>Operations</t>
  </si>
  <si>
    <t>E007</t>
  </si>
  <si>
    <t>Rohan Mehta</t>
  </si>
  <si>
    <t>E008</t>
  </si>
  <si>
    <t>Kavya Reddy</t>
  </si>
  <si>
    <t>E009</t>
  </si>
  <si>
    <t>Arjun Nair</t>
  </si>
  <si>
    <t>E010</t>
  </si>
  <si>
    <t>Pooja Joshi</t>
  </si>
  <si>
    <t>E011</t>
  </si>
  <si>
    <t>Suresh Kumar</t>
  </si>
  <si>
    <t>E012</t>
  </si>
  <si>
    <t>Neha Kapoor</t>
  </si>
  <si>
    <t>E013</t>
  </si>
  <si>
    <t>Karan Malhotra</t>
  </si>
  <si>
    <t>E014</t>
  </si>
  <si>
    <t>Divya Menon</t>
  </si>
  <si>
    <t>E015</t>
  </si>
  <si>
    <t>Manish Yadav</t>
  </si>
  <si>
    <t>E016</t>
  </si>
  <si>
    <t>Ritu Agarwal</t>
  </si>
  <si>
    <t>E017</t>
  </si>
  <si>
    <t>Sanjay Rao</t>
  </si>
  <si>
    <t>E018</t>
  </si>
  <si>
    <t>Meera Pillai</t>
  </si>
  <si>
    <t>E019</t>
  </si>
  <si>
    <t>Deepak Chauhan</t>
  </si>
  <si>
    <t>E020</t>
  </si>
  <si>
    <t>Ayesha Khan</t>
  </si>
  <si>
    <t>Chapter: Sort, Filter, Conditional Formatting &amp; Validation</t>
  </si>
  <si>
    <t>FIRST: right-click the Employees tab &gt; Move or Copy &gt; tick Create a copy. Do all sorting/filtering on that COPY (not the original), then type what you see in the yellow cell.</t>
  </si>
  <si>
    <t>Apply a filter: State = Karnataka. How many employees show?</t>
  </si>
  <si>
    <t>Data &gt; Filter (Ctrl+Shift+L)</t>
  </si>
  <si>
    <t>Filter State = Gujarat OR Karnataka (tick both). How many rows?</t>
  </si>
  <si>
    <t>Tick two boxes in the filter</t>
  </si>
  <si>
    <t>Filter Department = Sales AND City = Mumbai. How many rows?</t>
  </si>
  <si>
    <t>Filter two columns one after another</t>
  </si>
  <si>
    <t>Clear filters. Sort Salary Largest to Smallest. Whose name is at the top?</t>
  </si>
  <si>
    <t>Data &gt; Sort Z→A on Salary</t>
  </si>
  <si>
    <t>After the same sort, whose name is 3rd?</t>
  </si>
  <si>
    <t>Count 3 rows down</t>
  </si>
  <si>
    <t>Sort by Join Date, Oldest to Newest. Who joined first?</t>
  </si>
  <si>
    <t>Sort A→Z on Join Date</t>
  </si>
  <si>
    <t>Conditional Formatting: highlight Salary Greater Than 75000. How many cells are highlighted?</t>
  </si>
  <si>
    <t>Home &gt; Conditional Formatting &gt; Highlight Cells Rules</t>
  </si>
  <si>
    <t>Conditional Formatting: Top/Bottom Rules &gt; Below Average on Salary. How many cells?</t>
  </si>
  <si>
    <t>Top/Bottom Rules</t>
  </si>
  <si>
    <t>Data Validation: on the Rating column allow only whole numbers 1 to 5. Test by typing 7.</t>
  </si>
  <si>
    <t>Data &gt; Data Validation &gt; Whole number</t>
  </si>
  <si>
    <t>Self-check</t>
  </si>
  <si>
    <t>Freeze the top row of the Sales sheet and apply a filter to it.</t>
  </si>
  <si>
    <t>View &gt; Freeze Panes</t>
  </si>
  <si>
    <t>Chapter: VLOOKUP &amp; INDEX-MATCH</t>
  </si>
  <si>
    <t>Look up values from the Employees sheet. Use exact match (0 / FALSE) in parts A and B.</t>
  </si>
  <si>
    <t>Part A: VLOOKUP (EmpID → details)</t>
  </si>
  <si>
    <t>City</t>
  </si>
  <si>
    <t>Part B: INDEX-MATCH (Name → EmpID). VLOOKUP can't look left, INDEX-MATCH can!</t>
  </si>
  <si>
    <t>Department</t>
  </si>
  <si>
    <t>Part C: Approximate match (range lookup = 1 / TRUE) using the slab table on the right</t>
  </si>
  <si>
    <t>Bonus %</t>
  </si>
  <si>
    <t>Bonus Amount
(Salary × %)</t>
  </si>
  <si>
    <t>Min Salary</t>
  </si>
  <si>
    <t>Chapter: SUMIF, COUNTIF, SUMIFS, AVERAGEIF</t>
  </si>
  <si>
    <t>Use the Sales sheet. Amount is column H.</t>
  </si>
  <si>
    <t>Total sales amount in Chennai</t>
  </si>
  <si>
    <t>SUMIF(range, criteria, sum_range)</t>
  </si>
  <si>
    <t>Number of orders from Mumbai</t>
  </si>
  <si>
    <t>COUNTIF</t>
  </si>
  <si>
    <t>Total quantity of Mouse sold</t>
  </si>
  <si>
    <t>SUMIF on the Qty column</t>
  </si>
  <si>
    <t>Total Laptop amount sold in Bengaluru (2 conditions)</t>
  </si>
  <si>
    <t>SUMIFS</t>
  </si>
  <si>
    <t>Average amount of Printer orders</t>
  </si>
  <si>
    <t>AVERAGEIF</t>
  </si>
  <si>
    <t>How many orders have Amount greater than 50,000?</t>
  </si>
  <si>
    <t>COUNTIF with "&gt;50000"</t>
  </si>
  <si>
    <t>Total sales in March 2026</t>
  </si>
  <si>
    <t>SUMIFS with &gt;= and &lt;= dates</t>
  </si>
  <si>
    <t>Biggest single order amount in Delhi</t>
  </si>
  <si>
    <t>MAXIFS (Excel 2019/365). Older Excel: MAX(IF(...)) + Ctrl+Shift+Enter</t>
  </si>
  <si>
    <t>Number of Accessories orders from Pune</t>
  </si>
  <si>
    <t>COUNTIFS</t>
  </si>
  <si>
    <t>Chapter: Date Functions</t>
  </si>
  <si>
    <t>Report Date:</t>
  </si>
  <si>
    <t>Join Date</t>
  </si>
  <si>
    <t>Join Year
(YEAR)</t>
  </si>
  <si>
    <t>Month Name
(TEXT "mmmm")</t>
  </si>
  <si>
    <t>Completed Years
(DATEDIF "Y")</t>
  </si>
  <si>
    <t>Month End
(EOMONTH)</t>
  </si>
  <si>
    <t>Day Name
(TEXT "dddd")</t>
  </si>
  <si>
    <t>Chapter: Pivot Tables &amp; Slicers</t>
  </si>
  <si>
    <t>Insert &gt; PivotTable from the Sales sheet (put it on a new sheet). Read the answer from your pivot, not a formula!</t>
  </si>
  <si>
    <t>Rows = City, Values = Sum of Amount. What is the Grand Total?</t>
  </si>
  <si>
    <t>Insert &gt; PivotTable</t>
  </si>
  <si>
    <t>In the same pivot, which city has the highest total sales?</t>
  </si>
  <si>
    <t>Sort the pivot Largest to Smallest</t>
  </si>
  <si>
    <t>What is Bengaluru's total sales amount?</t>
  </si>
  <si>
    <t>Read from the pivot</t>
  </si>
  <si>
    <t>New pivot: Rows = Product, Values = Sum of Qty. Which product sold the most units?</t>
  </si>
  <si>
    <t>Drag Qty into Values</t>
  </si>
  <si>
    <t>Rows = City, Columns = Product, Values = Amount. Laptop amount in Pune?</t>
  </si>
  <si>
    <t>Find where Pune row meets Laptop column</t>
  </si>
  <si>
    <t>Rows = Order Date grouped by Months. Total amount in February?</t>
  </si>
  <si>
    <t>Right-click a date &gt; Group &gt; Months</t>
  </si>
  <si>
    <t>City pivot: Show Values As % of Grand Total. Mumbai's share? Type it as a % with 1 decimal (e.g. 12.3%)</t>
  </si>
  <si>
    <t>Right-click value &gt; Show Values As</t>
  </si>
  <si>
    <t>Insert a Slicer on Category and select Accessories. Grand total amount?</t>
  </si>
  <si>
    <t>PivotTable Analyze &gt; Insert Slicer</t>
  </si>
  <si>
    <t>Values = Count of OrderID. How many orders came from Delhi?</t>
  </si>
  <si>
    <t>Value Field Settings &gt; Count</t>
  </si>
  <si>
    <t>City pivot: Filter Top 3 cities by Amount. Which city is 3rd?</t>
  </si>
  <si>
    <t>Row Labels filter &gt; Value Filters &gt; Top 10</t>
  </si>
  <si>
    <t>Final Project: Dashboard + Macro</t>
  </si>
  <si>
    <t>Like the end of the masterclass. Mark each step Done when finished.</t>
  </si>
  <si>
    <t>Step</t>
  </si>
  <si>
    <t>Done?</t>
  </si>
  <si>
    <t>Create a new sheet called Dashboard.</t>
  </si>
  <si>
    <t>Pivot 1: Sales by City (bar/column chart).</t>
  </si>
  <si>
    <t>Pivot 2: Sales by Month (line chart).</t>
  </si>
  <si>
    <t>Pivot 3: Qty by Product (pie or column chart).</t>
  </si>
  <si>
    <t>Insert a Slicer on Category and connect it to ALL 3 pivots (Report Connections).</t>
  </si>
  <si>
    <t>Add a title, remove gridlines (View &gt; Gridlines), and format numbers with ₹ and commas.</t>
  </si>
  <si>
    <t>Add a Timeline on Order Date (Excel 2013+).</t>
  </si>
  <si>
    <t>View &gt; Macros &gt; Record Macro: record yourself formatting the Sales header row (bold, fill, borders). Stop recording.</t>
  </si>
  <si>
    <t>Run your macro on a fresh copy of the header to test it.</t>
  </si>
  <si>
    <t>Save as Excel Macro-Enabled Workbook (.xlsm).</t>
  </si>
  <si>
    <t>State</t>
  </si>
  <si>
    <t>Salary (₹/month)</t>
  </si>
  <si>
    <t>Rating (1-5)</t>
  </si>
  <si>
    <t>Mumbai</t>
  </si>
  <si>
    <t>Maharashtra</t>
  </si>
  <si>
    <t>Bengaluru</t>
  </si>
  <si>
    <t>Karnataka</t>
  </si>
  <si>
    <t>Delhi</t>
  </si>
  <si>
    <t>Pune</t>
  </si>
  <si>
    <t>Ahmedabad</t>
  </si>
  <si>
    <t>Gujarat</t>
  </si>
  <si>
    <t>Chennai</t>
  </si>
  <si>
    <t>Tamil Nadu</t>
  </si>
  <si>
    <t>OrderID</t>
  </si>
  <si>
    <t>Order Date</t>
  </si>
  <si>
    <t>Product</t>
  </si>
  <si>
    <t>Category</t>
  </si>
  <si>
    <t>Qty</t>
  </si>
  <si>
    <t>Unit Price (₹)</t>
  </si>
  <si>
    <t>Amount (₹)</t>
  </si>
  <si>
    <t>ORD1001</t>
  </si>
  <si>
    <t>Printer</t>
  </si>
  <si>
    <t>Devices</t>
  </si>
  <si>
    <t>ORD1002</t>
  </si>
  <si>
    <t>ORD1003</t>
  </si>
  <si>
    <t>Monitor</t>
  </si>
  <si>
    <t>ORD1004</t>
  </si>
  <si>
    <t>ORD1005</t>
  </si>
  <si>
    <t>ORD1006</t>
  </si>
  <si>
    <t>ORD1007</t>
  </si>
  <si>
    <t>ORD1008</t>
  </si>
  <si>
    <t>Mouse</t>
  </si>
  <si>
    <t>Accessories</t>
  </si>
  <si>
    <t>ORD1009</t>
  </si>
  <si>
    <t>Laptop</t>
  </si>
  <si>
    <t>ORD1010</t>
  </si>
  <si>
    <t>ORD1011</t>
  </si>
  <si>
    <t>ORD1012</t>
  </si>
  <si>
    <t>ORD1013</t>
  </si>
  <si>
    <t>ORD1014</t>
  </si>
  <si>
    <t>ORD1015</t>
  </si>
  <si>
    <t>ORD1016</t>
  </si>
  <si>
    <t>ORD1017</t>
  </si>
  <si>
    <t>ORD1018</t>
  </si>
  <si>
    <t>Keyboard</t>
  </si>
  <si>
    <t>ORD1019</t>
  </si>
  <si>
    <t>ORD1020</t>
  </si>
  <si>
    <t>ORD1021</t>
  </si>
  <si>
    <t>ORD1022</t>
  </si>
  <si>
    <t>ORD1023</t>
  </si>
  <si>
    <t>ORD1024</t>
  </si>
  <si>
    <t>ORD1025</t>
  </si>
  <si>
    <t>ORD1026</t>
  </si>
  <si>
    <t>ORD1027</t>
  </si>
  <si>
    <t>ORD1028</t>
  </si>
  <si>
    <t>ORD1029</t>
  </si>
  <si>
    <t>ORD1030</t>
  </si>
  <si>
    <t>ORD1031</t>
  </si>
  <si>
    <t>ORD1032</t>
  </si>
  <si>
    <t>ORD1033</t>
  </si>
  <si>
    <t>ORD1034</t>
  </si>
  <si>
    <t>ORD1035</t>
  </si>
  <si>
    <t>ORD1036</t>
  </si>
  <si>
    <t>ORD1037</t>
  </si>
  <si>
    <t>ORD1038</t>
  </si>
  <si>
    <t>ORD1039</t>
  </si>
  <si>
    <t>ORD1040</t>
  </si>
  <si>
    <t>ORD1041</t>
  </si>
  <si>
    <t>ORD1042</t>
  </si>
  <si>
    <t>ORD1043</t>
  </si>
  <si>
    <t>ORD1044</t>
  </si>
  <si>
    <t>ORD1045</t>
  </si>
  <si>
    <t>ORD1046</t>
  </si>
  <si>
    <t>ORD1047</t>
  </si>
  <si>
    <t>ORD1048</t>
  </si>
  <si>
    <t>ORD1049</t>
  </si>
  <si>
    <t>ORD1050</t>
  </si>
  <si>
    <t>ORD1051</t>
  </si>
  <si>
    <t>ORD1052</t>
  </si>
  <si>
    <t>ORD1053</t>
  </si>
  <si>
    <t>ORD1054</t>
  </si>
  <si>
    <t>ORD1055</t>
  </si>
  <si>
    <t>ORD1056</t>
  </si>
  <si>
    <t>ORD1057</t>
  </si>
  <si>
    <t>ORD1058</t>
  </si>
  <si>
    <t>ORD1059</t>
  </si>
  <si>
    <t>ORD1060</t>
  </si>
  <si>
    <t>Solutions (try on your own first!)</t>
  </si>
  <si>
    <t>Row-level tasks show the formula for the first row. Drag it down.</t>
  </si>
  <si>
    <t>Sheet</t>
  </si>
  <si>
    <t>Sample Formula / Method</t>
  </si>
  <si>
    <t>=SUM(Employees!G2:G21)</t>
  </si>
  <si>
    <t>=AVERAGE(Employees!G2:G21)</t>
  </si>
  <si>
    <t>=MAX(Employees!G2:G21)</t>
  </si>
  <si>
    <t>=MIN(Employees!G2:G21)</t>
  </si>
  <si>
    <t>=COUNTA(Employees!A2:A21)</t>
  </si>
  <si>
    <t>=COUNT(Employees!H2:H21)</t>
  </si>
  <si>
    <t>=AVERAGE(Employees!H2:H21)</t>
  </si>
  <si>
    <t>=SUM(Employees!G2:G11)</t>
  </si>
  <si>
    <t>=Employees!G6*1.1</t>
  </si>
  <si>
    <t>=SUM(Employees!G2:G21)*12</t>
  </si>
  <si>
    <t>Clean Name (row 5)</t>
  </si>
  <si>
    <t>=PROPER(TRIM(B5))</t>
  </si>
  <si>
    <t>Phone without dash</t>
  </si>
  <si>
    <t>=SUBSTITUTE(E5,"-","")</t>
  </si>
  <si>
    <t>City Code</t>
  </si>
  <si>
    <t>=LEFT(H5,3)</t>
  </si>
  <si>
    <t>Year</t>
  </si>
  <si>
    <t>=MID(H5,5,4)</t>
  </si>
  <si>
    <t>Raw Name length</t>
  </si>
  <si>
    <t>=LEN(B5)</t>
  </si>
  <si>
    <t>Salary Band (row 5)</t>
  </si>
  <si>
    <t>=IF(D5&gt;75000,"High","Normal")</t>
  </si>
  <si>
    <t>Promotion</t>
  </si>
  <si>
    <t>=IF(AND(E5&gt;=4,F5&gt;=3),"Yes","No")</t>
  </si>
  <si>
    <t>Bonus</t>
  </si>
  <si>
    <t>=IF(OR(C5="Sales",E5=5),"Bonus","No Bonus")</t>
  </si>
  <si>
    <t>Grade</t>
  </si>
  <si>
    <t>=IF(E5=5,"A",IF(E5&gt;=4,"B",IF(E5&gt;=3,"C","D")))</t>
  </si>
  <si>
    <t>Filter only. Formula check: =COUNTIF(Employees!E2:E21,"Karnataka")</t>
  </si>
  <si>
    <t>Tick both states in the State filter</t>
  </si>
  <si>
    <t>Filter Department, then City</t>
  </si>
  <si>
    <t>Sort descending on Salary</t>
  </si>
  <si>
    <t>Formula check: =INDEX(B:B,MATCH(LARGE(G2:G21,3),G2:G21,0))</t>
  </si>
  <si>
    <t>Sort ascending on Join Date</t>
  </si>
  <si>
    <t>Greater Than 75000 (75000 itself is NOT highlighted)</t>
  </si>
  <si>
    <t>Below Average rule</t>
  </si>
  <si>
    <t>Allow: Whole number, between 1 and 5</t>
  </si>
  <si>
    <t>View &gt; Freeze Top Row; Ctrl+Shift+L</t>
  </si>
  <si>
    <t>Part A Salary (row 6)</t>
  </si>
  <si>
    <t>=VLOOKUP(A6,Employees!$A$2:$H$21,7,0)</t>
  </si>
  <si>
    <t>Part A City</t>
  </si>
  <si>
    <t>=VLOOKUP(A6,Employees!$A$2:$H$21,4,0)</t>
  </si>
  <si>
    <t>Part B EmpID (row 15)</t>
  </si>
  <si>
    <t>=INDEX(Employees!$A$2:$A$21,MATCH(A15,Employees!$B$2:$B$21,0))</t>
  </si>
  <si>
    <t>Part B Department</t>
  </si>
  <si>
    <t>=INDEX(Employees!$C$2:$C$21,MATCH(A15,Employees!$B$2:$B$21,0))</t>
  </si>
  <si>
    <t>Part C Bonus % (row 24)</t>
  </si>
  <si>
    <t>=VLOOKUP(A24,$G$24:$H$28,2,1)</t>
  </si>
  <si>
    <t>Part C Bonus Amount</t>
  </si>
  <si>
    <t>=A24*B24</t>
  </si>
  <si>
    <t>=SUMIF(Sales!C2:C61,"Chennai",Sales!H2:H61)</t>
  </si>
  <si>
    <t>=COUNTIF(Sales!C2:C61,"Mumbai")</t>
  </si>
  <si>
    <t>=SUMIF(Sales!D2:D61,"Mouse",Sales!F2:F61)</t>
  </si>
  <si>
    <t>=SUMIFS(Sales!H2:H61,Sales!D2:D61,"Laptop",Sales!C2:C61,"Bengaluru")</t>
  </si>
  <si>
    <t>=AVERAGEIF(Sales!D2:D61,"Printer",Sales!H2:H61)</t>
  </si>
  <si>
    <t>=COUNTIF(Sales!H2:H61,"&gt;50000")</t>
  </si>
  <si>
    <t>=SUMIFS(Sales!H2:H61,Sales!B2:B61,"&gt;="&amp;DATE(2026,3,1),Sales!B2:B61,"&lt;="&amp;DATE(2026,3,31))</t>
  </si>
  <si>
    <t>=MAXIFS(Sales!H2:H61,Sales!C2:C61,"Delhi")   (older Excel: =MAX(IF(Sales!C2:C61="Delhi",Sales!H2:H61)) with Ctrl+Shift+Enter)</t>
  </si>
  <si>
    <t>=COUNTIFS(Sales!C2:C61,"Pune",Sales!E2:E61,"Accessories")</t>
  </si>
  <si>
    <t>Join Year (row 6)</t>
  </si>
  <si>
    <t>=YEAR(C6)</t>
  </si>
  <si>
    <t>Month Name</t>
  </si>
  <si>
    <t>=TEXT(C6,"mmmm")</t>
  </si>
  <si>
    <t>Completed Years</t>
  </si>
  <si>
    <t>=DATEDIF(C6,$C$3,"Y")</t>
  </si>
  <si>
    <t>Month End</t>
  </si>
  <si>
    <t>=EOMONTH(C6,0)</t>
  </si>
  <si>
    <t>Day Name</t>
  </si>
  <si>
    <t>=TEXT(C6,"dddd")</t>
  </si>
  <si>
    <t>Pivot grand total</t>
  </si>
  <si>
    <t>Sort Sum of Amount descending</t>
  </si>
  <si>
    <t>Read Bengaluru row</t>
  </si>
  <si>
    <t>Sort Sum of Qty descending</t>
  </si>
  <si>
    <t>Cross-tab lookup</t>
  </si>
  <si>
    <t>Group dates by Months</t>
  </si>
  <si>
    <t>% of Grand Total</t>
  </si>
  <si>
    <t>Slicer: Accessories</t>
  </si>
  <si>
    <t>Count of OrderID</t>
  </si>
  <si>
    <t>Top 10 filter set to 3</t>
  </si>
  <si>
    <t>done</t>
  </si>
  <si>
    <t>DONE</t>
  </si>
  <si>
    <t>Row Labels</t>
  </si>
  <si>
    <t>Grand Total</t>
  </si>
  <si>
    <t>Sum of Amount (₹)</t>
  </si>
  <si>
    <t>Done</t>
  </si>
  <si>
    <t>Jan</t>
  </si>
  <si>
    <t>Feb</t>
  </si>
  <si>
    <t>Mar</t>
  </si>
  <si>
    <t>Sum of Qty</t>
  </si>
  <si>
    <t>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</si>
</sst>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m\-yyyy"/>
    <numFmt numFmtId="165" formatCode="&quot;₹&quot;\ #,##0.00"/>
  </numFmts>
  <fonts count="16" x14ac:knownFonts="1">
    <font>
      <sz val="11"/>
      <color theme="1"/>
      <name val="Calibri"/>
      <family val="2"/>
      <charset val="1"/>
    </font>
    <font>
      <b/>
      <sz val="14"/>
      <color rgb="FF1F4E78"/>
      <name val="Arial"/>
      <charset val="1"/>
    </font>
    <font>
      <i/>
      <sz val="10"/>
      <color rgb="FF595959"/>
      <name val="Arial"/>
      <charset val="1"/>
    </font>
    <font>
      <b/>
      <sz val="11"/>
      <color rgb="FF000000"/>
      <name val="Arial"/>
      <charset val="1"/>
    </font>
    <font>
      <sz val="10"/>
      <color rgb="FF000000"/>
      <name val="Arial"/>
      <charset val="1"/>
    </font>
    <font>
      <b/>
      <sz val="10"/>
      <color rgb="FFFFFFFF"/>
      <name val="Arial"/>
      <charset val="1"/>
    </font>
    <font>
      <b/>
      <sz val="10"/>
      <color rgb="FF000000"/>
      <name val="Arial"/>
      <charset val="1"/>
    </font>
    <font>
      <i/>
      <sz val="9"/>
      <color rgb="FF7F7F7F"/>
      <name val="Arial"/>
      <charset val="1"/>
    </font>
    <font>
      <i/>
      <sz val="10"/>
      <color rgb="FF7F7F7F"/>
      <name val="Arial"/>
      <charset val="1"/>
    </font>
    <font>
      <b/>
      <sz val="11"/>
      <color rgb="FF1F4E78"/>
      <name val="Arial"/>
      <charset val="1"/>
    </font>
    <font>
      <sz val="10"/>
      <color rgb="FF000000"/>
      <name val="Arial"/>
      <family val="2"/>
    </font>
    <font>
      <b/>
      <sz val="10"/>
      <color rgb="FFFFFFFF"/>
      <name val="Arial"/>
      <family val="2"/>
    </font>
    <font>
      <b/>
      <sz val="11"/>
      <color theme="1"/>
      <name val="Calibri"/>
      <family val="2"/>
      <charset val="1"/>
    </font>
    <font>
      <b/>
      <sz val="28"/>
      <color theme="1"/>
      <name val="Bookman Old Style"/>
      <family val="1"/>
    </font>
    <font>
      <b/>
      <sz val="28"/>
      <color theme="1"/>
      <name val="Arial Rounded MT Bold"/>
      <family val="2"/>
    </font>
    <font>
      <b/>
      <sz val="11"/>
      <color theme="1"/>
      <name val="Calibri"/>
      <family val="2"/>
    </font>
  </fonts>
  <fills count="9">
    <fill>
      <patternFill patternType="none"/>
    </fill>
    <fill>
      <patternFill patternType="gray125"/>
    </fill>
    <fill>
      <patternFill patternType="solid">
        <fgColor rgb="FF1F4E78"/>
        <bgColor rgb="FF003366"/>
      </patternFill>
    </fill>
    <fill>
      <patternFill patternType="solid">
        <fgColor rgb="FFDDEBF7"/>
        <bgColor rgb="FFF2F2F2"/>
      </patternFill>
    </fill>
    <fill>
      <patternFill patternType="solid">
        <fgColor rgb="FFFFF2CC"/>
        <bgColor rgb="FFF2F2F2"/>
      </patternFill>
    </fill>
    <fill>
      <patternFill patternType="solid">
        <fgColor rgb="FFF2F2F2"/>
        <bgColor rgb="FFDDEBF7"/>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theme="3" tint="0.59999389629810485"/>
        <bgColor indexed="64"/>
      </patternFill>
    </fill>
  </fills>
  <borders count="4">
    <border>
      <left/>
      <right/>
      <top/>
      <bottom/>
      <diagonal/>
    </border>
    <border>
      <left style="thin">
        <color rgb="FFBFBFBF"/>
      </left>
      <right style="thin">
        <color rgb="FFBFBFBF"/>
      </right>
      <top style="thin">
        <color rgb="FFBFBFBF"/>
      </top>
      <bottom style="thin">
        <color rgb="FFBFBFBF"/>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1">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2" borderId="1" xfId="0" applyFont="1" applyFill="1" applyBorder="1" applyAlignment="1">
      <alignment horizontal="center" vertical="center" wrapText="1"/>
    </xf>
    <xf numFmtId="0" fontId="4" fillId="0" borderId="1" xfId="0" applyFont="1" applyBorder="1"/>
    <xf numFmtId="9" fontId="4" fillId="0" borderId="1" xfId="0" applyNumberFormat="1" applyFont="1" applyBorder="1"/>
    <xf numFmtId="0" fontId="6" fillId="3" borderId="1" xfId="0" applyFont="1" applyFill="1" applyBorder="1"/>
    <xf numFmtId="9" fontId="6" fillId="3" borderId="1" xfId="0" applyNumberFormat="1" applyFont="1" applyFill="1" applyBorder="1"/>
    <xf numFmtId="0" fontId="7" fillId="0" borderId="0" xfId="0" applyFont="1"/>
    <xf numFmtId="0" fontId="4" fillId="0" borderId="1" xfId="0" applyFont="1" applyBorder="1" applyAlignment="1">
      <alignment vertical="top" wrapText="1"/>
    </xf>
    <xf numFmtId="0" fontId="4" fillId="4" borderId="1" xfId="0" applyFont="1" applyFill="1" applyBorder="1" applyAlignment="1">
      <alignment vertical="top" wrapText="1"/>
    </xf>
    <xf numFmtId="0" fontId="4" fillId="5" borderId="1" xfId="0" applyFont="1" applyFill="1" applyBorder="1"/>
    <xf numFmtId="0" fontId="4" fillId="4" borderId="1" xfId="0" applyFont="1" applyFill="1" applyBorder="1"/>
    <xf numFmtId="3" fontId="4" fillId="5" borderId="1" xfId="0" applyNumberFormat="1" applyFont="1" applyFill="1" applyBorder="1"/>
    <xf numFmtId="0" fontId="8" fillId="0" borderId="1" xfId="0" applyFont="1" applyBorder="1" applyAlignment="1">
      <alignment vertical="top" wrapText="1"/>
    </xf>
    <xf numFmtId="0" fontId="9" fillId="3" borderId="0" xfId="0" applyFont="1" applyFill="1"/>
    <xf numFmtId="0" fontId="0" fillId="3" borderId="0" xfId="0" applyFill="1"/>
    <xf numFmtId="3" fontId="4" fillId="4" borderId="1" xfId="0" applyNumberFormat="1" applyFont="1" applyFill="1" applyBorder="1"/>
    <xf numFmtId="9" fontId="4" fillId="4" borderId="1" xfId="0" applyNumberFormat="1" applyFont="1" applyFill="1" applyBorder="1"/>
    <xf numFmtId="9" fontId="4" fillId="5" borderId="1" xfId="0" applyNumberFormat="1" applyFont="1" applyFill="1" applyBorder="1"/>
    <xf numFmtId="0" fontId="6" fillId="0" borderId="0" xfId="0" applyFont="1"/>
    <xf numFmtId="164" fontId="6" fillId="5" borderId="0" xfId="0" applyNumberFormat="1" applyFont="1" applyFill="1"/>
    <xf numFmtId="164" fontId="4" fillId="5" borderId="1" xfId="0" applyNumberFormat="1" applyFont="1" applyFill="1" applyBorder="1"/>
    <xf numFmtId="164" fontId="4" fillId="4" borderId="1" xfId="0" applyNumberFormat="1" applyFont="1" applyFill="1" applyBorder="1"/>
    <xf numFmtId="164" fontId="4" fillId="0" borderId="1" xfId="0" applyNumberFormat="1" applyFont="1" applyBorder="1"/>
    <xf numFmtId="3" fontId="4" fillId="0" borderId="1" xfId="0" applyNumberFormat="1" applyFont="1" applyBorder="1"/>
    <xf numFmtId="3" fontId="4" fillId="4" borderId="1" xfId="0" applyNumberFormat="1" applyFont="1" applyFill="1" applyBorder="1" applyAlignment="1">
      <alignment vertical="top" wrapText="1"/>
    </xf>
    <xf numFmtId="0" fontId="10" fillId="4" borderId="1" xfId="0" applyFont="1" applyFill="1" applyBorder="1" applyAlignment="1">
      <alignment vertical="top" wrapText="1"/>
    </xf>
    <xf numFmtId="0" fontId="11" fillId="2" borderId="1" xfId="0" applyFont="1" applyFill="1" applyBorder="1" applyAlignment="1">
      <alignment horizontal="center" vertical="center" wrapText="1"/>
    </xf>
    <xf numFmtId="0" fontId="0" fillId="0" borderId="0" xfId="0" pivotButton="1"/>
    <xf numFmtId="0" fontId="0" fillId="0" borderId="0" xfId="0" applyAlignment="1">
      <alignment horizontal="left"/>
    </xf>
    <xf numFmtId="3" fontId="0" fillId="0" borderId="0" xfId="0" applyNumberFormat="1"/>
    <xf numFmtId="3" fontId="12" fillId="6" borderId="2" xfId="0" applyNumberFormat="1" applyFont="1" applyFill="1" applyBorder="1"/>
    <xf numFmtId="10" fontId="0" fillId="0" borderId="0" xfId="0" applyNumberFormat="1"/>
    <xf numFmtId="0" fontId="15" fillId="8" borderId="0" xfId="0" applyFont="1" applyFill="1"/>
    <xf numFmtId="0" fontId="15" fillId="8" borderId="3" xfId="0" applyFont="1" applyFill="1" applyBorder="1"/>
    <xf numFmtId="0" fontId="13" fillId="7" borderId="0" xfId="0" applyFont="1" applyFill="1" applyAlignment="1">
      <alignment horizontal="center"/>
    </xf>
    <xf numFmtId="0" fontId="0" fillId="7" borderId="0" xfId="0" applyFill="1" applyAlignment="1">
      <alignment horizontal="center"/>
    </xf>
    <xf numFmtId="165" fontId="14" fillId="7" borderId="0" xfId="0" applyNumberFormat="1" applyFont="1" applyFill="1" applyAlignment="1">
      <alignment horizontal="center"/>
    </xf>
  </cellXfs>
  <cellStyles count="1">
    <cellStyle name="Normal" xfId="0" builtinId="0"/>
  </cellStyles>
  <dxfs count="57">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font>
        <b/>
        <color rgb="FF9C0006"/>
        <name val="Arial"/>
        <charset val="1"/>
      </font>
      <fill>
        <patternFill>
          <bgColor rgb="FFFFC7CE"/>
        </patternFill>
      </fill>
    </dxf>
    <dxf>
      <font>
        <b/>
        <color rgb="FF006100"/>
        <name val="Arial"/>
        <charset val="1"/>
      </font>
      <fill>
        <patternFill>
          <bgColor rgb="FFC6EFCE"/>
        </patternFill>
      </fill>
    </dxf>
    <dxf>
      <numFmt numFmtId="0" formatCode="General"/>
    </dxf>
    <dxf>
      <fill>
        <gradientFill degree="90">
          <stop position="0">
            <color theme="0"/>
          </stop>
          <stop position="0.5">
            <color theme="4"/>
          </stop>
          <stop position="1">
            <color theme="0"/>
          </stop>
        </gradientFill>
      </fill>
    </dxf>
  </dxfs>
  <tableStyles count="1" defaultTableStyle="TableStyleMedium2" defaultPivotStyle="PivotStyleLight16">
    <tableStyle name="Slicer Style 1" pivot="0" table="0" count="1" xr9:uid="{91CA0CFD-9499-4CC0-A528-2215012FD1E9}">
      <tableStyleElement type="wholeTable" dxfId="56"/>
    </tableStyle>
  </tableStyles>
  <colors>
    <indexedColors>
      <rgbColor rgb="FF000000"/>
      <rgbColor rgb="FFFFFFFF"/>
      <rgbColor rgb="FFC00000"/>
      <rgbColor rgb="FF00FF00"/>
      <rgbColor rgb="FF0000FF"/>
      <rgbColor rgb="FFFFFF00"/>
      <rgbColor rgb="FFFF00FF"/>
      <rgbColor rgb="FF00FFFF"/>
      <rgbColor rgb="FF9C0006"/>
      <rgbColor rgb="FF006100"/>
      <rgbColor rgb="FF000080"/>
      <rgbColor rgb="FF808000"/>
      <rgbColor rgb="FF800080"/>
      <rgbColor rgb="FF008080"/>
      <rgbColor rgb="FFBFBFBF"/>
      <rgbColor rgb="FF7F7F7F"/>
      <rgbColor rgb="FF9999FF"/>
      <rgbColor rgb="FF993366"/>
      <rgbColor rgb="FFFFF2CC"/>
      <rgbColor rgb="FFDD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F2F2F2"/>
      <rgbColor rgb="FFC6EFCE"/>
      <rgbColor rgb="FFFFFF99"/>
      <rgbColor rgb="FF99CCFF"/>
      <rgbColor rgb="FFFF99CC"/>
      <rgbColor rgb="FFCC99FF"/>
      <rgbColor rgb="FFFFC7CE"/>
      <rgbColor rgb="FF3366FF"/>
      <rgbColor rgb="FF33CCCC"/>
      <rgbColor rgb="FF99CC00"/>
      <rgbColor rgb="FFFFCC00"/>
      <rgbColor rgb="FFFF9900"/>
      <rgbColor rgb="FFFF6600"/>
      <rgbColor rgb="FF595959"/>
      <rgbColor rgb="FF969696"/>
      <rgbColor rgb="FF003366"/>
      <rgbColor rgb="FF339966"/>
      <rgbColor rgb="FF003300"/>
      <rgbColor rgb="FF333300"/>
      <rgbColor rgb="FF993300"/>
      <rgbColor rgb="FF993366"/>
      <rgbColor rgb="FF1F4E78"/>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1/relationships/timelineCache" Target="timelineCaches/timelineCache1.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[Excel_Practice_Workbook.xlsm]Dashboard!PivotTable1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21518444215092"/>
          <c:y val="6.3990692262943571E-2"/>
          <c:w val="0.82196645522402478"/>
          <c:h val="0.87201861547411286"/>
        </c:manualLayout>
      </c:layout>
      <c:barChart>
        <c:barDir val="bar"/>
        <c:grouping val="stack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Dashboard!$A$4:$A$10</c:f>
              <c:strCache>
                <c:ptCount val="6"/>
                <c:pt idx="0">
                  <c:v>Ahmedabad</c:v>
                </c:pt>
                <c:pt idx="1">
                  <c:v>Bengaluru</c:v>
                </c:pt>
                <c:pt idx="2">
                  <c:v>Chennai</c:v>
                </c:pt>
                <c:pt idx="3">
                  <c:v>Delhi</c:v>
                </c:pt>
                <c:pt idx="4">
                  <c:v>Mumbai</c:v>
                </c:pt>
                <c:pt idx="5">
                  <c:v>Pune</c:v>
                </c:pt>
              </c:strCache>
            </c:strRef>
          </c:cat>
          <c:val>
            <c:numRef>
              <c:f>Dashboard!$B$4:$B$10</c:f>
              <c:numCache>
                <c:formatCode>#,##0</c:formatCode>
                <c:ptCount val="6"/>
                <c:pt idx="0">
                  <c:v>599400</c:v>
                </c:pt>
                <c:pt idx="1">
                  <c:v>501000</c:v>
                </c:pt>
                <c:pt idx="2">
                  <c:v>631600</c:v>
                </c:pt>
                <c:pt idx="3">
                  <c:v>866800</c:v>
                </c:pt>
                <c:pt idx="4">
                  <c:v>372000</c:v>
                </c:pt>
                <c:pt idx="5">
                  <c:v>372900</c:v>
                </c:pt>
              </c:numCache>
            </c:numRef>
          </c:val>
          <c:extLst>
            <c:ext xmlns:c16="http://schemas.microsoft.com/office/drawing/2014/chart" uri="{C3380CC4-5D6E-409C-BE32-E72D297353CC}">
              <c16:uniqueId val="{00000000-8641-436F-8A58-28730590E903}"/>
            </c:ext>
          </c:extLst>
        </c:ser>
        <c:dLbls>
          <c:dLblPos val="ctr"/>
          <c:showLegendKey val="0"/>
          <c:showVal val="1"/>
          <c:showCatName val="0"/>
          <c:showSerName val="0"/>
          <c:showPercent val="0"/>
          <c:showBubbleSize val="0"/>
        </c:dLbls>
        <c:gapWidth val="79"/>
        <c:overlap val="100"/>
        <c:axId val="718266911"/>
        <c:axId val="596507567"/>
      </c:barChart>
      <c:catAx>
        <c:axId val="718266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96507567"/>
        <c:crosses val="autoZero"/>
        <c:auto val="1"/>
        <c:lblAlgn val="ctr"/>
        <c:lblOffset val="100"/>
        <c:noMultiLvlLbl val="0"/>
      </c:catAx>
      <c:valAx>
        <c:axId val="596507567"/>
        <c:scaling>
          <c:orientation val="minMax"/>
        </c:scaling>
        <c:delete val="1"/>
        <c:axPos val="b"/>
        <c:numFmt formatCode="#,##0" sourceLinked="1"/>
        <c:majorTickMark val="none"/>
        <c:minorTickMark val="none"/>
        <c:tickLblPos val="nextTo"/>
        <c:crossAx val="71826691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[Excel_Practice_Workbook.xlsm]Dashboard!PivotTable2</c:name>
    <c:fmtId val="0"/>
  </c:pivotSource>
  <c:chart>
    <c:autoTitleDeleted val="1"/>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Dashboard!$E$3</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Dashboard!$D$4:$D$7</c:f>
              <c:strCache>
                <c:ptCount val="3"/>
                <c:pt idx="0">
                  <c:v>Jan</c:v>
                </c:pt>
                <c:pt idx="1">
                  <c:v>Feb</c:v>
                </c:pt>
                <c:pt idx="2">
                  <c:v>Mar</c:v>
                </c:pt>
              </c:strCache>
            </c:strRef>
          </c:cat>
          <c:val>
            <c:numRef>
              <c:f>Dashboard!$E$4:$E$7</c:f>
              <c:numCache>
                <c:formatCode>#,##0</c:formatCode>
                <c:ptCount val="3"/>
                <c:pt idx="0">
                  <c:v>1097200</c:v>
                </c:pt>
                <c:pt idx="1">
                  <c:v>690800</c:v>
                </c:pt>
                <c:pt idx="2">
                  <c:v>1555700</c:v>
                </c:pt>
              </c:numCache>
            </c:numRef>
          </c:val>
          <c:smooth val="0"/>
          <c:extLst>
            <c:ext xmlns:c16="http://schemas.microsoft.com/office/drawing/2014/chart" uri="{C3380CC4-5D6E-409C-BE32-E72D297353CC}">
              <c16:uniqueId val="{00000000-F02F-4EF0-9EB6-9C004C219C98}"/>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796912431"/>
        <c:axId val="596522447"/>
      </c:lineChart>
      <c:catAx>
        <c:axId val="796912431"/>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96522447"/>
        <c:crosses val="autoZero"/>
        <c:auto val="1"/>
        <c:lblAlgn val="ctr"/>
        <c:lblOffset val="100"/>
        <c:noMultiLvlLbl val="0"/>
      </c:catAx>
      <c:valAx>
        <c:axId val="59652244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96912431"/>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[Excel_Practice_Workbook.xlsm]Dashboard!PivotTable3</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8.0856067234020002E-2"/>
          <c:y val="0.12649994750656168"/>
          <c:w val="0.63366950343328299"/>
          <c:h val="0.75766677165354335"/>
        </c:manualLayout>
      </c:layout>
      <c:ofPieChart>
        <c:ofPieType val="bar"/>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438-4B5C-BC89-BFA984C50F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438-4B5C-BC89-BFA984C50F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438-4B5C-BC89-BFA984C50F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438-4B5C-BC89-BFA984C50F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438-4B5C-BC89-BFA984C50F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438-4B5C-BC89-BFA984C50FB6}"/>
              </c:ext>
            </c:extLst>
          </c:dPt>
          <c:cat>
            <c:strRef>
              <c:f>Dashboard!$G$4:$G$9</c:f>
              <c:strCache>
                <c:ptCount val="5"/>
                <c:pt idx="0">
                  <c:v>Keyboard</c:v>
                </c:pt>
                <c:pt idx="1">
                  <c:v>Laptop</c:v>
                </c:pt>
                <c:pt idx="2">
                  <c:v>Monitor</c:v>
                </c:pt>
                <c:pt idx="3">
                  <c:v>Mouse</c:v>
                </c:pt>
                <c:pt idx="4">
                  <c:v>Printer</c:v>
                </c:pt>
              </c:strCache>
            </c:strRef>
          </c:cat>
          <c:val>
            <c:numRef>
              <c:f>Dashboard!$H$4:$H$9</c:f>
              <c:numCache>
                <c:formatCode>General</c:formatCode>
                <c:ptCount val="5"/>
                <c:pt idx="0">
                  <c:v>49</c:v>
                </c:pt>
                <c:pt idx="1">
                  <c:v>41</c:v>
                </c:pt>
                <c:pt idx="2">
                  <c:v>51</c:v>
                </c:pt>
                <c:pt idx="3">
                  <c:v>132</c:v>
                </c:pt>
                <c:pt idx="4">
                  <c:v>36</c:v>
                </c:pt>
              </c:numCache>
            </c:numRef>
          </c:val>
          <c:extLst>
            <c:ext xmlns:c16="http://schemas.microsoft.com/office/drawing/2014/chart" uri="{C3380CC4-5D6E-409C-BE32-E72D297353CC}">
              <c16:uniqueId val="{00000000-431F-45C4-A234-87FAA5E32605}"/>
            </c:ext>
          </c:extLst>
        </c:ser>
        <c:dLbls>
          <c:showLegendKey val="0"/>
          <c:showVal val="0"/>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68580</xdr:rowOff>
    </xdr:from>
    <xdr:to>
      <xdr:col>8</xdr:col>
      <xdr:colOff>7620</xdr:colOff>
      <xdr:row>40</xdr:row>
      <xdr:rowOff>0</xdr:rowOff>
    </xdr:to>
    <xdr:graphicFrame macro="">
      <xdr:nvGraphicFramePr>
        <xdr:cNvPr id="2" name="Chart 1">
          <a:extLst>
            <a:ext uri="{FF2B5EF4-FFF2-40B4-BE49-F238E27FC236}">
              <a16:creationId xmlns:a16="http://schemas.microsoft.com/office/drawing/2014/main" id="{4F741D1A-52D6-1E94-BB29-26B3199242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16</xdr:row>
      <xdr:rowOff>175260</xdr:rowOff>
    </xdr:from>
    <xdr:to>
      <xdr:col>21</xdr:col>
      <xdr:colOff>388620</xdr:colOff>
      <xdr:row>40</xdr:row>
      <xdr:rowOff>0</xdr:rowOff>
    </xdr:to>
    <xdr:graphicFrame macro="">
      <xdr:nvGraphicFramePr>
        <xdr:cNvPr id="3" name="Chart 2">
          <a:extLst>
            <a:ext uri="{FF2B5EF4-FFF2-40B4-BE49-F238E27FC236}">
              <a16:creationId xmlns:a16="http://schemas.microsoft.com/office/drawing/2014/main" id="{4CB5B398-8854-F96B-1EC0-C30DC08E25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182880</xdr:colOff>
      <xdr:row>1</xdr:row>
      <xdr:rowOff>175261</xdr:rowOff>
    </xdr:from>
    <xdr:to>
      <xdr:col>11</xdr:col>
      <xdr:colOff>137160</xdr:colOff>
      <xdr:row>5</xdr:row>
      <xdr:rowOff>114300</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34D40C4A-B84B-BE14-B88C-6C21AC4C85B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324600" y="594361"/>
              <a:ext cx="1363980" cy="6705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182880</xdr:colOff>
      <xdr:row>1</xdr:row>
      <xdr:rowOff>179070</xdr:rowOff>
    </xdr:from>
    <xdr:to>
      <xdr:col>21</xdr:col>
      <xdr:colOff>381000</xdr:colOff>
      <xdr:row>16</xdr:row>
      <xdr:rowOff>7620</xdr:rowOff>
    </xdr:to>
    <xdr:graphicFrame macro="">
      <xdr:nvGraphicFramePr>
        <xdr:cNvPr id="4" name="Chart 3">
          <a:extLst>
            <a:ext uri="{FF2B5EF4-FFF2-40B4-BE49-F238E27FC236}">
              <a16:creationId xmlns:a16="http://schemas.microsoft.com/office/drawing/2014/main" id="{F50B911F-5105-7EDD-EE42-8DC422C5C7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320040</xdr:colOff>
      <xdr:row>2</xdr:row>
      <xdr:rowOff>7620</xdr:rowOff>
    </xdr:from>
    <xdr:to>
      <xdr:col>14</xdr:col>
      <xdr:colOff>22860</xdr:colOff>
      <xdr:row>6</xdr:row>
      <xdr:rowOff>106680</xdr:rowOff>
    </xdr:to>
    <mc:AlternateContent xmlns:mc="http://schemas.openxmlformats.org/markup-compatibility/2006" xmlns:tsle="http://schemas.microsoft.com/office/drawing/2012/timeslicer">
      <mc:Choice Requires="tsle">
        <xdr:graphicFrame macro="">
          <xdr:nvGraphicFramePr>
            <xdr:cNvPr id="6" name="Order Date">
              <a:extLst>
                <a:ext uri="{FF2B5EF4-FFF2-40B4-BE49-F238E27FC236}">
                  <a16:creationId xmlns:a16="http://schemas.microsoft.com/office/drawing/2014/main" id="{2FD57E99-EA28-4153-ED95-3E09435ED0B0}"/>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8740140" y="502920"/>
              <a:ext cx="1554480" cy="82296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0</xdr:colOff>
      <xdr:row>0</xdr:row>
      <xdr:rowOff>7620</xdr:rowOff>
    </xdr:from>
    <xdr:to>
      <xdr:col>21</xdr:col>
      <xdr:colOff>396240</xdr:colOff>
      <xdr:row>1</xdr:row>
      <xdr:rowOff>175260</xdr:rowOff>
    </xdr:to>
    <xdr:sp macro="" textlink="">
      <xdr:nvSpPr>
        <xdr:cNvPr id="7" name="Rectangle 6">
          <a:extLst>
            <a:ext uri="{FF2B5EF4-FFF2-40B4-BE49-F238E27FC236}">
              <a16:creationId xmlns:a16="http://schemas.microsoft.com/office/drawing/2014/main" id="{233EA143-B6C5-AAD3-F275-77A61FE376E5}"/>
            </a:ext>
          </a:extLst>
        </xdr:cNvPr>
        <xdr:cNvSpPr/>
      </xdr:nvSpPr>
      <xdr:spPr>
        <a:xfrm>
          <a:off x="0" y="7620"/>
          <a:ext cx="14462760" cy="586740"/>
        </a:xfrm>
        <a:prstGeom prst="rect">
          <a:avLst/>
        </a:prstGeom>
        <a:solidFill>
          <a:schemeClr val="bg2"/>
        </a:solidFill>
        <a:ln>
          <a:solidFill>
            <a:sysClr val="windowText" lastClr="000000"/>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i="0">
              <a:solidFill>
                <a:schemeClr val="tx1"/>
              </a:solidFill>
            </a:rPr>
            <a:t>Sales Dashboard | Jan - Mar 2026</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ustus 7908" refreshedDate="46297.609708101852" createdVersion="8" refreshedVersion="8" minRefreshableVersion="3" recordCount="60" xr:uid="{F872A024-859A-4FFC-BAB1-875898A6302D}">
  <cacheSource type="worksheet">
    <worksheetSource ref="A1:H61" sheet="Sales"/>
  </cacheSource>
  <cacheFields count="10">
    <cacheField name="OrderID" numFmtId="0">
      <sharedItems/>
    </cacheField>
    <cacheField name="Order Date" numFmtId="164">
      <sharedItems containsSemiMixedTypes="0" containsNonDate="0" containsDate="1" containsString="0" minDate="2026-01-01T00:00:00" maxDate="2026-04-01T00:00:00" count="44">
        <d v="2026-01-01T00:00:00"/>
        <d v="2026-01-04T00:00:00"/>
        <d v="2026-01-09T00:00:00"/>
        <d v="2026-01-11T00:00:00"/>
        <d v="2026-01-12T00:00:00"/>
        <d v="2026-01-13T00:00:00"/>
        <d v="2026-01-14T00:00:00"/>
        <d v="2026-01-15T00:00:00"/>
        <d v="2026-01-22T00:00:00"/>
        <d v="2026-01-25T00:00:00"/>
        <d v="2026-01-26T00:00:00"/>
        <d v="2026-01-27T00:00:00"/>
        <d v="2026-01-29T00:00:00"/>
        <d v="2026-02-03T00:00:00"/>
        <d v="2026-02-04T00:00:00"/>
        <d v="2026-02-05T00:00:00"/>
        <d v="2026-02-06T00:00:00"/>
        <d v="2026-02-08T00:00:00"/>
        <d v="2026-02-09T00:00:00"/>
        <d v="2026-02-12T00:00:00"/>
        <d v="2026-02-13T00:00:00"/>
        <d v="2026-02-14T00:00:00"/>
        <d v="2026-02-16T00:00:00"/>
        <d v="2026-02-17T00:00:00"/>
        <d v="2026-02-19T00:00:00"/>
        <d v="2026-02-20T00:00:00"/>
        <d v="2026-02-21T00:00:00"/>
        <d v="2026-02-23T00:00:00"/>
        <d v="2026-02-28T00:00:00"/>
        <d v="2026-03-01T00:00:00"/>
        <d v="2026-03-02T00:00:00"/>
        <d v="2026-03-03T00:00:00"/>
        <d v="2026-03-04T00:00:00"/>
        <d v="2026-03-05T00:00:00"/>
        <d v="2026-03-08T00:00:00"/>
        <d v="2026-03-13T00:00:00"/>
        <d v="2026-03-16T00:00:00"/>
        <d v="2026-03-17T00:00:00"/>
        <d v="2026-03-19T00:00:00"/>
        <d v="2026-03-23T00:00:00"/>
        <d v="2026-03-26T00:00:00"/>
        <d v="2026-03-29T00:00:00"/>
        <d v="2026-03-30T00:00:00"/>
        <d v="2026-03-31T00:00:00"/>
      </sharedItems>
      <fieldGroup par="9"/>
    </cacheField>
    <cacheField name="City" numFmtId="0">
      <sharedItems count="6">
        <s v="Pune"/>
        <s v="Mumbai"/>
        <s v="Delhi"/>
        <s v="Chennai"/>
        <s v="Bengaluru"/>
        <s v="Ahmedabad"/>
      </sharedItems>
    </cacheField>
    <cacheField name="Product" numFmtId="0">
      <sharedItems count="5">
        <s v="Printer"/>
        <s v="Monitor"/>
        <s v="Mouse"/>
        <s v="Laptop"/>
        <s v="Keyboard"/>
      </sharedItems>
    </cacheField>
    <cacheField name="Category" numFmtId="0">
      <sharedItems count="2">
        <s v="Devices"/>
        <s v="Accessories"/>
      </sharedItems>
    </cacheField>
    <cacheField name="Qty" numFmtId="0">
      <sharedItems containsSemiMixedTypes="0" containsString="0" containsNumber="1" containsInteger="1" minValue="1" maxValue="17" count="13">
        <n v="4"/>
        <n v="3"/>
        <n v="2"/>
        <n v="1"/>
        <n v="5"/>
        <n v="15"/>
        <n v="13"/>
        <n v="16"/>
        <n v="6"/>
        <n v="10"/>
        <n v="14"/>
        <n v="17"/>
        <n v="8"/>
      </sharedItems>
    </cacheField>
    <cacheField name="Unit Price (₹)" numFmtId="3">
      <sharedItems containsSemiMixedTypes="0" containsString="0" containsNumber="1" containsInteger="1" minValue="600" maxValue="55000"/>
    </cacheField>
    <cacheField name="Amount (₹)" numFmtId="3">
      <sharedItems containsSemiMixedTypes="0" containsString="0" containsNumber="1" containsInteger="1" minValue="1800" maxValue="220000" count="26">
        <n v="36000"/>
        <n v="27000"/>
        <n v="48000"/>
        <n v="24000"/>
        <n v="9000"/>
        <n v="1800"/>
        <n v="110000"/>
        <n v="2400"/>
        <n v="60000"/>
        <n v="220000"/>
        <n v="165000"/>
        <n v="45000"/>
        <n v="19500"/>
        <n v="55000"/>
        <n v="9600"/>
        <n v="72000"/>
        <n v="18000"/>
        <n v="3000"/>
        <n v="6000"/>
        <n v="8400"/>
        <n v="3600"/>
        <n v="7800"/>
        <n v="4500"/>
        <n v="12000"/>
        <n v="10200"/>
        <n v="15000"/>
      </sharedItems>
    </cacheField>
    <cacheField name="Days (Order Date)" numFmtId="0" databaseField="0">
      <fieldGroup base="1">
        <rangePr groupBy="days" startDate="2026-01-01T00:00:00" endDate="2026-04-01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4-2026"/>
        </groupItems>
      </fieldGroup>
    </cacheField>
    <cacheField name="Months (Order Date)" numFmtId="0" databaseField="0">
      <fieldGroup base="1">
        <rangePr groupBy="months" startDate="2026-01-01T00:00:00" endDate="2026-04-01T00:00:00"/>
        <groupItems count="14">
          <s v="&lt;01-01-2026"/>
          <s v="Jan"/>
          <s v="Feb"/>
          <s v="Mar"/>
          <s v="Apr"/>
          <s v="May"/>
          <s v="Jun"/>
          <s v="Jul"/>
          <s v="Aug"/>
          <s v="Sep"/>
          <s v="Oct"/>
          <s v="Nov"/>
          <s v="Dec"/>
          <s v="&gt;01-04-2026"/>
        </groupItems>
      </fieldGroup>
    </cacheField>
  </cacheFields>
  <extLst>
    <ext xmlns:x14="http://schemas.microsoft.com/office/spreadsheetml/2009/9/main" uri="{725AE2AE-9491-48be-B2B4-4EB974FC3084}">
      <x14:pivotCacheDefinition pivotCacheId="8926510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ORD1001"/>
    <x v="0"/>
    <x v="0"/>
    <x v="0"/>
    <x v="0"/>
    <x v="0"/>
    <n v="9000"/>
    <x v="0"/>
  </r>
  <r>
    <s v="ORD1002"/>
    <x v="1"/>
    <x v="1"/>
    <x v="0"/>
    <x v="0"/>
    <x v="1"/>
    <n v="9000"/>
    <x v="1"/>
  </r>
  <r>
    <s v="ORD1003"/>
    <x v="2"/>
    <x v="0"/>
    <x v="1"/>
    <x v="0"/>
    <x v="0"/>
    <n v="12000"/>
    <x v="2"/>
  </r>
  <r>
    <s v="ORD1004"/>
    <x v="3"/>
    <x v="2"/>
    <x v="1"/>
    <x v="0"/>
    <x v="1"/>
    <n v="12000"/>
    <x v="0"/>
  </r>
  <r>
    <s v="ORD1005"/>
    <x v="3"/>
    <x v="0"/>
    <x v="1"/>
    <x v="0"/>
    <x v="2"/>
    <n v="12000"/>
    <x v="3"/>
  </r>
  <r>
    <s v="ORD1006"/>
    <x v="3"/>
    <x v="0"/>
    <x v="0"/>
    <x v="0"/>
    <x v="3"/>
    <n v="9000"/>
    <x v="4"/>
  </r>
  <r>
    <s v="ORD1007"/>
    <x v="4"/>
    <x v="3"/>
    <x v="0"/>
    <x v="0"/>
    <x v="0"/>
    <n v="9000"/>
    <x v="0"/>
  </r>
  <r>
    <s v="ORD1008"/>
    <x v="5"/>
    <x v="4"/>
    <x v="2"/>
    <x v="1"/>
    <x v="1"/>
    <n v="600"/>
    <x v="5"/>
  </r>
  <r>
    <s v="ORD1009"/>
    <x v="6"/>
    <x v="1"/>
    <x v="3"/>
    <x v="0"/>
    <x v="2"/>
    <n v="55000"/>
    <x v="6"/>
  </r>
  <r>
    <s v="ORD1010"/>
    <x v="7"/>
    <x v="5"/>
    <x v="2"/>
    <x v="1"/>
    <x v="0"/>
    <n v="600"/>
    <x v="7"/>
  </r>
  <r>
    <s v="ORD1011"/>
    <x v="7"/>
    <x v="4"/>
    <x v="1"/>
    <x v="0"/>
    <x v="4"/>
    <n v="12000"/>
    <x v="8"/>
  </r>
  <r>
    <s v="ORD1012"/>
    <x v="8"/>
    <x v="5"/>
    <x v="3"/>
    <x v="0"/>
    <x v="0"/>
    <n v="55000"/>
    <x v="9"/>
  </r>
  <r>
    <s v="ORD1013"/>
    <x v="9"/>
    <x v="0"/>
    <x v="2"/>
    <x v="1"/>
    <x v="5"/>
    <n v="600"/>
    <x v="4"/>
  </r>
  <r>
    <s v="ORD1014"/>
    <x v="10"/>
    <x v="2"/>
    <x v="1"/>
    <x v="0"/>
    <x v="0"/>
    <n v="12000"/>
    <x v="2"/>
  </r>
  <r>
    <s v="ORD1015"/>
    <x v="11"/>
    <x v="2"/>
    <x v="3"/>
    <x v="0"/>
    <x v="0"/>
    <n v="55000"/>
    <x v="9"/>
  </r>
  <r>
    <s v="ORD1016"/>
    <x v="11"/>
    <x v="2"/>
    <x v="3"/>
    <x v="0"/>
    <x v="1"/>
    <n v="55000"/>
    <x v="10"/>
  </r>
  <r>
    <s v="ORD1017"/>
    <x v="12"/>
    <x v="2"/>
    <x v="0"/>
    <x v="0"/>
    <x v="4"/>
    <n v="9000"/>
    <x v="11"/>
  </r>
  <r>
    <s v="ORD1018"/>
    <x v="13"/>
    <x v="0"/>
    <x v="4"/>
    <x v="1"/>
    <x v="6"/>
    <n v="1500"/>
    <x v="12"/>
  </r>
  <r>
    <s v="ORD1019"/>
    <x v="14"/>
    <x v="5"/>
    <x v="3"/>
    <x v="0"/>
    <x v="3"/>
    <n v="55000"/>
    <x v="13"/>
  </r>
  <r>
    <s v="ORD1020"/>
    <x v="15"/>
    <x v="0"/>
    <x v="2"/>
    <x v="1"/>
    <x v="7"/>
    <n v="600"/>
    <x v="14"/>
  </r>
  <r>
    <s v="ORD1021"/>
    <x v="15"/>
    <x v="3"/>
    <x v="2"/>
    <x v="1"/>
    <x v="7"/>
    <n v="600"/>
    <x v="14"/>
  </r>
  <r>
    <s v="ORD1022"/>
    <x v="16"/>
    <x v="0"/>
    <x v="1"/>
    <x v="0"/>
    <x v="8"/>
    <n v="12000"/>
    <x v="15"/>
  </r>
  <r>
    <s v="ORD1023"/>
    <x v="17"/>
    <x v="0"/>
    <x v="0"/>
    <x v="0"/>
    <x v="2"/>
    <n v="9000"/>
    <x v="16"/>
  </r>
  <r>
    <s v="ORD1024"/>
    <x v="17"/>
    <x v="3"/>
    <x v="2"/>
    <x v="1"/>
    <x v="4"/>
    <n v="600"/>
    <x v="17"/>
  </r>
  <r>
    <s v="ORD1025"/>
    <x v="18"/>
    <x v="1"/>
    <x v="4"/>
    <x v="1"/>
    <x v="0"/>
    <n v="1500"/>
    <x v="18"/>
  </r>
  <r>
    <s v="ORD1026"/>
    <x v="19"/>
    <x v="3"/>
    <x v="2"/>
    <x v="1"/>
    <x v="9"/>
    <n v="600"/>
    <x v="18"/>
  </r>
  <r>
    <s v="ORD1027"/>
    <x v="20"/>
    <x v="3"/>
    <x v="3"/>
    <x v="0"/>
    <x v="1"/>
    <n v="55000"/>
    <x v="10"/>
  </r>
  <r>
    <s v="ORD1028"/>
    <x v="21"/>
    <x v="5"/>
    <x v="2"/>
    <x v="1"/>
    <x v="10"/>
    <n v="600"/>
    <x v="19"/>
  </r>
  <r>
    <s v="ORD1029"/>
    <x v="22"/>
    <x v="5"/>
    <x v="2"/>
    <x v="1"/>
    <x v="8"/>
    <n v="600"/>
    <x v="20"/>
  </r>
  <r>
    <s v="ORD1030"/>
    <x v="23"/>
    <x v="2"/>
    <x v="2"/>
    <x v="1"/>
    <x v="6"/>
    <n v="600"/>
    <x v="21"/>
  </r>
  <r>
    <s v="ORD1031"/>
    <x v="24"/>
    <x v="3"/>
    <x v="0"/>
    <x v="0"/>
    <x v="1"/>
    <n v="9000"/>
    <x v="1"/>
  </r>
  <r>
    <s v="ORD1032"/>
    <x v="25"/>
    <x v="5"/>
    <x v="1"/>
    <x v="0"/>
    <x v="0"/>
    <n v="12000"/>
    <x v="2"/>
  </r>
  <r>
    <s v="ORD1033"/>
    <x v="26"/>
    <x v="5"/>
    <x v="4"/>
    <x v="1"/>
    <x v="1"/>
    <n v="1500"/>
    <x v="22"/>
  </r>
  <r>
    <s v="ORD1034"/>
    <x v="27"/>
    <x v="0"/>
    <x v="2"/>
    <x v="1"/>
    <x v="6"/>
    <n v="600"/>
    <x v="21"/>
  </r>
  <r>
    <s v="ORD1035"/>
    <x v="28"/>
    <x v="3"/>
    <x v="3"/>
    <x v="0"/>
    <x v="0"/>
    <n v="55000"/>
    <x v="9"/>
  </r>
  <r>
    <s v="ORD1036"/>
    <x v="29"/>
    <x v="2"/>
    <x v="0"/>
    <x v="0"/>
    <x v="0"/>
    <n v="9000"/>
    <x v="0"/>
  </r>
  <r>
    <s v="ORD1037"/>
    <x v="29"/>
    <x v="4"/>
    <x v="3"/>
    <x v="0"/>
    <x v="2"/>
    <n v="55000"/>
    <x v="6"/>
  </r>
  <r>
    <s v="ORD1038"/>
    <x v="30"/>
    <x v="0"/>
    <x v="1"/>
    <x v="0"/>
    <x v="1"/>
    <n v="12000"/>
    <x v="0"/>
  </r>
  <r>
    <s v="ORD1039"/>
    <x v="31"/>
    <x v="2"/>
    <x v="1"/>
    <x v="0"/>
    <x v="4"/>
    <n v="12000"/>
    <x v="8"/>
  </r>
  <r>
    <s v="ORD1040"/>
    <x v="31"/>
    <x v="3"/>
    <x v="3"/>
    <x v="0"/>
    <x v="1"/>
    <n v="55000"/>
    <x v="10"/>
  </r>
  <r>
    <s v="ORD1041"/>
    <x v="31"/>
    <x v="0"/>
    <x v="1"/>
    <x v="0"/>
    <x v="0"/>
    <n v="12000"/>
    <x v="2"/>
  </r>
  <r>
    <s v="ORD1042"/>
    <x v="32"/>
    <x v="5"/>
    <x v="1"/>
    <x v="0"/>
    <x v="3"/>
    <n v="12000"/>
    <x v="23"/>
  </r>
  <r>
    <s v="ORD1043"/>
    <x v="32"/>
    <x v="5"/>
    <x v="3"/>
    <x v="0"/>
    <x v="0"/>
    <n v="55000"/>
    <x v="9"/>
  </r>
  <r>
    <s v="ORD1044"/>
    <x v="33"/>
    <x v="4"/>
    <x v="2"/>
    <x v="1"/>
    <x v="11"/>
    <n v="600"/>
    <x v="24"/>
  </r>
  <r>
    <s v="ORD1045"/>
    <x v="34"/>
    <x v="4"/>
    <x v="0"/>
    <x v="0"/>
    <x v="2"/>
    <n v="9000"/>
    <x v="16"/>
  </r>
  <r>
    <s v="ORD1046"/>
    <x v="35"/>
    <x v="2"/>
    <x v="3"/>
    <x v="0"/>
    <x v="1"/>
    <n v="55000"/>
    <x v="10"/>
  </r>
  <r>
    <s v="ORD1047"/>
    <x v="36"/>
    <x v="5"/>
    <x v="4"/>
    <x v="1"/>
    <x v="1"/>
    <n v="1500"/>
    <x v="22"/>
  </r>
  <r>
    <s v="ORD1048"/>
    <x v="37"/>
    <x v="0"/>
    <x v="4"/>
    <x v="1"/>
    <x v="8"/>
    <n v="1500"/>
    <x v="4"/>
  </r>
  <r>
    <s v="ORD1049"/>
    <x v="38"/>
    <x v="1"/>
    <x v="0"/>
    <x v="0"/>
    <x v="3"/>
    <n v="9000"/>
    <x v="4"/>
  </r>
  <r>
    <s v="ORD1050"/>
    <x v="39"/>
    <x v="5"/>
    <x v="4"/>
    <x v="1"/>
    <x v="2"/>
    <n v="1500"/>
    <x v="17"/>
  </r>
  <r>
    <s v="ORD1051"/>
    <x v="39"/>
    <x v="4"/>
    <x v="1"/>
    <x v="0"/>
    <x v="1"/>
    <n v="12000"/>
    <x v="0"/>
  </r>
  <r>
    <s v="ORD1052"/>
    <x v="40"/>
    <x v="0"/>
    <x v="1"/>
    <x v="0"/>
    <x v="3"/>
    <n v="12000"/>
    <x v="23"/>
  </r>
  <r>
    <s v="ORD1053"/>
    <x v="40"/>
    <x v="1"/>
    <x v="3"/>
    <x v="0"/>
    <x v="0"/>
    <n v="55000"/>
    <x v="9"/>
  </r>
  <r>
    <s v="ORD1054"/>
    <x v="41"/>
    <x v="2"/>
    <x v="4"/>
    <x v="1"/>
    <x v="12"/>
    <n v="1500"/>
    <x v="23"/>
  </r>
  <r>
    <s v="ORD1055"/>
    <x v="41"/>
    <x v="5"/>
    <x v="0"/>
    <x v="0"/>
    <x v="2"/>
    <n v="9000"/>
    <x v="16"/>
  </r>
  <r>
    <s v="ORD1056"/>
    <x v="42"/>
    <x v="4"/>
    <x v="0"/>
    <x v="0"/>
    <x v="4"/>
    <n v="9000"/>
    <x v="11"/>
  </r>
  <r>
    <s v="ORD1057"/>
    <x v="42"/>
    <x v="2"/>
    <x v="1"/>
    <x v="0"/>
    <x v="4"/>
    <n v="12000"/>
    <x v="8"/>
  </r>
  <r>
    <s v="ORD1058"/>
    <x v="42"/>
    <x v="0"/>
    <x v="4"/>
    <x v="1"/>
    <x v="9"/>
    <n v="1500"/>
    <x v="25"/>
  </r>
  <r>
    <s v="ORD1059"/>
    <x v="42"/>
    <x v="2"/>
    <x v="1"/>
    <x v="0"/>
    <x v="3"/>
    <n v="12000"/>
    <x v="23"/>
  </r>
  <r>
    <s v="ORD1060"/>
    <x v="43"/>
    <x v="4"/>
    <x v="3"/>
    <x v="0"/>
    <x v="0"/>
    <n v="55000"/>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15392E-7F08-40F9-858F-6B2D5635530A}"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G3:H9" firstHeaderRow="1" firstDataRow="1" firstDataCol="1"/>
  <pivotFields count="10">
    <pivotField showAll="0"/>
    <pivotField numFmtId="164" showAl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t="default"/>
      </items>
    </pivotField>
    <pivotField showAll="0"/>
    <pivotField axis="axisRow" showAll="0">
      <items count="6">
        <item x="4"/>
        <item x="3"/>
        <item x="1"/>
        <item x="2"/>
        <item x="0"/>
        <item t="default"/>
      </items>
    </pivotField>
    <pivotField showAll="0">
      <items count="3">
        <item x="1"/>
        <item x="0"/>
        <item t="default"/>
      </items>
    </pivotField>
    <pivotField dataField="1" showAll="0">
      <items count="14">
        <item x="3"/>
        <item x="2"/>
        <item x="1"/>
        <item x="0"/>
        <item x="4"/>
        <item x="8"/>
        <item x="12"/>
        <item x="9"/>
        <item x="6"/>
        <item x="10"/>
        <item x="5"/>
        <item x="7"/>
        <item x="11"/>
        <item t="default"/>
      </items>
    </pivotField>
    <pivotField numFmtId="3" showAll="0"/>
    <pivotField numFmtId="3"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6">
    <i>
      <x/>
    </i>
    <i>
      <x v="1"/>
    </i>
    <i>
      <x v="2"/>
    </i>
    <i>
      <x v="3"/>
    </i>
    <i>
      <x v="4"/>
    </i>
    <i t="grand">
      <x/>
    </i>
  </rowItems>
  <colItems count="1">
    <i/>
  </colItems>
  <dataFields count="1">
    <dataField name="Sum of Qty" fld="5" baseField="0" baseItem="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3" count="1" selected="0">
            <x v="0"/>
          </reference>
        </references>
      </pivotArea>
    </chartFormat>
    <chartFormat chart="1" format="2">
      <pivotArea type="data" outline="0" fieldPosition="0">
        <references count="2">
          <reference field="4294967294" count="1" selected="0">
            <x v="0"/>
          </reference>
          <reference field="3" count="1" selected="0">
            <x v="1"/>
          </reference>
        </references>
      </pivotArea>
    </chartFormat>
    <chartFormat chart="1" format="3">
      <pivotArea type="data" outline="0" fieldPosition="0">
        <references count="2">
          <reference field="4294967294" count="1" selected="0">
            <x v="0"/>
          </reference>
          <reference field="3" count="1" selected="0">
            <x v="2"/>
          </reference>
        </references>
      </pivotArea>
    </chartFormat>
    <chartFormat chart="1" format="4">
      <pivotArea type="data" outline="0" fieldPosition="0">
        <references count="2">
          <reference field="4294967294" count="1" selected="0">
            <x v="0"/>
          </reference>
          <reference field="3" count="1" selected="0">
            <x v="3"/>
          </reference>
        </references>
      </pivotArea>
    </chartFormat>
    <chartFormat chart="1" format="5">
      <pivotArea type="data" outline="0" fieldPosition="0">
        <references count="2">
          <reference field="4294967294" count="1" selected="0">
            <x v="0"/>
          </reference>
          <reference field="3" count="1" selected="0">
            <x v="4"/>
          </reference>
        </references>
      </pivotArea>
    </chartFormat>
  </chartFormats>
  <pivotTableStyleInfo name="PivotStyleDark5" showRowHeaders="1" showColHeaders="1" showRowStripes="0" showColStripes="0" showLastColumn="1"/>
  <filters count="1">
    <filter fld="1" type="dateBetween" evalOrder="-1" id="104" name="Order 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97D999-EF6A-4687-971F-A51D6D6F8DF8}"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D3:E7" firstHeaderRow="1" firstDataRow="1" firstDataCol="1"/>
  <pivotFields count="10">
    <pivotField showAll="0"/>
    <pivotField numFmtId="164" showAl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t="default"/>
      </items>
    </pivotField>
    <pivotField showAll="0"/>
    <pivotField showAll="0"/>
    <pivotField showAll="0">
      <items count="3">
        <item x="1"/>
        <item x="0"/>
        <item t="default"/>
      </items>
    </pivotField>
    <pivotField showAll="0"/>
    <pivotField numFmtId="3" showAll="0"/>
    <pivotField dataField="1" numFmtId="3" showAll="0"/>
    <pivotField showAll="0" defaultSubtotal="0"/>
    <pivotField axis="axisRow" showAll="0" defaultSubtotal="0">
      <items count="14">
        <item x="0"/>
        <item x="1"/>
        <item x="2"/>
        <item x="3"/>
        <item x="4"/>
        <item x="5"/>
        <item x="6"/>
        <item x="7"/>
        <item x="8"/>
        <item x="9"/>
        <item x="10"/>
        <item x="11"/>
        <item x="12"/>
        <item x="13"/>
      </items>
    </pivotField>
  </pivotFields>
  <rowFields count="1">
    <field x="9"/>
  </rowFields>
  <rowItems count="4">
    <i>
      <x v="1"/>
    </i>
    <i>
      <x v="2"/>
    </i>
    <i>
      <x v="3"/>
    </i>
    <i t="grand">
      <x/>
    </i>
  </rowItems>
  <colItems count="1">
    <i/>
  </colItems>
  <dataFields count="1">
    <dataField name="Sum of Amount (₹)" fld="7"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dateBetween" evalOrder="-1" id="104" name="Order 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D72891-1D5C-4F0A-85C0-6C6AA5EE1CFD}" name="PivotTable1"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8">
  <location ref="A3:B10" firstHeaderRow="1" firstDataRow="1" firstDataCol="1"/>
  <pivotFields count="10">
    <pivotField showAll="0"/>
    <pivotField numFmtId="164" showAl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t="default"/>
      </items>
    </pivotField>
    <pivotField axis="axisRow" showAll="0">
      <items count="7">
        <item x="5"/>
        <item x="4"/>
        <item x="3"/>
        <item x="2"/>
        <item x="1"/>
        <item x="0"/>
        <item t="default"/>
      </items>
    </pivotField>
    <pivotField showAll="0"/>
    <pivotField showAll="0">
      <items count="3">
        <item x="1"/>
        <item x="0"/>
        <item t="default"/>
      </items>
    </pivotField>
    <pivotField showAll="0"/>
    <pivotField numFmtId="3" showAll="0"/>
    <pivotField dataField="1" numFmtId="3"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7">
    <i>
      <x/>
    </i>
    <i>
      <x v="1"/>
    </i>
    <i>
      <x v="2"/>
    </i>
    <i>
      <x v="3"/>
    </i>
    <i>
      <x v="4"/>
    </i>
    <i>
      <x v="5"/>
    </i>
    <i t="grand">
      <x/>
    </i>
  </rowItems>
  <colItems count="1">
    <i/>
  </colItems>
  <dataFields count="1">
    <dataField name="Sum of Amount (₹)" fld="7" baseField="0" baseItem="0" numFmtId="3"/>
  </dataFields>
  <formats count="1">
    <format dxfId="5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dateBetween" evalOrder="-1" id="116" name="Order 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DD13610-B8EF-4AD0-A681-66050D6D47D4}" sourceName="Category">
  <pivotTables>
    <pivotTable tabId="24" name="PivotTable3"/>
    <pivotTable tabId="24" name="PivotTable1"/>
    <pivotTable tabId="24" name="PivotTable2"/>
  </pivotTables>
  <data>
    <tabular pivotCacheId="89265102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15E659B-A4AD-4DCA-B1F1-4A7B1D61BF07}" cache="Slicer_Category" caption="Category" showCaption="0" rowHeight="234950"/>
</slicer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B94BD317-DEBF-4DFC-AD2B-54FA102CF4A2}" sourceName="Order Date">
  <pivotTables>
    <pivotTable tabId="24" name="PivotTable1"/>
    <pivotTable tabId="24" name="PivotTable2"/>
    <pivotTable tabId="24" name="PivotTable3"/>
  </pivotTables>
  <state minimalRefreshVersion="6" lastRefreshVersion="6" pivotCacheId="892651029" filterType="dateBetween">
    <selection startDate="2026-01-01T00:00:00" endDate="2026-03-31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B59CA1DE-6937-40EF-B4EC-DCB389C26614}" cache="NativeTimeline_Order_Date" caption="Order Date" showHeader="0" showSelectionLabel="0" showTimeLevel="0" level="2" selectionLevel="1" scrollPosition="2026-01-01T00:00:00" style="TimeSlicerStyleDark3"/>
</timeline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image" Target="../media/image1.png"/><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4E78"/>
  </sheetPr>
  <dimension ref="A1:D22"/>
  <sheetViews>
    <sheetView zoomScaleNormal="100" workbookViewId="0">
      <selection activeCell="D12" sqref="D12"/>
    </sheetView>
  </sheetViews>
  <sheetFormatPr defaultColWidth="8.6640625" defaultRowHeight="14.4" x14ac:dyDescent="0.3"/>
  <cols>
    <col min="1" max="1" width="22" customWidth="1"/>
    <col min="2" max="4" width="12" customWidth="1"/>
  </cols>
  <sheetData>
    <row r="1" spans="1:4" ht="17.399999999999999" x14ac:dyDescent="0.3">
      <c r="A1" s="1" t="s">
        <v>0</v>
      </c>
    </row>
    <row r="2" spans="1:4" x14ac:dyDescent="0.3">
      <c r="A2" s="2" t="s">
        <v>1</v>
      </c>
    </row>
    <row r="4" spans="1:4" x14ac:dyDescent="0.3">
      <c r="A4" s="3" t="s">
        <v>2</v>
      </c>
    </row>
    <row r="5" spans="1:4" x14ac:dyDescent="0.3">
      <c r="A5" s="4" t="s">
        <v>3</v>
      </c>
    </row>
    <row r="6" spans="1:4" x14ac:dyDescent="0.3">
      <c r="A6" s="4" t="s">
        <v>4</v>
      </c>
    </row>
    <row r="7" spans="1:4" x14ac:dyDescent="0.3">
      <c r="A7" s="4" t="s">
        <v>5</v>
      </c>
    </row>
    <row r="8" spans="1:4" x14ac:dyDescent="0.3">
      <c r="A8" s="4" t="s">
        <v>6</v>
      </c>
    </row>
    <row r="9" spans="1:4" x14ac:dyDescent="0.3">
      <c r="A9" s="4" t="s">
        <v>7</v>
      </c>
    </row>
    <row r="11" spans="1:4" x14ac:dyDescent="0.3">
      <c r="A11" s="5" t="s">
        <v>8</v>
      </c>
      <c r="B11" s="5" t="s">
        <v>9</v>
      </c>
      <c r="C11" s="5" t="s">
        <v>10</v>
      </c>
      <c r="D11" s="5" t="s">
        <v>11</v>
      </c>
    </row>
    <row r="12" spans="1:4" x14ac:dyDescent="0.3">
      <c r="A12" s="6" t="s">
        <v>12</v>
      </c>
      <c r="B12" s="6">
        <f>COUNTIF('1 Formulas'!E5:E14,"✓*")</f>
        <v>10</v>
      </c>
      <c r="C12" s="6">
        <v>10</v>
      </c>
      <c r="D12" s="7">
        <f t="shared" ref="D12:D20" si="0">B12/C12</f>
        <v>1</v>
      </c>
    </row>
    <row r="13" spans="1:4" x14ac:dyDescent="0.3">
      <c r="A13" s="6" t="s">
        <v>13</v>
      </c>
      <c r="B13" s="6">
        <f>COUNTIF('2 Text'!D5:D14,"✓*")+COUNTIF('2 Text'!G5:G14,"✓*")+COUNTIF('2 Text'!J5:J14,"✓*")+COUNTIF('2 Text'!L5:L14,"✓*")+COUNTIF('2 Text'!N5:N14,"✓*")</f>
        <v>50</v>
      </c>
      <c r="C13" s="6">
        <v>50</v>
      </c>
      <c r="D13" s="7">
        <f t="shared" si="0"/>
        <v>1</v>
      </c>
    </row>
    <row r="14" spans="1:4" x14ac:dyDescent="0.3">
      <c r="A14" s="6" t="s">
        <v>14</v>
      </c>
      <c r="B14" s="6">
        <f>COUNTIF('3 IF Logic'!H5:H24,"✓*")+COUNTIF('3 IF Logic'!J5:J24,"✓*")+COUNTIF('3 IF Logic'!L5:L24,"✓*")+COUNTIF('3 IF Logic'!N5:N24,"✓*")</f>
        <v>80</v>
      </c>
      <c r="C14" s="6">
        <v>80</v>
      </c>
      <c r="D14" s="7">
        <f t="shared" si="0"/>
        <v>1</v>
      </c>
    </row>
    <row r="15" spans="1:4" x14ac:dyDescent="0.3">
      <c r="A15" s="6" t="s">
        <v>15</v>
      </c>
      <c r="B15" s="6">
        <f>COUNTIF('4 Sort Filter CF'!E5:E14,"✓*")</f>
        <v>8</v>
      </c>
      <c r="C15" s="6">
        <v>8</v>
      </c>
      <c r="D15" s="7">
        <f t="shared" si="0"/>
        <v>1</v>
      </c>
    </row>
    <row r="16" spans="1:4" x14ac:dyDescent="0.3">
      <c r="A16" s="6" t="s">
        <v>16</v>
      </c>
      <c r="B16" s="6">
        <f>COUNTIF('5 Lookups'!C6:C11,"✓*")+COUNTIF('5 Lookups'!E6:E11,"✓*")+COUNTIF('5 Lookups'!C15:C20,"✓*")+COUNTIF('5 Lookups'!E15:E20,"✓*")+COUNTIF('5 Lookups'!C24:C29,"✓*")+COUNTIF('5 Lookups'!E24:E29,"✓*")</f>
        <v>36</v>
      </c>
      <c r="C16" s="6">
        <v>36</v>
      </c>
      <c r="D16" s="7">
        <f t="shared" si="0"/>
        <v>1</v>
      </c>
    </row>
    <row r="17" spans="1:4" x14ac:dyDescent="0.3">
      <c r="A17" s="6" t="s">
        <v>17</v>
      </c>
      <c r="B17" s="6">
        <f>COUNTIF('6 SUMIF COUNTIF'!E5:E13,"✓*")</f>
        <v>9</v>
      </c>
      <c r="C17" s="6">
        <v>9</v>
      </c>
      <c r="D17" s="7">
        <f t="shared" si="0"/>
        <v>1</v>
      </c>
    </row>
    <row r="18" spans="1:4" x14ac:dyDescent="0.3">
      <c r="A18" s="6" t="s">
        <v>18</v>
      </c>
      <c r="B18" s="6">
        <f>COUNTIF('7 Dates'!E6:E15,"✓*")+COUNTIF('7 Dates'!G6:G15,"✓*")+COUNTIF('7 Dates'!I6:I15,"✓*")+COUNTIF('7 Dates'!K6:K15,"✓*")+COUNTIF('7 Dates'!M6:M15,"✓*")</f>
        <v>50</v>
      </c>
      <c r="C18" s="6">
        <v>50</v>
      </c>
      <c r="D18" s="7">
        <f t="shared" si="0"/>
        <v>1</v>
      </c>
    </row>
    <row r="19" spans="1:4" x14ac:dyDescent="0.3">
      <c r="A19" s="6" t="s">
        <v>19</v>
      </c>
      <c r="B19" s="6">
        <f>COUNTIF('8 Pivot'!E5:E14,"✓*")</f>
        <v>10</v>
      </c>
      <c r="C19" s="6">
        <v>10</v>
      </c>
      <c r="D19" s="7">
        <f t="shared" si="0"/>
        <v>1</v>
      </c>
    </row>
    <row r="20" spans="1:4" x14ac:dyDescent="0.3">
      <c r="A20" s="8" t="s">
        <v>20</v>
      </c>
      <c r="B20" s="8">
        <f>SUM(B12:B19)</f>
        <v>253</v>
      </c>
      <c r="C20" s="8">
        <f>SUM(C12:C19)</f>
        <v>253</v>
      </c>
      <c r="D20" s="9">
        <f t="shared" si="0"/>
        <v>1</v>
      </c>
    </row>
    <row r="22" spans="1:4" x14ac:dyDescent="0.3">
      <c r="A22" s="10" t="s">
        <v>21</v>
      </c>
    </row>
  </sheetData>
  <conditionalFormatting sqref="D12:D20">
    <cfRule type="dataBar" priority="2">
      <dataBar>
        <cfvo type="num" val="0"/>
        <cfvo type="num" val="1"/>
        <color rgb="FF63BE7B"/>
      </dataBar>
      <extLst>
        <ext xmlns:x14="http://schemas.microsoft.com/office/spreadsheetml/2009/9/main" uri="{B025F937-C7B1-47D3-B67F-A62EFF666E3E}">
          <x14:id>{1EA2A758-9479-46B8-AC9F-487341BBEB1C}</x14:id>
        </ext>
      </extLst>
    </cfRule>
  </conditionalFormatting>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dataBar" id="{1EA2A758-9479-46B8-AC9F-487341BBEB1C}">
            <x14:dataBar axisPosition="none">
              <x14:cfvo type="num">
                <xm:f>0</xm:f>
              </x14:cfvo>
              <x14:cfvo type="num">
                <xm:f>1</xm:f>
              </x14:cfvo>
              <x14:negativeFillColor rgb="FF63BE7B"/>
            </x14:dataBar>
          </x14:cfRule>
          <xm:sqref>D12:D20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21"/>
  <sheetViews>
    <sheetView zoomScaleNormal="100" workbookViewId="0">
      <pane ySplit="4" topLeftCell="A5" activePane="bottomLeft" state="frozen"/>
      <selection pane="bottomLeft" activeCell="D16" sqref="D16:D17"/>
    </sheetView>
  </sheetViews>
  <sheetFormatPr defaultColWidth="8.6640625" defaultRowHeight="14.4" x14ac:dyDescent="0.3"/>
  <cols>
    <col min="1" max="1" width="4" customWidth="1"/>
    <col min="2" max="2" width="60.21875" customWidth="1"/>
    <col min="3" max="3" width="34" customWidth="1"/>
    <col min="4" max="4" width="18" customWidth="1"/>
    <col min="5" max="5" width="14" customWidth="1"/>
    <col min="7" max="7" width="6.6640625" bestFit="1" customWidth="1"/>
    <col min="8" max="8" width="15.21875" bestFit="1" customWidth="1"/>
    <col min="9" max="9" width="9.77734375" bestFit="1" customWidth="1"/>
    <col min="10" max="10" width="10.6640625" bestFit="1" customWidth="1"/>
    <col min="11" max="11" width="11.109375" bestFit="1" customWidth="1"/>
    <col min="12" max="12" width="11.77734375" bestFit="1" customWidth="1"/>
    <col min="13" max="13" width="8.109375" bestFit="1" customWidth="1"/>
    <col min="14" max="14" width="6.6640625" bestFit="1" customWidth="1"/>
  </cols>
  <sheetData>
    <row r="1" spans="1:14" ht="39.6" x14ac:dyDescent="0.3">
      <c r="A1" s="1" t="s">
        <v>22</v>
      </c>
      <c r="G1" s="5" t="s">
        <v>91</v>
      </c>
      <c r="H1" s="5" t="s">
        <v>92</v>
      </c>
      <c r="I1" s="5" t="s">
        <v>174</v>
      </c>
      <c r="J1" s="5" t="s">
        <v>172</v>
      </c>
      <c r="K1" s="5" t="s">
        <v>243</v>
      </c>
      <c r="L1" s="5" t="s">
        <v>201</v>
      </c>
      <c r="M1" s="5" t="s">
        <v>244</v>
      </c>
      <c r="N1" s="5" t="s">
        <v>245</v>
      </c>
    </row>
    <row r="2" spans="1:14" x14ac:dyDescent="0.3">
      <c r="A2" s="2" t="s">
        <v>23</v>
      </c>
      <c r="G2" s="6" t="s">
        <v>101</v>
      </c>
      <c r="H2" s="6" t="s">
        <v>102</v>
      </c>
      <c r="I2" s="6" t="s">
        <v>103</v>
      </c>
      <c r="J2" s="6" t="s">
        <v>246</v>
      </c>
      <c r="K2" s="6" t="s">
        <v>247</v>
      </c>
      <c r="L2" s="26">
        <v>44262</v>
      </c>
      <c r="M2" s="27">
        <v>69000</v>
      </c>
      <c r="N2" s="6">
        <v>4</v>
      </c>
    </row>
    <row r="3" spans="1:14" x14ac:dyDescent="0.3">
      <c r="G3" s="6" t="s">
        <v>104</v>
      </c>
      <c r="H3" s="6" t="s">
        <v>105</v>
      </c>
      <c r="I3" s="6" t="s">
        <v>106</v>
      </c>
      <c r="J3" s="6" t="s">
        <v>248</v>
      </c>
      <c r="K3" s="6" t="s">
        <v>249</v>
      </c>
      <c r="L3" s="26">
        <v>42247</v>
      </c>
      <c r="M3" s="27">
        <v>47000</v>
      </c>
      <c r="N3" s="6">
        <v>5</v>
      </c>
    </row>
    <row r="4" spans="1:14" x14ac:dyDescent="0.3">
      <c r="A4" s="5" t="s">
        <v>24</v>
      </c>
      <c r="B4" s="5" t="s">
        <v>25</v>
      </c>
      <c r="C4" s="5" t="s">
        <v>26</v>
      </c>
      <c r="D4" s="5" t="s">
        <v>27</v>
      </c>
      <c r="E4" s="5" t="s">
        <v>28</v>
      </c>
      <c r="G4" s="6" t="s">
        <v>107</v>
      </c>
      <c r="H4" s="6" t="s">
        <v>108</v>
      </c>
      <c r="I4" s="6" t="s">
        <v>109</v>
      </c>
      <c r="J4" s="6" t="s">
        <v>250</v>
      </c>
      <c r="K4" s="6" t="s">
        <v>250</v>
      </c>
      <c r="L4" s="26">
        <v>42512</v>
      </c>
      <c r="M4" s="27">
        <v>78500</v>
      </c>
      <c r="N4" s="6">
        <v>2</v>
      </c>
    </row>
    <row r="5" spans="1:14" x14ac:dyDescent="0.3">
      <c r="A5" s="11">
        <v>1</v>
      </c>
      <c r="B5" s="11" t="s">
        <v>29</v>
      </c>
      <c r="C5" s="11" t="s">
        <v>30</v>
      </c>
      <c r="D5" s="12">
        <f>SUM(M:M)</f>
        <v>1222000</v>
      </c>
      <c r="E5" s="11" t="str">
        <f>IFERROR(IF(D5="","",IF(ABS(D5-k_1!D5)&lt;=IF(ABS(k_1!D5)&lt;1,0.001,0.01),"✓ Correct","✗ Try again")),"✗ Try again")</f>
        <v>✓ Correct</v>
      </c>
      <c r="G5" s="6" t="s">
        <v>110</v>
      </c>
      <c r="H5" s="6" t="s">
        <v>111</v>
      </c>
      <c r="I5" s="6" t="s">
        <v>112</v>
      </c>
      <c r="J5" s="6" t="s">
        <v>251</v>
      </c>
      <c r="K5" s="6" t="s">
        <v>247</v>
      </c>
      <c r="L5" s="26">
        <v>44588</v>
      </c>
      <c r="M5" s="27">
        <v>111000</v>
      </c>
      <c r="N5" s="6">
        <v>5</v>
      </c>
    </row>
    <row r="6" spans="1:14" x14ac:dyDescent="0.3">
      <c r="A6" s="11">
        <v>2</v>
      </c>
      <c r="B6" s="11" t="s">
        <v>31</v>
      </c>
      <c r="C6" s="11" t="s">
        <v>32</v>
      </c>
      <c r="D6" s="12">
        <f>AVERAGE(M:M)</f>
        <v>61100</v>
      </c>
      <c r="E6" s="11" t="str">
        <f>IFERROR(IF(D6="","",IF(ABS(D6-k_1!D6)&lt;=IF(ABS(k_1!D6)&lt;1,0.001,0.01),"✓ Correct","✗ Try again")),"✗ Try again")</f>
        <v>✓ Correct</v>
      </c>
      <c r="G6" s="6" t="s">
        <v>113</v>
      </c>
      <c r="H6" s="6" t="s">
        <v>114</v>
      </c>
      <c r="I6" s="6" t="s">
        <v>103</v>
      </c>
      <c r="J6" s="6" t="s">
        <v>252</v>
      </c>
      <c r="K6" s="6" t="s">
        <v>253</v>
      </c>
      <c r="L6" s="26">
        <v>45886</v>
      </c>
      <c r="M6" s="27">
        <v>34000</v>
      </c>
      <c r="N6" s="6">
        <v>1</v>
      </c>
    </row>
    <row r="7" spans="1:14" x14ac:dyDescent="0.3">
      <c r="A7" s="11">
        <v>3</v>
      </c>
      <c r="B7" s="11" t="s">
        <v>33</v>
      </c>
      <c r="C7" s="11" t="s">
        <v>34</v>
      </c>
      <c r="D7" s="12">
        <f>MAX(M:M)</f>
        <v>111000</v>
      </c>
      <c r="E7" s="11" t="str">
        <f>IFERROR(IF(D7="","",IF(ABS(D7-k_1!D7)&lt;=IF(ABS(k_1!D7)&lt;1,0.001,0.01),"✓ Correct","✗ Try again")),"✗ Try again")</f>
        <v>✓ Correct</v>
      </c>
      <c r="G7" s="6" t="s">
        <v>115</v>
      </c>
      <c r="H7" s="6" t="s">
        <v>116</v>
      </c>
      <c r="I7" s="6" t="s">
        <v>117</v>
      </c>
      <c r="J7" s="6" t="s">
        <v>254</v>
      </c>
      <c r="K7" s="6" t="s">
        <v>255</v>
      </c>
      <c r="L7" s="26">
        <v>44368</v>
      </c>
      <c r="M7" s="27">
        <v>37000</v>
      </c>
      <c r="N7" s="6"/>
    </row>
    <row r="8" spans="1:14" x14ac:dyDescent="0.3">
      <c r="A8" s="11">
        <v>4</v>
      </c>
      <c r="B8" s="11" t="s">
        <v>35</v>
      </c>
      <c r="C8" s="11" t="s">
        <v>36</v>
      </c>
      <c r="D8" s="12">
        <f>MIN(M:M)</f>
        <v>32500</v>
      </c>
      <c r="E8" s="11" t="str">
        <f>IFERROR(IF(D8="","",IF(ABS(D8-k_1!D8)&lt;=IF(ABS(k_1!D8)&lt;1,0.001,0.01),"✓ Correct","✗ Try again")),"✗ Try again")</f>
        <v>✓ Correct</v>
      </c>
      <c r="G8" s="6" t="s">
        <v>118</v>
      </c>
      <c r="H8" s="6" t="s">
        <v>119</v>
      </c>
      <c r="I8" s="6" t="s">
        <v>103</v>
      </c>
      <c r="J8" s="6" t="s">
        <v>246</v>
      </c>
      <c r="K8" s="6" t="s">
        <v>247</v>
      </c>
      <c r="L8" s="26">
        <v>43629</v>
      </c>
      <c r="M8" s="27">
        <v>75000</v>
      </c>
      <c r="N8" s="6">
        <v>1</v>
      </c>
    </row>
    <row r="9" spans="1:14" x14ac:dyDescent="0.3">
      <c r="A9" s="11">
        <v>5</v>
      </c>
      <c r="B9" s="11" t="s">
        <v>37</v>
      </c>
      <c r="C9" s="11" t="s">
        <v>38</v>
      </c>
      <c r="D9" s="12">
        <f>COUNTA(G2:G21)</f>
        <v>20</v>
      </c>
      <c r="E9" s="11" t="str">
        <f>IFERROR(IF(D9="","",IF(ABS(D9-k_1!D9)&lt;=IF(ABS(k_1!D9)&lt;1,0.001,0.01),"✓ Correct","✗ Try again")),"✗ Try again")</f>
        <v>✓ Correct</v>
      </c>
      <c r="G9" s="6" t="s">
        <v>120</v>
      </c>
      <c r="H9" s="6" t="s">
        <v>121</v>
      </c>
      <c r="I9" s="6" t="s">
        <v>106</v>
      </c>
      <c r="J9" s="6" t="s">
        <v>248</v>
      </c>
      <c r="K9" s="6" t="s">
        <v>249</v>
      </c>
      <c r="L9" s="26">
        <v>42910</v>
      </c>
      <c r="M9" s="27">
        <v>40000</v>
      </c>
      <c r="N9" s="6">
        <v>1</v>
      </c>
    </row>
    <row r="10" spans="1:14" x14ac:dyDescent="0.3">
      <c r="A10" s="11">
        <v>6</v>
      </c>
      <c r="B10" s="11" t="s">
        <v>39</v>
      </c>
      <c r="C10" s="11" t="s">
        <v>40</v>
      </c>
      <c r="D10" s="12">
        <f>COUNT(N:N)</f>
        <v>18</v>
      </c>
      <c r="E10" s="11" t="str">
        <f>IFERROR(IF(D10="","",IF(ABS(D10-k_1!D10)&lt;=IF(ABS(k_1!D10)&lt;1,0.001,0.01),"✓ Correct","✗ Try again")),"✗ Try again")</f>
        <v>✓ Correct</v>
      </c>
      <c r="G10" s="6" t="s">
        <v>122</v>
      </c>
      <c r="H10" s="6" t="s">
        <v>123</v>
      </c>
      <c r="I10" s="6" t="s">
        <v>112</v>
      </c>
      <c r="J10" s="6" t="s">
        <v>251</v>
      </c>
      <c r="K10" s="6" t="s">
        <v>247</v>
      </c>
      <c r="L10" s="26">
        <v>44285</v>
      </c>
      <c r="M10" s="27">
        <v>74500</v>
      </c>
      <c r="N10" s="6">
        <v>2</v>
      </c>
    </row>
    <row r="11" spans="1:14" x14ac:dyDescent="0.3">
      <c r="A11" s="11">
        <v>7</v>
      </c>
      <c r="B11" s="11" t="s">
        <v>41</v>
      </c>
      <c r="C11" s="11" t="s">
        <v>42</v>
      </c>
      <c r="D11" s="12">
        <f>AVERAGE(N:N)</f>
        <v>2.8888888888888888</v>
      </c>
      <c r="E11" s="11" t="str">
        <f>IFERROR(IF(D11="","",IF(ABS(D11-k_1!D11)&lt;=IF(ABS(k_1!D11)&lt;1,0.001,0.01),"✓ Correct","✗ Try again")),"✗ Try again")</f>
        <v>✓ Correct</v>
      </c>
      <c r="G11" s="6" t="s">
        <v>124</v>
      </c>
      <c r="H11" s="6" t="s">
        <v>125</v>
      </c>
      <c r="I11" s="6" t="s">
        <v>109</v>
      </c>
      <c r="J11" s="6" t="s">
        <v>250</v>
      </c>
      <c r="K11" s="6" t="s">
        <v>250</v>
      </c>
      <c r="L11" s="26">
        <v>43191</v>
      </c>
      <c r="M11" s="27">
        <v>102500</v>
      </c>
      <c r="N11" s="6">
        <v>4</v>
      </c>
    </row>
    <row r="12" spans="1:14" x14ac:dyDescent="0.3">
      <c r="A12" s="11">
        <v>8</v>
      </c>
      <c r="B12" s="11" t="s">
        <v>43</v>
      </c>
      <c r="C12" s="11" t="s">
        <v>44</v>
      </c>
      <c r="D12" s="28">
        <f>SUM(M2:M11)</f>
        <v>668500</v>
      </c>
      <c r="E12" s="11" t="str">
        <f>IFERROR(IF(D12="","",IF(ABS(D12-k_1!D12)&lt;=IF(ABS(k_1!D12)&lt;1,0.001,0.01),"✓ Correct","✗ Try again")),"✗ Try again")</f>
        <v>✓ Correct</v>
      </c>
      <c r="G12" s="6" t="s">
        <v>126</v>
      </c>
      <c r="H12" s="6" t="s">
        <v>127</v>
      </c>
      <c r="I12" s="6" t="s">
        <v>106</v>
      </c>
      <c r="J12" s="6" t="s">
        <v>246</v>
      </c>
      <c r="K12" s="6" t="s">
        <v>247</v>
      </c>
      <c r="L12" s="26">
        <v>42595</v>
      </c>
      <c r="M12" s="27">
        <v>35000</v>
      </c>
      <c r="N12" s="6">
        <v>5</v>
      </c>
    </row>
    <row r="13" spans="1:14" x14ac:dyDescent="0.3">
      <c r="A13" s="11">
        <v>9</v>
      </c>
      <c r="B13" s="11" t="s">
        <v>45</v>
      </c>
      <c r="C13" s="11" t="s">
        <v>46</v>
      </c>
      <c r="D13" s="12">
        <f>M6*1.1</f>
        <v>37400</v>
      </c>
      <c r="E13" s="11" t="str">
        <f>IFERROR(IF(D13="","",IF(ABS(D13-k_1!D13)&lt;=IF(ABS(k_1!D13)&lt;1,0.001,0.01),"✓ Correct","✗ Try again")),"✗ Try again")</f>
        <v>✓ Correct</v>
      </c>
      <c r="G13" s="6" t="s">
        <v>128</v>
      </c>
      <c r="H13" s="6" t="s">
        <v>129</v>
      </c>
      <c r="I13" s="6" t="s">
        <v>103</v>
      </c>
      <c r="J13" s="6" t="s">
        <v>254</v>
      </c>
      <c r="K13" s="6" t="s">
        <v>255</v>
      </c>
      <c r="L13" s="26">
        <v>42487</v>
      </c>
      <c r="M13" s="27">
        <v>92500</v>
      </c>
      <c r="N13" s="6">
        <v>5</v>
      </c>
    </row>
    <row r="14" spans="1:14" x14ac:dyDescent="0.3">
      <c r="A14" s="11">
        <v>10</v>
      </c>
      <c r="B14" s="11" t="s">
        <v>47</v>
      </c>
      <c r="C14" s="11" t="s">
        <v>48</v>
      </c>
      <c r="D14" s="12">
        <f>SUM(M:M)*12</f>
        <v>14664000</v>
      </c>
      <c r="E14" s="11" t="str">
        <f>IFERROR(IF(D14="","",IF(ABS(D14-k_1!D14)&lt;=IF(ABS(k_1!D14)&lt;1,0.001,0.01),"✓ Correct","✗ Try again")),"✗ Try again")</f>
        <v>✓ Correct</v>
      </c>
      <c r="G14" s="6" t="s">
        <v>130</v>
      </c>
      <c r="H14" s="6" t="s">
        <v>131</v>
      </c>
      <c r="I14" s="6" t="s">
        <v>117</v>
      </c>
      <c r="J14" s="6" t="s">
        <v>248</v>
      </c>
      <c r="K14" s="6" t="s">
        <v>249</v>
      </c>
      <c r="L14" s="26">
        <v>43268</v>
      </c>
      <c r="M14" s="27">
        <v>55000</v>
      </c>
      <c r="N14" s="6">
        <v>5</v>
      </c>
    </row>
    <row r="15" spans="1:14" x14ac:dyDescent="0.3">
      <c r="G15" s="6" t="s">
        <v>132</v>
      </c>
      <c r="H15" s="6" t="s">
        <v>133</v>
      </c>
      <c r="I15" s="6" t="s">
        <v>112</v>
      </c>
      <c r="J15" s="6" t="s">
        <v>252</v>
      </c>
      <c r="K15" s="6" t="s">
        <v>253</v>
      </c>
      <c r="L15" s="26">
        <v>45347</v>
      </c>
      <c r="M15" s="27">
        <v>32500</v>
      </c>
      <c r="N15" s="6"/>
    </row>
    <row r="16" spans="1:14" x14ac:dyDescent="0.3">
      <c r="D16" s="11"/>
      <c r="G16" s="6" t="s">
        <v>134</v>
      </c>
      <c r="H16" s="6" t="s">
        <v>135</v>
      </c>
      <c r="I16" s="6" t="s">
        <v>103</v>
      </c>
      <c r="J16" s="6" t="s">
        <v>246</v>
      </c>
      <c r="K16" s="6" t="s">
        <v>247</v>
      </c>
      <c r="L16" s="26">
        <v>42427</v>
      </c>
      <c r="M16" s="27">
        <v>39000</v>
      </c>
      <c r="N16" s="6">
        <v>5</v>
      </c>
    </row>
    <row r="17" spans="7:14" x14ac:dyDescent="0.3">
      <c r="G17" s="6" t="s">
        <v>136</v>
      </c>
      <c r="H17" s="6" t="s">
        <v>137</v>
      </c>
      <c r="I17" s="6" t="s">
        <v>106</v>
      </c>
      <c r="J17" s="6" t="s">
        <v>250</v>
      </c>
      <c r="K17" s="6" t="s">
        <v>250</v>
      </c>
      <c r="L17" s="26">
        <v>44344</v>
      </c>
      <c r="M17" s="27">
        <v>83500</v>
      </c>
      <c r="N17" s="6">
        <v>2</v>
      </c>
    </row>
    <row r="18" spans="7:14" x14ac:dyDescent="0.3">
      <c r="G18" s="6" t="s">
        <v>138</v>
      </c>
      <c r="H18" s="6" t="s">
        <v>139</v>
      </c>
      <c r="I18" s="6" t="s">
        <v>109</v>
      </c>
      <c r="J18" s="6" t="s">
        <v>248</v>
      </c>
      <c r="K18" s="6" t="s">
        <v>249</v>
      </c>
      <c r="L18" s="26">
        <v>43530</v>
      </c>
      <c r="M18" s="27">
        <v>81500</v>
      </c>
      <c r="N18" s="6">
        <v>1</v>
      </c>
    </row>
    <row r="19" spans="7:14" x14ac:dyDescent="0.3">
      <c r="G19" s="6" t="s">
        <v>140</v>
      </c>
      <c r="H19" s="6" t="s">
        <v>141</v>
      </c>
      <c r="I19" s="6" t="s">
        <v>117</v>
      </c>
      <c r="J19" s="6" t="s">
        <v>254</v>
      </c>
      <c r="K19" s="6" t="s">
        <v>255</v>
      </c>
      <c r="L19" s="26">
        <v>44248</v>
      </c>
      <c r="M19" s="27">
        <v>36500</v>
      </c>
      <c r="N19" s="6">
        <v>1</v>
      </c>
    </row>
    <row r="20" spans="7:14" x14ac:dyDescent="0.3">
      <c r="G20" s="6" t="s">
        <v>142</v>
      </c>
      <c r="H20" s="6" t="s">
        <v>143</v>
      </c>
      <c r="I20" s="6" t="s">
        <v>103</v>
      </c>
      <c r="J20" s="6" t="s">
        <v>246</v>
      </c>
      <c r="K20" s="6" t="s">
        <v>247</v>
      </c>
      <c r="L20" s="26">
        <v>44316</v>
      </c>
      <c r="M20" s="27">
        <v>58500</v>
      </c>
      <c r="N20" s="6">
        <v>1</v>
      </c>
    </row>
    <row r="21" spans="7:14" x14ac:dyDescent="0.3">
      <c r="G21" s="6" t="s">
        <v>144</v>
      </c>
      <c r="H21" s="6" t="s">
        <v>145</v>
      </c>
      <c r="I21" s="6" t="s">
        <v>106</v>
      </c>
      <c r="J21" s="6" t="s">
        <v>251</v>
      </c>
      <c r="K21" s="6" t="s">
        <v>247</v>
      </c>
      <c r="L21" s="26">
        <v>44540</v>
      </c>
      <c r="M21" s="27">
        <v>39500</v>
      </c>
      <c r="N21" s="6">
        <v>2</v>
      </c>
    </row>
  </sheetData>
  <conditionalFormatting sqref="E5:E14">
    <cfRule type="expression" dxfId="54" priority="2">
      <formula>LEFT(E5,1)="✓"</formula>
    </cfRule>
    <cfRule type="expression" dxfId="53" priority="3">
      <formula>LEFT(E5,1)="✗"</formula>
    </cfRule>
  </conditionalFormatting>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14"/>
  <sheetViews>
    <sheetView zoomScaleNormal="100" workbookViewId="0">
      <pane xSplit="2" ySplit="4" topLeftCell="C5" activePane="bottomRight" state="frozen"/>
      <selection pane="topRight" activeCell="C1" sqref="C1"/>
      <selection pane="bottomLeft" activeCell="A5" sqref="A5"/>
      <selection pane="bottomRight" activeCell="M5" sqref="M5:M14"/>
    </sheetView>
  </sheetViews>
  <sheetFormatPr defaultColWidth="8.6640625" defaultRowHeight="14.4" x14ac:dyDescent="0.3"/>
  <cols>
    <col min="1" max="1" width="4" customWidth="1"/>
    <col min="2" max="2" width="24" customWidth="1"/>
    <col min="3" max="3" width="20" customWidth="1"/>
    <col min="4" max="4" width="12" customWidth="1"/>
    <col min="5" max="5" width="14" customWidth="1"/>
    <col min="6" max="6" width="18" customWidth="1"/>
    <col min="7" max="7" width="12" customWidth="1"/>
    <col min="8" max="8" width="15" customWidth="1"/>
    <col min="9" max="9" width="13" customWidth="1"/>
    <col min="10" max="12" width="12" customWidth="1"/>
    <col min="13" max="13" width="14" customWidth="1"/>
    <col min="14" max="14" width="12" customWidth="1"/>
  </cols>
  <sheetData>
    <row r="1" spans="1:14" ht="17.399999999999999" x14ac:dyDescent="0.3">
      <c r="A1" s="1" t="s">
        <v>49</v>
      </c>
    </row>
    <row r="2" spans="1:14" x14ac:dyDescent="0.3">
      <c r="A2" s="2" t="s">
        <v>50</v>
      </c>
    </row>
    <row r="4" spans="1:14" ht="42" customHeight="1" x14ac:dyDescent="0.3">
      <c r="A4" s="5" t="s">
        <v>24</v>
      </c>
      <c r="B4" s="5" t="s">
        <v>51</v>
      </c>
      <c r="C4" s="5" t="s">
        <v>52</v>
      </c>
      <c r="D4" s="5" t="s">
        <v>28</v>
      </c>
      <c r="E4" s="5" t="s">
        <v>53</v>
      </c>
      <c r="F4" s="5" t="s">
        <v>54</v>
      </c>
      <c r="G4" s="5" t="s">
        <v>28</v>
      </c>
      <c r="H4" s="5" t="s">
        <v>55</v>
      </c>
      <c r="I4" s="5" t="s">
        <v>56</v>
      </c>
      <c r="J4" s="5" t="s">
        <v>28</v>
      </c>
      <c r="K4" s="5" t="s">
        <v>57</v>
      </c>
      <c r="L4" s="5" t="s">
        <v>28</v>
      </c>
      <c r="M4" s="5" t="s">
        <v>58</v>
      </c>
      <c r="N4" s="5" t="s">
        <v>28</v>
      </c>
    </row>
    <row r="5" spans="1:14" x14ac:dyDescent="0.3">
      <c r="A5" s="6">
        <v>1</v>
      </c>
      <c r="B5" s="13" t="s">
        <v>59</v>
      </c>
      <c r="C5" s="14" t="str">
        <f>TRIM(PROPER(B5))</f>
        <v>Rahul Sharma</v>
      </c>
      <c r="D5" s="6" t="str">
        <f>IFERROR(IF(C5="","",IF(EXACT(C5&amp;"",k_2!C5&amp;""),"✓ Correct","✗ Try again")),"✗ Try again")</f>
        <v>✓ Correct</v>
      </c>
      <c r="E5" s="13" t="s">
        <v>60</v>
      </c>
      <c r="F5" s="14" t="str">
        <f>SUBSTITUTE(E5,"-","")</f>
        <v>8315221130</v>
      </c>
      <c r="G5" s="6" t="str">
        <f>IFERROR(IF(F5="","",IF(EXACT(F5&amp;"",k_2!F5&amp;""),"✓ Correct","✗ Try again")),"✗ Try again")</f>
        <v>✓ Correct</v>
      </c>
      <c r="H5" s="13" t="s">
        <v>61</v>
      </c>
      <c r="I5" s="14" t="str">
        <f>LEFT(H5,3)</f>
        <v>AHM</v>
      </c>
      <c r="J5" s="6" t="str">
        <f>IFERROR(IF(I5="","",IF(EXACT(I5&amp;"",k_2!I5&amp;""),"✓ Correct","✗ Try again")),"✗ Try again")</f>
        <v>✓ Correct</v>
      </c>
      <c r="K5" s="14" t="str">
        <f>MID(H5,5,4)</f>
        <v>2022</v>
      </c>
      <c r="L5" s="6" t="str">
        <f>IFERROR(IF(K5="","",IF(EXACT(K5&amp;"",k_2!K5&amp;""),"✓ Correct","✗ Try again")),"✗ Try again")</f>
        <v>✓ Correct</v>
      </c>
      <c r="M5" s="14">
        <f>LEN(B5)</f>
        <v>13</v>
      </c>
      <c r="N5" s="6" t="str">
        <f>IFERROR(IF(M5="","",IF(ABS(M5-k_2!M5)&lt;=IF(ABS(k_2!M5)&lt;1,0.001,0.01),"✓ Correct","✗ Try again")),"✗ Try again")</f>
        <v>✓ Correct</v>
      </c>
    </row>
    <row r="6" spans="1:14" x14ac:dyDescent="0.3">
      <c r="A6" s="6">
        <v>2</v>
      </c>
      <c r="B6" s="13" t="s">
        <v>62</v>
      </c>
      <c r="C6" s="14" t="str">
        <f t="shared" ref="C6:C14" si="0">TRIM(PROPER(B6))</f>
        <v>Priya Patel</v>
      </c>
      <c r="D6" s="6" t="str">
        <f>IFERROR(IF(C6="","",IF(EXACT(C6&amp;"",k_2!C6&amp;""),"✓ Correct","✗ Try again")),"✗ Try again")</f>
        <v>✓ Correct</v>
      </c>
      <c r="E6" s="13" t="s">
        <v>63</v>
      </c>
      <c r="F6" s="14" t="str">
        <f t="shared" ref="F6:F14" si="1">SUBSTITUTE(E6,"-","")</f>
        <v>7090229811</v>
      </c>
      <c r="G6" s="6" t="str">
        <f>IFERROR(IF(F6="","",IF(EXACT(F6&amp;"",k_2!F6&amp;""),"✓ Correct","✗ Try again")),"✗ Try again")</f>
        <v>✓ Correct</v>
      </c>
      <c r="H6" s="13" t="s">
        <v>64</v>
      </c>
      <c r="I6" s="14" t="str">
        <f t="shared" ref="I6:I14" si="2">LEFT(H6,3)</f>
        <v>CHN</v>
      </c>
      <c r="J6" s="6" t="str">
        <f>IFERROR(IF(I6="","",IF(EXACT(I6&amp;"",k_2!I6&amp;""),"✓ Correct","✗ Try again")),"✗ Try again")</f>
        <v>✓ Correct</v>
      </c>
      <c r="K6" s="14" t="str">
        <f t="shared" ref="K6:K14" si="3">MID(H6,5,4)</f>
        <v>2024</v>
      </c>
      <c r="L6" s="6" t="str">
        <f>IFERROR(IF(K6="","",IF(EXACT(K6&amp;"",k_2!K6&amp;""),"✓ Correct","✗ Try again")),"✗ Try again")</f>
        <v>✓ Correct</v>
      </c>
      <c r="M6" s="14">
        <f t="shared" ref="M6:M14" si="4">LEN(B6)</f>
        <v>13</v>
      </c>
      <c r="N6" s="6" t="str">
        <f>IFERROR(IF(M6="","",IF(ABS(M6-k_2!M6)&lt;=IF(ABS(k_2!M6)&lt;1,0.001,0.01),"✓ Correct","✗ Try again")),"✗ Try again")</f>
        <v>✓ Correct</v>
      </c>
    </row>
    <row r="7" spans="1:14" x14ac:dyDescent="0.3">
      <c r="A7" s="6">
        <v>3</v>
      </c>
      <c r="B7" s="13" t="s">
        <v>65</v>
      </c>
      <c r="C7" s="14" t="str">
        <f t="shared" si="0"/>
        <v>Amit Verma</v>
      </c>
      <c r="D7" s="6" t="str">
        <f>IFERROR(IF(C7="","",IF(EXACT(C7&amp;"",k_2!C7&amp;""),"✓ Correct","✗ Try again")),"✗ Try again")</f>
        <v>✓ Correct</v>
      </c>
      <c r="E7" s="13" t="s">
        <v>66</v>
      </c>
      <c r="F7" s="14" t="str">
        <f t="shared" si="1"/>
        <v>9708388101</v>
      </c>
      <c r="G7" s="6" t="str">
        <f>IFERROR(IF(F7="","",IF(EXACT(F7&amp;"",k_2!F7&amp;""),"✓ Correct","✗ Try again")),"✗ Try again")</f>
        <v>✓ Correct</v>
      </c>
      <c r="H7" s="13" t="s">
        <v>67</v>
      </c>
      <c r="I7" s="14" t="str">
        <f t="shared" si="2"/>
        <v>PUN</v>
      </c>
      <c r="J7" s="6" t="str">
        <f>IFERROR(IF(I7="","",IF(EXACT(I7&amp;"",k_2!I7&amp;""),"✓ Correct","✗ Try again")),"✗ Try again")</f>
        <v>✓ Correct</v>
      </c>
      <c r="K7" s="14" t="str">
        <f t="shared" si="3"/>
        <v>2023</v>
      </c>
      <c r="L7" s="6" t="str">
        <f>IFERROR(IF(K7="","",IF(EXACT(K7&amp;"",k_2!K7&amp;""),"✓ Correct","✗ Try again")),"✗ Try again")</f>
        <v>✓ Correct</v>
      </c>
      <c r="M7" s="14">
        <f t="shared" si="4"/>
        <v>10</v>
      </c>
      <c r="N7" s="6" t="str">
        <f>IFERROR(IF(M7="","",IF(ABS(M7-k_2!M7)&lt;=IF(ABS(k_2!M7)&lt;1,0.001,0.01),"✓ Correct","✗ Try again")),"✗ Try again")</f>
        <v>✓ Correct</v>
      </c>
    </row>
    <row r="8" spans="1:14" x14ac:dyDescent="0.3">
      <c r="A8" s="6">
        <v>4</v>
      </c>
      <c r="B8" s="13" t="s">
        <v>68</v>
      </c>
      <c r="C8" s="14" t="str">
        <f t="shared" si="0"/>
        <v>Sneha Iyer</v>
      </c>
      <c r="D8" s="6" t="str">
        <f>IFERROR(IF(C8="","",IF(EXACT(C8&amp;"",k_2!C8&amp;""),"✓ Correct","✗ Try again")),"✗ Try again")</f>
        <v>✓ Correct</v>
      </c>
      <c r="E8" s="13" t="s">
        <v>69</v>
      </c>
      <c r="F8" s="14" t="str">
        <f t="shared" si="1"/>
        <v>8796627168</v>
      </c>
      <c r="G8" s="6" t="str">
        <f>IFERROR(IF(F8="","",IF(EXACT(F8&amp;"",k_2!F8&amp;""),"✓ Correct","✗ Try again")),"✗ Try again")</f>
        <v>✓ Correct</v>
      </c>
      <c r="H8" s="13" t="s">
        <v>70</v>
      </c>
      <c r="I8" s="14" t="str">
        <f t="shared" si="2"/>
        <v>MUM</v>
      </c>
      <c r="J8" s="6" t="str">
        <f>IFERROR(IF(I8="","",IF(EXACT(I8&amp;"",k_2!I8&amp;""),"✓ Correct","✗ Try again")),"✗ Try again")</f>
        <v>✓ Correct</v>
      </c>
      <c r="K8" s="14" t="str">
        <f t="shared" si="3"/>
        <v>2021</v>
      </c>
      <c r="L8" s="6" t="str">
        <f>IFERROR(IF(K8="","",IF(EXACT(K8&amp;"",k_2!K8&amp;""),"✓ Correct","✗ Try again")),"✗ Try again")</f>
        <v>✓ Correct</v>
      </c>
      <c r="M8" s="14">
        <f t="shared" si="4"/>
        <v>10</v>
      </c>
      <c r="N8" s="6" t="str">
        <f>IFERROR(IF(M8="","",IF(ABS(M8-k_2!M8)&lt;=IF(ABS(k_2!M8)&lt;1,0.001,0.01),"✓ Correct","✗ Try again")),"✗ Try again")</f>
        <v>✓ Correct</v>
      </c>
    </row>
    <row r="9" spans="1:14" x14ac:dyDescent="0.3">
      <c r="A9" s="6">
        <v>5</v>
      </c>
      <c r="B9" s="13" t="s">
        <v>71</v>
      </c>
      <c r="C9" s="14" t="str">
        <f t="shared" si="0"/>
        <v>Vikram Singh</v>
      </c>
      <c r="D9" s="6" t="str">
        <f>IFERROR(IF(C9="","",IF(EXACT(C9&amp;"",k_2!C9&amp;""),"✓ Correct","✗ Try again")),"✗ Try again")</f>
        <v>✓ Correct</v>
      </c>
      <c r="E9" s="13" t="s">
        <v>72</v>
      </c>
      <c r="F9" s="14" t="str">
        <f t="shared" si="1"/>
        <v>9455928251</v>
      </c>
      <c r="G9" s="6" t="str">
        <f>IFERROR(IF(F9="","",IF(EXACT(F9&amp;"",k_2!F9&amp;""),"✓ Correct","✗ Try again")),"✗ Try again")</f>
        <v>✓ Correct</v>
      </c>
      <c r="H9" s="13" t="s">
        <v>73</v>
      </c>
      <c r="I9" s="14" t="str">
        <f t="shared" si="2"/>
        <v>PUN</v>
      </c>
      <c r="J9" s="6" t="str">
        <f>IFERROR(IF(I9="","",IF(EXACT(I9&amp;"",k_2!I9&amp;""),"✓ Correct","✗ Try again")),"✗ Try again")</f>
        <v>✓ Correct</v>
      </c>
      <c r="K9" s="14" t="str">
        <f t="shared" si="3"/>
        <v>2022</v>
      </c>
      <c r="L9" s="6" t="str">
        <f>IFERROR(IF(K9="","",IF(EXACT(K9&amp;"",k_2!K9&amp;""),"✓ Correct","✗ Try again")),"✗ Try again")</f>
        <v>✓ Correct</v>
      </c>
      <c r="M9" s="14">
        <f t="shared" si="4"/>
        <v>12</v>
      </c>
      <c r="N9" s="6" t="str">
        <f>IFERROR(IF(M9="","",IF(ABS(M9-k_2!M9)&lt;=IF(ABS(k_2!M9)&lt;1,0.001,0.01),"✓ Correct","✗ Try again")),"✗ Try again")</f>
        <v>✓ Correct</v>
      </c>
    </row>
    <row r="10" spans="1:14" x14ac:dyDescent="0.3">
      <c r="A10" s="6">
        <v>6</v>
      </c>
      <c r="B10" s="13" t="s">
        <v>74</v>
      </c>
      <c r="C10" s="14" t="str">
        <f t="shared" si="0"/>
        <v>Anjali Gupta</v>
      </c>
      <c r="D10" s="6" t="str">
        <f>IFERROR(IF(C10="","",IF(EXACT(C10&amp;"",k_2!C10&amp;""),"✓ Correct","✗ Try again")),"✗ Try again")</f>
        <v>✓ Correct</v>
      </c>
      <c r="E10" s="13" t="s">
        <v>75</v>
      </c>
      <c r="F10" s="14" t="str">
        <f t="shared" si="1"/>
        <v>7825237889</v>
      </c>
      <c r="G10" s="6" t="str">
        <f>IFERROR(IF(F10="","",IF(EXACT(F10&amp;"",k_2!F10&amp;""),"✓ Correct","✗ Try again")),"✗ Try again")</f>
        <v>✓ Correct</v>
      </c>
      <c r="H10" s="13" t="s">
        <v>76</v>
      </c>
      <c r="I10" s="14" t="str">
        <f t="shared" si="2"/>
        <v>BLR</v>
      </c>
      <c r="J10" s="6" t="str">
        <f>IFERROR(IF(I10="","",IF(EXACT(I10&amp;"",k_2!I10&amp;""),"✓ Correct","✗ Try again")),"✗ Try again")</f>
        <v>✓ Correct</v>
      </c>
      <c r="K10" s="14" t="str">
        <f t="shared" si="3"/>
        <v>2025</v>
      </c>
      <c r="L10" s="6" t="str">
        <f>IFERROR(IF(K10="","",IF(EXACT(K10&amp;"",k_2!K10&amp;""),"✓ Correct","✗ Try again")),"✗ Try again")</f>
        <v>✓ Correct</v>
      </c>
      <c r="M10" s="14">
        <f t="shared" si="4"/>
        <v>15</v>
      </c>
      <c r="N10" s="6" t="str">
        <f>IFERROR(IF(M10="","",IF(ABS(M10-k_2!M10)&lt;=IF(ABS(k_2!M10)&lt;1,0.001,0.01),"✓ Correct","✗ Try again")),"✗ Try again")</f>
        <v>✓ Correct</v>
      </c>
    </row>
    <row r="11" spans="1:14" x14ac:dyDescent="0.3">
      <c r="A11" s="6">
        <v>7</v>
      </c>
      <c r="B11" s="13" t="s">
        <v>77</v>
      </c>
      <c r="C11" s="14" t="str">
        <f t="shared" si="0"/>
        <v>Rohan Mehta</v>
      </c>
      <c r="D11" s="6" t="str">
        <f>IFERROR(IF(C11="","",IF(EXACT(C11&amp;"",k_2!C11&amp;""),"✓ Correct","✗ Try again")),"✗ Try again")</f>
        <v>✓ Correct</v>
      </c>
      <c r="E11" s="13" t="s">
        <v>78</v>
      </c>
      <c r="F11" s="14" t="str">
        <f t="shared" si="1"/>
        <v>8068243995</v>
      </c>
      <c r="G11" s="6" t="str">
        <f>IFERROR(IF(F11="","",IF(EXACT(F11&amp;"",k_2!F11&amp;""),"✓ Correct","✗ Try again")),"✗ Try again")</f>
        <v>✓ Correct</v>
      </c>
      <c r="H11" s="13" t="s">
        <v>79</v>
      </c>
      <c r="I11" s="14" t="str">
        <f t="shared" si="2"/>
        <v>CHN</v>
      </c>
      <c r="J11" s="6" t="str">
        <f>IFERROR(IF(I11="","",IF(EXACT(I11&amp;"",k_2!I11&amp;""),"✓ Correct","✗ Try again")),"✗ Try again")</f>
        <v>✓ Correct</v>
      </c>
      <c r="K11" s="14" t="str">
        <f t="shared" si="3"/>
        <v>2024</v>
      </c>
      <c r="L11" s="6" t="str">
        <f>IFERROR(IF(K11="","",IF(EXACT(K11&amp;"",k_2!K11&amp;""),"✓ Correct","✗ Try again")),"✗ Try again")</f>
        <v>✓ Correct</v>
      </c>
      <c r="M11" s="14">
        <f t="shared" si="4"/>
        <v>11</v>
      </c>
      <c r="N11" s="6" t="str">
        <f>IFERROR(IF(M11="","",IF(ABS(M11-k_2!M11)&lt;=IF(ABS(k_2!M11)&lt;1,0.001,0.01),"✓ Correct","✗ Try again")),"✗ Try again")</f>
        <v>✓ Correct</v>
      </c>
    </row>
    <row r="12" spans="1:14" x14ac:dyDescent="0.3">
      <c r="A12" s="6">
        <v>8</v>
      </c>
      <c r="B12" s="13" t="s">
        <v>80</v>
      </c>
      <c r="C12" s="14" t="str">
        <f t="shared" si="0"/>
        <v>Kavya Reddy</v>
      </c>
      <c r="D12" s="6" t="str">
        <f>IFERROR(IF(C12="","",IF(EXACT(C12&amp;"",k_2!C12&amp;""),"✓ Correct","✗ Try again")),"✗ Try again")</f>
        <v>✓ Correct</v>
      </c>
      <c r="E12" s="13" t="s">
        <v>81</v>
      </c>
      <c r="F12" s="14" t="str">
        <f t="shared" si="1"/>
        <v>9981956371</v>
      </c>
      <c r="G12" s="6" t="str">
        <f>IFERROR(IF(F12="","",IF(EXACT(F12&amp;"",k_2!F12&amp;""),"✓ Correct","✗ Try again")),"✗ Try again")</f>
        <v>✓ Correct</v>
      </c>
      <c r="H12" s="13" t="s">
        <v>82</v>
      </c>
      <c r="I12" s="14" t="str">
        <f t="shared" si="2"/>
        <v>PUN</v>
      </c>
      <c r="J12" s="6" t="str">
        <f>IFERROR(IF(I12="","",IF(EXACT(I12&amp;"",k_2!I12&amp;""),"✓ Correct","✗ Try again")),"✗ Try again")</f>
        <v>✓ Correct</v>
      </c>
      <c r="K12" s="14" t="str">
        <f t="shared" si="3"/>
        <v>2025</v>
      </c>
      <c r="L12" s="6" t="str">
        <f>IFERROR(IF(K12="","",IF(EXACT(K12&amp;"",k_2!K12&amp;""),"✓ Correct","✗ Try again")),"✗ Try again")</f>
        <v>✓ Correct</v>
      </c>
      <c r="M12" s="14">
        <f t="shared" si="4"/>
        <v>14</v>
      </c>
      <c r="N12" s="6" t="str">
        <f>IFERROR(IF(M12="","",IF(ABS(M12-k_2!M12)&lt;=IF(ABS(k_2!M12)&lt;1,0.001,0.01),"✓ Correct","✗ Try again")),"✗ Try again")</f>
        <v>✓ Correct</v>
      </c>
    </row>
    <row r="13" spans="1:14" x14ac:dyDescent="0.3">
      <c r="A13" s="6">
        <v>9</v>
      </c>
      <c r="B13" s="13" t="s">
        <v>83</v>
      </c>
      <c r="C13" s="14" t="str">
        <f t="shared" si="0"/>
        <v>Arjun Nair</v>
      </c>
      <c r="D13" s="6" t="str">
        <f>IFERROR(IF(C13="","",IF(EXACT(C13&amp;"",k_2!C13&amp;""),"✓ Correct","✗ Try again")),"✗ Try again")</f>
        <v>✓ Correct</v>
      </c>
      <c r="E13" s="13" t="s">
        <v>84</v>
      </c>
      <c r="F13" s="14" t="str">
        <f t="shared" si="1"/>
        <v>9710375752</v>
      </c>
      <c r="G13" s="6" t="str">
        <f>IFERROR(IF(F13="","",IF(EXACT(F13&amp;"",k_2!F13&amp;""),"✓ Correct","✗ Try again")),"✗ Try again")</f>
        <v>✓ Correct</v>
      </c>
      <c r="H13" s="13" t="s">
        <v>85</v>
      </c>
      <c r="I13" s="14" t="str">
        <f t="shared" si="2"/>
        <v>DEL</v>
      </c>
      <c r="J13" s="6" t="str">
        <f>IFERROR(IF(I13="","",IF(EXACT(I13&amp;"",k_2!I13&amp;""),"✓ Correct","✗ Try again")),"✗ Try again")</f>
        <v>✓ Correct</v>
      </c>
      <c r="K13" s="14" t="str">
        <f t="shared" si="3"/>
        <v>2025</v>
      </c>
      <c r="L13" s="6" t="str">
        <f>IFERROR(IF(K13="","",IF(EXACT(K13&amp;"",k_2!K13&amp;""),"✓ Correct","✗ Try again")),"✗ Try again")</f>
        <v>✓ Correct</v>
      </c>
      <c r="M13" s="14">
        <f t="shared" si="4"/>
        <v>11</v>
      </c>
      <c r="N13" s="6" t="str">
        <f>IFERROR(IF(M13="","",IF(ABS(M13-k_2!M13)&lt;=IF(ABS(k_2!M13)&lt;1,0.001,0.01),"✓ Correct","✗ Try again")),"✗ Try again")</f>
        <v>✓ Correct</v>
      </c>
    </row>
    <row r="14" spans="1:14" x14ac:dyDescent="0.3">
      <c r="A14" s="6">
        <v>10</v>
      </c>
      <c r="B14" s="13" t="s">
        <v>86</v>
      </c>
      <c r="C14" s="14" t="str">
        <f t="shared" si="0"/>
        <v>Pooja Joshi</v>
      </c>
      <c r="D14" s="6" t="str">
        <f>IFERROR(IF(C14="","",IF(EXACT(C14&amp;"",k_2!C14&amp;""),"✓ Correct","✗ Try again")),"✗ Try again")</f>
        <v>✓ Correct</v>
      </c>
      <c r="E14" s="13" t="s">
        <v>87</v>
      </c>
      <c r="F14" s="14" t="str">
        <f t="shared" si="1"/>
        <v>8672912451</v>
      </c>
      <c r="G14" s="6" t="str">
        <f>IFERROR(IF(F14="","",IF(EXACT(F14&amp;"",k_2!F14&amp;""),"✓ Correct","✗ Try again")),"✗ Try again")</f>
        <v>✓ Correct</v>
      </c>
      <c r="H14" s="13" t="s">
        <v>88</v>
      </c>
      <c r="I14" s="14" t="str">
        <f t="shared" si="2"/>
        <v>PUN</v>
      </c>
      <c r="J14" s="6" t="str">
        <f>IFERROR(IF(I14="","",IF(EXACT(I14&amp;"",k_2!I14&amp;""),"✓ Correct","✗ Try again")),"✗ Try again")</f>
        <v>✓ Correct</v>
      </c>
      <c r="K14" s="14" t="str">
        <f t="shared" si="3"/>
        <v>2022</v>
      </c>
      <c r="L14" s="6" t="str">
        <f>IFERROR(IF(K14="","",IF(EXACT(K14&amp;"",k_2!K14&amp;""),"✓ Correct","✗ Try again")),"✗ Try again")</f>
        <v>✓ Correct</v>
      </c>
      <c r="M14" s="14">
        <f t="shared" si="4"/>
        <v>11</v>
      </c>
      <c r="N14" s="6" t="str">
        <f>IFERROR(IF(M14="","",IF(ABS(M14-k_2!M14)&lt;=IF(ABS(k_2!M14)&lt;1,0.001,0.01),"✓ Correct","✗ Try again")),"✗ Try again")</f>
        <v>✓ Correct</v>
      </c>
    </row>
  </sheetData>
  <conditionalFormatting sqref="D5:D14">
    <cfRule type="expression" dxfId="52" priority="2">
      <formula>LEFT(D5,1)="✓"</formula>
    </cfRule>
    <cfRule type="expression" dxfId="51" priority="3">
      <formula>LEFT(D5,1)="✗"</formula>
    </cfRule>
  </conditionalFormatting>
  <conditionalFormatting sqref="G5:G14">
    <cfRule type="expression" dxfId="50" priority="4">
      <formula>LEFT(G5,1)="✓"</formula>
    </cfRule>
    <cfRule type="expression" dxfId="49" priority="5">
      <formula>LEFT(G5,1)="✗"</formula>
    </cfRule>
  </conditionalFormatting>
  <conditionalFormatting sqref="J5:J14">
    <cfRule type="expression" dxfId="48" priority="6">
      <formula>LEFT(J5,1)="✓"</formula>
    </cfRule>
    <cfRule type="expression" dxfId="47" priority="7">
      <formula>LEFT(J5,1)="✗"</formula>
    </cfRule>
  </conditionalFormatting>
  <conditionalFormatting sqref="L5:L14">
    <cfRule type="expression" dxfId="46" priority="8">
      <formula>LEFT(L5,1)="✓"</formula>
    </cfRule>
    <cfRule type="expression" dxfId="45" priority="9">
      <formula>LEFT(L5,1)="✗"</formula>
    </cfRule>
  </conditionalFormatting>
  <conditionalFormatting sqref="N5:N14">
    <cfRule type="expression" dxfId="44" priority="10">
      <formula>LEFT(N5,1)="✓"</formula>
    </cfRule>
    <cfRule type="expression" dxfId="43" priority="11">
      <formula>LEFT(N5,1)="✗"</formula>
    </cfRule>
  </conditionalFormatting>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24"/>
  <sheetViews>
    <sheetView zoomScaleNormal="100" workbookViewId="0">
      <pane xSplit="2" ySplit="4" topLeftCell="C5" activePane="bottomRight" state="frozen"/>
      <selection pane="topRight" activeCell="C1" sqref="C1"/>
      <selection pane="bottomLeft" activeCell="A5" sqref="A5"/>
      <selection pane="bottomRight" activeCell="M5" sqref="M5:M24"/>
    </sheetView>
  </sheetViews>
  <sheetFormatPr defaultColWidth="8.6640625" defaultRowHeight="14.4" x14ac:dyDescent="0.3"/>
  <cols>
    <col min="1" max="1" width="8" customWidth="1"/>
    <col min="2" max="2" width="16" customWidth="1"/>
    <col min="3" max="3" width="11" customWidth="1"/>
    <col min="4" max="4" width="10" customWidth="1"/>
    <col min="5" max="5" width="8" customWidth="1"/>
    <col min="6" max="6" width="7" customWidth="1"/>
    <col min="7" max="7" width="15" customWidth="1"/>
    <col min="8" max="8" width="12" customWidth="1"/>
    <col min="9" max="9" width="18" customWidth="1"/>
    <col min="10" max="10" width="12" customWidth="1"/>
    <col min="11" max="11" width="20" customWidth="1"/>
    <col min="12" max="12" width="12" customWidth="1"/>
    <col min="13" max="13" width="14" customWidth="1"/>
    <col min="14" max="14" width="12" customWidth="1"/>
  </cols>
  <sheetData>
    <row r="1" spans="1:14" ht="17.399999999999999" x14ac:dyDescent="0.3">
      <c r="A1" s="1" t="s">
        <v>89</v>
      </c>
    </row>
    <row r="2" spans="1:14" x14ac:dyDescent="0.3">
      <c r="A2" s="2" t="s">
        <v>90</v>
      </c>
    </row>
    <row r="4" spans="1:14" ht="57.6" customHeight="1" x14ac:dyDescent="0.3">
      <c r="A4" s="5" t="s">
        <v>91</v>
      </c>
      <c r="B4" s="5" t="s">
        <v>92</v>
      </c>
      <c r="C4" s="5" t="s">
        <v>93</v>
      </c>
      <c r="D4" s="5" t="s">
        <v>94</v>
      </c>
      <c r="E4" s="5" t="s">
        <v>95</v>
      </c>
      <c r="F4" s="5" t="s">
        <v>96</v>
      </c>
      <c r="G4" s="5" t="s">
        <v>97</v>
      </c>
      <c r="H4" s="5" t="s">
        <v>28</v>
      </c>
      <c r="I4" s="5" t="s">
        <v>98</v>
      </c>
      <c r="J4" s="5" t="s">
        <v>28</v>
      </c>
      <c r="K4" s="5" t="s">
        <v>99</v>
      </c>
      <c r="L4" s="5" t="s">
        <v>28</v>
      </c>
      <c r="M4" s="5" t="s">
        <v>100</v>
      </c>
      <c r="N4" s="5" t="s">
        <v>28</v>
      </c>
    </row>
    <row r="5" spans="1:14" ht="19.8" customHeight="1" x14ac:dyDescent="0.3">
      <c r="A5" s="13" t="s">
        <v>101</v>
      </c>
      <c r="B5" s="13" t="s">
        <v>102</v>
      </c>
      <c r="C5" s="13" t="s">
        <v>103</v>
      </c>
      <c r="D5" s="15">
        <v>69000</v>
      </c>
      <c r="E5" s="13">
        <v>4</v>
      </c>
      <c r="F5" s="13">
        <v>5</v>
      </c>
      <c r="G5" s="14" t="str">
        <f>IF(D5&gt;75000,"High","Normal")</f>
        <v>Normal</v>
      </c>
      <c r="H5" s="6" t="str">
        <f>IFERROR(IF(G5="","",IF(UPPER(TRIM(G5&amp;""))=UPPER(k_3!G5&amp;""),"✓ Correct","✗ Try again")),"✗ Try again")</f>
        <v>✓ Correct</v>
      </c>
      <c r="I5" s="14" t="str">
        <f>IF(AND(E5&gt;=4,F5&gt;=3),"Yes","No")</f>
        <v>Yes</v>
      </c>
      <c r="J5" s="6" t="str">
        <f>IFERROR(IF(I5="","",IF(UPPER(TRIM(I5&amp;""))=UPPER(k_3!I5&amp;""),"✓ Correct","✗ Try again")),"✗ Try again")</f>
        <v>✓ Correct</v>
      </c>
      <c r="K5" s="14" t="str">
        <f>IF(OR(C5="Sales",E5=5),"Bonus","No Bonus")</f>
        <v>Bonus</v>
      </c>
      <c r="L5" s="6" t="str">
        <f>IFERROR(IF(K5="","",IF(UPPER(TRIM(K5&amp;""))=UPPER(k_3!K5&amp;""),"✓ Correct","✗ Try again")),"✗ Try again")</f>
        <v>✓ Correct</v>
      </c>
      <c r="M5" s="14" t="str" cm="1">
        <f t="array" ref="M5">_xlfn.IFS(E5=5,"A",E5=4,"B",E5=3,"C",E5&lt;3,"D")</f>
        <v>B</v>
      </c>
      <c r="N5" s="6" t="str">
        <f>IFERROR(IF(M5="","",IF(UPPER(TRIM(M5&amp;""))=UPPER(k_3!M5&amp;""),"✓ Correct","✗ Try again")),"✗ Try again")</f>
        <v>✓ Correct</v>
      </c>
    </row>
    <row r="6" spans="1:14" x14ac:dyDescent="0.3">
      <c r="A6" s="13" t="s">
        <v>104</v>
      </c>
      <c r="B6" s="13" t="s">
        <v>105</v>
      </c>
      <c r="C6" s="13" t="s">
        <v>106</v>
      </c>
      <c r="D6" s="15">
        <v>47000</v>
      </c>
      <c r="E6" s="13">
        <v>5</v>
      </c>
      <c r="F6" s="13">
        <v>10</v>
      </c>
      <c r="G6" s="14" t="str">
        <f t="shared" ref="G6:G24" si="0">IF(D6&gt;75000,"High","Normal")</f>
        <v>Normal</v>
      </c>
      <c r="H6" s="6" t="str">
        <f>IFERROR(IF(G6="","",IF(UPPER(TRIM(G6&amp;""))=UPPER(k_3!G6&amp;""),"✓ Correct","✗ Try again")),"✗ Try again")</f>
        <v>✓ Correct</v>
      </c>
      <c r="I6" s="14" t="str">
        <f t="shared" ref="I6:I24" si="1">IF(AND(E6&gt;=4,F6&gt;=3),"Yes","No")</f>
        <v>Yes</v>
      </c>
      <c r="J6" s="6" t="str">
        <f>IFERROR(IF(I6="","",IF(UPPER(TRIM(I6&amp;""))=UPPER(k_3!I6&amp;""),"✓ Correct","✗ Try again")),"✗ Try again")</f>
        <v>✓ Correct</v>
      </c>
      <c r="K6" s="14" t="str">
        <f t="shared" ref="K6:K24" si="2">IF(OR(C6="Sales",E6=5),"Bonus","No Bonus")</f>
        <v>Bonus</v>
      </c>
      <c r="L6" s="6" t="str">
        <f>IFERROR(IF(K6="","",IF(UPPER(TRIM(K6&amp;""))=UPPER(k_3!K6&amp;""),"✓ Correct","✗ Try again")),"✗ Try again")</f>
        <v>✓ Correct</v>
      </c>
      <c r="M6" s="14" t="str" cm="1">
        <f t="array" ref="M6">_xlfn.IFS(E6=5,"A",E6=4,"B",E6=3,"C",E6&lt;3,"D")</f>
        <v>A</v>
      </c>
      <c r="N6" s="6" t="str">
        <f>IFERROR(IF(M6="","",IF(UPPER(TRIM(M6&amp;""))=UPPER(k_3!M6&amp;""),"✓ Correct","✗ Try again")),"✗ Try again")</f>
        <v>✓ Correct</v>
      </c>
    </row>
    <row r="7" spans="1:14" x14ac:dyDescent="0.3">
      <c r="A7" s="13" t="s">
        <v>107</v>
      </c>
      <c r="B7" s="13" t="s">
        <v>108</v>
      </c>
      <c r="C7" s="13" t="s">
        <v>109</v>
      </c>
      <c r="D7" s="15">
        <v>78500</v>
      </c>
      <c r="E7" s="13">
        <v>2</v>
      </c>
      <c r="F7" s="13">
        <v>9</v>
      </c>
      <c r="G7" s="14" t="str">
        <f t="shared" si="0"/>
        <v>High</v>
      </c>
      <c r="H7" s="6" t="str">
        <f>IFERROR(IF(G7="","",IF(UPPER(TRIM(G7&amp;""))=UPPER(k_3!G7&amp;""),"✓ Correct","✗ Try again")),"✗ Try again")</f>
        <v>✓ Correct</v>
      </c>
      <c r="I7" s="14" t="str">
        <f t="shared" si="1"/>
        <v>No</v>
      </c>
      <c r="J7" s="6" t="str">
        <f>IFERROR(IF(I7="","",IF(UPPER(TRIM(I7&amp;""))=UPPER(k_3!I7&amp;""),"✓ Correct","✗ Try again")),"✗ Try again")</f>
        <v>✓ Correct</v>
      </c>
      <c r="K7" s="14" t="str">
        <f t="shared" si="2"/>
        <v>No Bonus</v>
      </c>
      <c r="L7" s="6" t="str">
        <f>IFERROR(IF(K7="","",IF(UPPER(TRIM(K7&amp;""))=UPPER(k_3!K7&amp;""),"✓ Correct","✗ Try again")),"✗ Try again")</f>
        <v>✓ Correct</v>
      </c>
      <c r="M7" s="14" t="str" cm="1">
        <f t="array" ref="M7">_xlfn.IFS(E7=5,"A",E7=4,"B",E7=3,"C",E7&lt;3,"D")</f>
        <v>D</v>
      </c>
      <c r="N7" s="6" t="str">
        <f>IFERROR(IF(M7="","",IF(UPPER(TRIM(M7&amp;""))=UPPER(k_3!M7&amp;""),"✓ Correct","✗ Try again")),"✗ Try again")</f>
        <v>✓ Correct</v>
      </c>
    </row>
    <row r="8" spans="1:14" x14ac:dyDescent="0.3">
      <c r="A8" s="13" t="s">
        <v>110</v>
      </c>
      <c r="B8" s="13" t="s">
        <v>111</v>
      </c>
      <c r="C8" s="13" t="s">
        <v>112</v>
      </c>
      <c r="D8" s="15">
        <v>111000</v>
      </c>
      <c r="E8" s="13">
        <v>5</v>
      </c>
      <c r="F8" s="13">
        <v>4</v>
      </c>
      <c r="G8" s="14" t="str">
        <f t="shared" si="0"/>
        <v>High</v>
      </c>
      <c r="H8" s="6" t="str">
        <f>IFERROR(IF(G8="","",IF(UPPER(TRIM(G8&amp;""))=UPPER(k_3!G8&amp;""),"✓ Correct","✗ Try again")),"✗ Try again")</f>
        <v>✓ Correct</v>
      </c>
      <c r="I8" s="14" t="str">
        <f t="shared" si="1"/>
        <v>Yes</v>
      </c>
      <c r="J8" s="6" t="str">
        <f>IFERROR(IF(I8="","",IF(UPPER(TRIM(I8&amp;""))=UPPER(k_3!I8&amp;""),"✓ Correct","✗ Try again")),"✗ Try again")</f>
        <v>✓ Correct</v>
      </c>
      <c r="K8" s="14" t="str">
        <f t="shared" si="2"/>
        <v>Bonus</v>
      </c>
      <c r="L8" s="6" t="str">
        <f>IFERROR(IF(K8="","",IF(UPPER(TRIM(K8&amp;""))=UPPER(k_3!K8&amp;""),"✓ Correct","✗ Try again")),"✗ Try again")</f>
        <v>✓ Correct</v>
      </c>
      <c r="M8" s="14" t="str" cm="1">
        <f t="array" ref="M8">_xlfn.IFS(E8=5,"A",E8=4,"B",E8=3,"C",E8&lt;3,"D")</f>
        <v>A</v>
      </c>
      <c r="N8" s="6" t="str">
        <f>IFERROR(IF(M8="","",IF(UPPER(TRIM(M8&amp;""))=UPPER(k_3!M8&amp;""),"✓ Correct","✗ Try again")),"✗ Try again")</f>
        <v>✓ Correct</v>
      </c>
    </row>
    <row r="9" spans="1:14" x14ac:dyDescent="0.3">
      <c r="A9" s="13" t="s">
        <v>113</v>
      </c>
      <c r="B9" s="13" t="s">
        <v>114</v>
      </c>
      <c r="C9" s="13" t="s">
        <v>103</v>
      </c>
      <c r="D9" s="15">
        <v>34000</v>
      </c>
      <c r="E9" s="13">
        <v>1</v>
      </c>
      <c r="F9" s="13">
        <v>0</v>
      </c>
      <c r="G9" s="14" t="str">
        <f t="shared" si="0"/>
        <v>Normal</v>
      </c>
      <c r="H9" s="6" t="str">
        <f>IFERROR(IF(G9="","",IF(UPPER(TRIM(G9&amp;""))=UPPER(k_3!G9&amp;""),"✓ Correct","✗ Try again")),"✗ Try again")</f>
        <v>✓ Correct</v>
      </c>
      <c r="I9" s="14" t="str">
        <f t="shared" si="1"/>
        <v>No</v>
      </c>
      <c r="J9" s="6" t="str">
        <f>IFERROR(IF(I9="","",IF(UPPER(TRIM(I9&amp;""))=UPPER(k_3!I9&amp;""),"✓ Correct","✗ Try again")),"✗ Try again")</f>
        <v>✓ Correct</v>
      </c>
      <c r="K9" s="14" t="str">
        <f t="shared" si="2"/>
        <v>Bonus</v>
      </c>
      <c r="L9" s="6" t="str">
        <f>IFERROR(IF(K9="","",IF(UPPER(TRIM(K9&amp;""))=UPPER(k_3!K9&amp;""),"✓ Correct","✗ Try again")),"✗ Try again")</f>
        <v>✓ Correct</v>
      </c>
      <c r="M9" s="14" t="str" cm="1">
        <f t="array" ref="M9">_xlfn.IFS(E9=5,"A",E9=4,"B",E9=3,"C",E9&lt;3,"D")</f>
        <v>D</v>
      </c>
      <c r="N9" s="6" t="str">
        <f>IFERROR(IF(M9="","",IF(UPPER(TRIM(M9&amp;""))=UPPER(k_3!M9&amp;""),"✓ Correct","✗ Try again")),"✗ Try again")</f>
        <v>✓ Correct</v>
      </c>
    </row>
    <row r="10" spans="1:14" x14ac:dyDescent="0.3">
      <c r="A10" s="13" t="s">
        <v>115</v>
      </c>
      <c r="B10" s="13" t="s">
        <v>116</v>
      </c>
      <c r="C10" s="13" t="s">
        <v>117</v>
      </c>
      <c r="D10" s="15">
        <v>37000</v>
      </c>
      <c r="E10" s="13"/>
      <c r="F10" s="13">
        <v>4</v>
      </c>
      <c r="G10" s="14" t="str">
        <f t="shared" si="0"/>
        <v>Normal</v>
      </c>
      <c r="H10" s="6" t="str">
        <f>IFERROR(IF(G10="","",IF(UPPER(TRIM(G10&amp;""))=UPPER(k_3!G10&amp;""),"✓ Correct","✗ Try again")),"✗ Try again")</f>
        <v>✓ Correct</v>
      </c>
      <c r="I10" s="14" t="str">
        <f t="shared" si="1"/>
        <v>No</v>
      </c>
      <c r="J10" s="6" t="str">
        <f>IFERROR(IF(I10="","",IF(UPPER(TRIM(I10&amp;""))=UPPER(k_3!I10&amp;""),"✓ Correct","✗ Try again")),"✗ Try again")</f>
        <v>✓ Correct</v>
      </c>
      <c r="K10" s="14" t="str">
        <f t="shared" si="2"/>
        <v>No Bonus</v>
      </c>
      <c r="L10" s="6" t="str">
        <f>IFERROR(IF(K10="","",IF(UPPER(TRIM(K10&amp;""))=UPPER(k_3!K10&amp;""),"✓ Correct","✗ Try again")),"✗ Try again")</f>
        <v>✓ Correct</v>
      </c>
      <c r="M10" s="14" t="str" cm="1">
        <f t="array" ref="M10">_xlfn.IFS(E10=5,"A",E10=4,"B",E10=3,"C",E10&lt;3,"D")</f>
        <v>D</v>
      </c>
      <c r="N10" s="6" t="str">
        <f>IFERROR(IF(M10="","",IF(UPPER(TRIM(M10&amp;""))=UPPER(k_3!M10&amp;""),"✓ Correct","✗ Try again")),"✗ Try again")</f>
        <v>✓ Correct</v>
      </c>
    </row>
    <row r="11" spans="1:14" x14ac:dyDescent="0.3">
      <c r="A11" s="13" t="s">
        <v>118</v>
      </c>
      <c r="B11" s="13" t="s">
        <v>119</v>
      </c>
      <c r="C11" s="13" t="s">
        <v>103</v>
      </c>
      <c r="D11" s="15">
        <v>75000</v>
      </c>
      <c r="E11" s="13">
        <v>1</v>
      </c>
      <c r="F11" s="13">
        <v>6</v>
      </c>
      <c r="G11" s="14" t="str">
        <f t="shared" si="0"/>
        <v>Normal</v>
      </c>
      <c r="H11" s="6" t="str">
        <f>IFERROR(IF(G11="","",IF(UPPER(TRIM(G11&amp;""))=UPPER(k_3!G11&amp;""),"✓ Correct","✗ Try again")),"✗ Try again")</f>
        <v>✓ Correct</v>
      </c>
      <c r="I11" s="14" t="str">
        <f t="shared" si="1"/>
        <v>No</v>
      </c>
      <c r="J11" s="6" t="str">
        <f>IFERROR(IF(I11="","",IF(UPPER(TRIM(I11&amp;""))=UPPER(k_3!I11&amp;""),"✓ Correct","✗ Try again")),"✗ Try again")</f>
        <v>✓ Correct</v>
      </c>
      <c r="K11" s="14" t="str">
        <f t="shared" si="2"/>
        <v>Bonus</v>
      </c>
      <c r="L11" s="6" t="str">
        <f>IFERROR(IF(K11="","",IF(UPPER(TRIM(K11&amp;""))=UPPER(k_3!K11&amp;""),"✓ Correct","✗ Try again")),"✗ Try again")</f>
        <v>✓ Correct</v>
      </c>
      <c r="M11" s="14" t="str" cm="1">
        <f t="array" ref="M11">_xlfn.IFS(E11=5,"A",E11=4,"B",E11=3,"C",E11&lt;3,"D")</f>
        <v>D</v>
      </c>
      <c r="N11" s="6" t="str">
        <f>IFERROR(IF(M11="","",IF(UPPER(TRIM(M11&amp;""))=UPPER(k_3!M11&amp;""),"✓ Correct","✗ Try again")),"✗ Try again")</f>
        <v>✓ Correct</v>
      </c>
    </row>
    <row r="12" spans="1:14" x14ac:dyDescent="0.3">
      <c r="A12" s="13" t="s">
        <v>120</v>
      </c>
      <c r="B12" s="13" t="s">
        <v>121</v>
      </c>
      <c r="C12" s="13" t="s">
        <v>106</v>
      </c>
      <c r="D12" s="15">
        <v>40000</v>
      </c>
      <c r="E12" s="13">
        <v>1</v>
      </c>
      <c r="F12" s="13">
        <v>8</v>
      </c>
      <c r="G12" s="14" t="str">
        <f t="shared" si="0"/>
        <v>Normal</v>
      </c>
      <c r="H12" s="6" t="str">
        <f>IFERROR(IF(G12="","",IF(UPPER(TRIM(G12&amp;""))=UPPER(k_3!G12&amp;""),"✓ Correct","✗ Try again")),"✗ Try again")</f>
        <v>✓ Correct</v>
      </c>
      <c r="I12" s="14" t="str">
        <f t="shared" si="1"/>
        <v>No</v>
      </c>
      <c r="J12" s="6" t="str">
        <f>IFERROR(IF(I12="","",IF(UPPER(TRIM(I12&amp;""))=UPPER(k_3!I12&amp;""),"✓ Correct","✗ Try again")),"✗ Try again")</f>
        <v>✓ Correct</v>
      </c>
      <c r="K12" s="14" t="str">
        <f t="shared" si="2"/>
        <v>No Bonus</v>
      </c>
      <c r="L12" s="6" t="str">
        <f>IFERROR(IF(K12="","",IF(UPPER(TRIM(K12&amp;""))=UPPER(k_3!K12&amp;""),"✓ Correct","✗ Try again")),"✗ Try again")</f>
        <v>✓ Correct</v>
      </c>
      <c r="M12" s="14" t="str" cm="1">
        <f t="array" ref="M12">_xlfn.IFS(E12=5,"A",E12=4,"B",E12=3,"C",E12&lt;3,"D")</f>
        <v>D</v>
      </c>
      <c r="N12" s="6" t="str">
        <f>IFERROR(IF(M12="","",IF(UPPER(TRIM(M12&amp;""))=UPPER(k_3!M12&amp;""),"✓ Correct","✗ Try again")),"✗ Try again")</f>
        <v>✓ Correct</v>
      </c>
    </row>
    <row r="13" spans="1:14" x14ac:dyDescent="0.3">
      <c r="A13" s="13" t="s">
        <v>122</v>
      </c>
      <c r="B13" s="13" t="s">
        <v>123</v>
      </c>
      <c r="C13" s="13" t="s">
        <v>112</v>
      </c>
      <c r="D13" s="15">
        <v>74500</v>
      </c>
      <c r="E13" s="13">
        <v>2</v>
      </c>
      <c r="F13" s="13">
        <v>5</v>
      </c>
      <c r="G13" s="14" t="str">
        <f t="shared" si="0"/>
        <v>Normal</v>
      </c>
      <c r="H13" s="6" t="str">
        <f>IFERROR(IF(G13="","",IF(UPPER(TRIM(G13&amp;""))=UPPER(k_3!G13&amp;""),"✓ Correct","✗ Try again")),"✗ Try again")</f>
        <v>✓ Correct</v>
      </c>
      <c r="I13" s="14" t="str">
        <f t="shared" si="1"/>
        <v>No</v>
      </c>
      <c r="J13" s="6" t="str">
        <f>IFERROR(IF(I13="","",IF(UPPER(TRIM(I13&amp;""))=UPPER(k_3!I13&amp;""),"✓ Correct","✗ Try again")),"✗ Try again")</f>
        <v>✓ Correct</v>
      </c>
      <c r="K13" s="14" t="str">
        <f t="shared" si="2"/>
        <v>No Bonus</v>
      </c>
      <c r="L13" s="6" t="str">
        <f>IFERROR(IF(K13="","",IF(UPPER(TRIM(K13&amp;""))=UPPER(k_3!K13&amp;""),"✓ Correct","✗ Try again")),"✗ Try again")</f>
        <v>✓ Correct</v>
      </c>
      <c r="M13" s="14" t="str" cm="1">
        <f t="array" ref="M13">_xlfn.IFS(E13=5,"A",E13=4,"B",E13=3,"C",E13&lt;3,"D")</f>
        <v>D</v>
      </c>
      <c r="N13" s="6" t="str">
        <f>IFERROR(IF(M13="","",IF(UPPER(TRIM(M13&amp;""))=UPPER(k_3!M13&amp;""),"✓ Correct","✗ Try again")),"✗ Try again")</f>
        <v>✓ Correct</v>
      </c>
    </row>
    <row r="14" spans="1:14" x14ac:dyDescent="0.3">
      <c r="A14" s="13" t="s">
        <v>124</v>
      </c>
      <c r="B14" s="13" t="s">
        <v>125</v>
      </c>
      <c r="C14" s="13" t="s">
        <v>109</v>
      </c>
      <c r="D14" s="15">
        <v>102500</v>
      </c>
      <c r="E14" s="13">
        <v>4</v>
      </c>
      <c r="F14" s="13">
        <v>7</v>
      </c>
      <c r="G14" s="14" t="str">
        <f t="shared" si="0"/>
        <v>High</v>
      </c>
      <c r="H14" s="6" t="str">
        <f>IFERROR(IF(G14="","",IF(UPPER(TRIM(G14&amp;""))=UPPER(k_3!G14&amp;""),"✓ Correct","✗ Try again")),"✗ Try again")</f>
        <v>✓ Correct</v>
      </c>
      <c r="I14" s="14" t="str">
        <f t="shared" si="1"/>
        <v>Yes</v>
      </c>
      <c r="J14" s="6" t="str">
        <f>IFERROR(IF(I14="","",IF(UPPER(TRIM(I14&amp;""))=UPPER(k_3!I14&amp;""),"✓ Correct","✗ Try again")),"✗ Try again")</f>
        <v>✓ Correct</v>
      </c>
      <c r="K14" s="14" t="str">
        <f t="shared" si="2"/>
        <v>No Bonus</v>
      </c>
      <c r="L14" s="6" t="str">
        <f>IFERROR(IF(K14="","",IF(UPPER(TRIM(K14&amp;""))=UPPER(k_3!K14&amp;""),"✓ Correct","✗ Try again")),"✗ Try again")</f>
        <v>✓ Correct</v>
      </c>
      <c r="M14" s="14" t="str" cm="1">
        <f t="array" ref="M14">_xlfn.IFS(E14=5,"A",E14=4,"B",E14=3,"C",E14&lt;3,"D")</f>
        <v>B</v>
      </c>
      <c r="N14" s="6" t="str">
        <f>IFERROR(IF(M14="","",IF(UPPER(TRIM(M14&amp;""))=UPPER(k_3!M14&amp;""),"✓ Correct","✗ Try again")),"✗ Try again")</f>
        <v>✓ Correct</v>
      </c>
    </row>
    <row r="15" spans="1:14" x14ac:dyDescent="0.3">
      <c r="A15" s="13" t="s">
        <v>126</v>
      </c>
      <c r="B15" s="13" t="s">
        <v>127</v>
      </c>
      <c r="C15" s="13" t="s">
        <v>106</v>
      </c>
      <c r="D15" s="15">
        <v>35000</v>
      </c>
      <c r="E15" s="13">
        <v>5</v>
      </c>
      <c r="F15" s="13">
        <v>9</v>
      </c>
      <c r="G15" s="14" t="str">
        <f t="shared" si="0"/>
        <v>Normal</v>
      </c>
      <c r="H15" s="6" t="str">
        <f>IFERROR(IF(G15="","",IF(UPPER(TRIM(G15&amp;""))=UPPER(k_3!G15&amp;""),"✓ Correct","✗ Try again")),"✗ Try again")</f>
        <v>✓ Correct</v>
      </c>
      <c r="I15" s="14" t="str">
        <f t="shared" si="1"/>
        <v>Yes</v>
      </c>
      <c r="J15" s="6" t="str">
        <f>IFERROR(IF(I15="","",IF(UPPER(TRIM(I15&amp;""))=UPPER(k_3!I15&amp;""),"✓ Correct","✗ Try again")),"✗ Try again")</f>
        <v>✓ Correct</v>
      </c>
      <c r="K15" s="14" t="str">
        <f t="shared" si="2"/>
        <v>Bonus</v>
      </c>
      <c r="L15" s="6" t="str">
        <f>IFERROR(IF(K15="","",IF(UPPER(TRIM(K15&amp;""))=UPPER(k_3!K15&amp;""),"✓ Correct","✗ Try again")),"✗ Try again")</f>
        <v>✓ Correct</v>
      </c>
      <c r="M15" s="14" t="str" cm="1">
        <f t="array" ref="M15">_xlfn.IFS(E15=5,"A",E15=4,"B",E15=3,"C",E15&lt;3,"D")</f>
        <v>A</v>
      </c>
      <c r="N15" s="6" t="str">
        <f>IFERROR(IF(M15="","",IF(UPPER(TRIM(M15&amp;""))=UPPER(k_3!M15&amp;""),"✓ Correct","✗ Try again")),"✗ Try again")</f>
        <v>✓ Correct</v>
      </c>
    </row>
    <row r="16" spans="1:14" x14ac:dyDescent="0.3">
      <c r="A16" s="13" t="s">
        <v>128</v>
      </c>
      <c r="B16" s="13" t="s">
        <v>129</v>
      </c>
      <c r="C16" s="13" t="s">
        <v>103</v>
      </c>
      <c r="D16" s="15">
        <v>92500</v>
      </c>
      <c r="E16" s="13">
        <v>5</v>
      </c>
      <c r="F16" s="13">
        <v>9</v>
      </c>
      <c r="G16" s="14" t="str">
        <f t="shared" si="0"/>
        <v>High</v>
      </c>
      <c r="H16" s="6" t="str">
        <f>IFERROR(IF(G16="","",IF(UPPER(TRIM(G16&amp;""))=UPPER(k_3!G16&amp;""),"✓ Correct","✗ Try again")),"✗ Try again")</f>
        <v>✓ Correct</v>
      </c>
      <c r="I16" s="14" t="str">
        <f t="shared" si="1"/>
        <v>Yes</v>
      </c>
      <c r="J16" s="6" t="str">
        <f>IFERROR(IF(I16="","",IF(UPPER(TRIM(I16&amp;""))=UPPER(k_3!I16&amp;""),"✓ Correct","✗ Try again")),"✗ Try again")</f>
        <v>✓ Correct</v>
      </c>
      <c r="K16" s="14" t="str">
        <f t="shared" si="2"/>
        <v>Bonus</v>
      </c>
      <c r="L16" s="6" t="str">
        <f>IFERROR(IF(K16="","",IF(UPPER(TRIM(K16&amp;""))=UPPER(k_3!K16&amp;""),"✓ Correct","✗ Try again")),"✗ Try again")</f>
        <v>✓ Correct</v>
      </c>
      <c r="M16" s="14" t="str" cm="1">
        <f t="array" ref="M16">_xlfn.IFS(E16=5,"A",E16=4,"B",E16=3,"C",E16&lt;3,"D")</f>
        <v>A</v>
      </c>
      <c r="N16" s="6" t="str">
        <f>IFERROR(IF(M16="","",IF(UPPER(TRIM(M16&amp;""))=UPPER(k_3!M16&amp;""),"✓ Correct","✗ Try again")),"✗ Try again")</f>
        <v>✓ Correct</v>
      </c>
    </row>
    <row r="17" spans="1:14" x14ac:dyDescent="0.3">
      <c r="A17" s="13" t="s">
        <v>130</v>
      </c>
      <c r="B17" s="13" t="s">
        <v>131</v>
      </c>
      <c r="C17" s="13" t="s">
        <v>117</v>
      </c>
      <c r="D17" s="15">
        <v>55000</v>
      </c>
      <c r="E17" s="13">
        <v>5</v>
      </c>
      <c r="F17" s="13">
        <v>7</v>
      </c>
      <c r="G17" s="14" t="str">
        <f t="shared" si="0"/>
        <v>Normal</v>
      </c>
      <c r="H17" s="6" t="str">
        <f>IFERROR(IF(G17="","",IF(UPPER(TRIM(G17&amp;""))=UPPER(k_3!G17&amp;""),"✓ Correct","✗ Try again")),"✗ Try again")</f>
        <v>✓ Correct</v>
      </c>
      <c r="I17" s="14" t="str">
        <f t="shared" si="1"/>
        <v>Yes</v>
      </c>
      <c r="J17" s="6" t="str">
        <f>IFERROR(IF(I17="","",IF(UPPER(TRIM(I17&amp;""))=UPPER(k_3!I17&amp;""),"✓ Correct","✗ Try again")),"✗ Try again")</f>
        <v>✓ Correct</v>
      </c>
      <c r="K17" s="14" t="str">
        <f t="shared" si="2"/>
        <v>Bonus</v>
      </c>
      <c r="L17" s="6" t="str">
        <f>IFERROR(IF(K17="","",IF(UPPER(TRIM(K17&amp;""))=UPPER(k_3!K17&amp;""),"✓ Correct","✗ Try again")),"✗ Try again")</f>
        <v>✓ Correct</v>
      </c>
      <c r="M17" s="14" t="str" cm="1">
        <f t="array" ref="M17">_xlfn.IFS(E17=5,"A",E17=4,"B",E17=3,"C",E17&lt;3,"D")</f>
        <v>A</v>
      </c>
      <c r="N17" s="6" t="str">
        <f>IFERROR(IF(M17="","",IF(UPPER(TRIM(M17&amp;""))=UPPER(k_3!M17&amp;""),"✓ Correct","✗ Try again")),"✗ Try again")</f>
        <v>✓ Correct</v>
      </c>
    </row>
    <row r="18" spans="1:14" x14ac:dyDescent="0.3">
      <c r="A18" s="13" t="s">
        <v>132</v>
      </c>
      <c r="B18" s="13" t="s">
        <v>133</v>
      </c>
      <c r="C18" s="13" t="s">
        <v>112</v>
      </c>
      <c r="D18" s="15">
        <v>32500</v>
      </c>
      <c r="E18" s="13"/>
      <c r="F18" s="13">
        <v>2</v>
      </c>
      <c r="G18" s="14" t="str">
        <f t="shared" si="0"/>
        <v>Normal</v>
      </c>
      <c r="H18" s="6" t="str">
        <f>IFERROR(IF(G18="","",IF(UPPER(TRIM(G18&amp;""))=UPPER(k_3!G18&amp;""),"✓ Correct","✗ Try again")),"✗ Try again")</f>
        <v>✓ Correct</v>
      </c>
      <c r="I18" s="14" t="str">
        <f t="shared" si="1"/>
        <v>No</v>
      </c>
      <c r="J18" s="6" t="str">
        <f>IFERROR(IF(I18="","",IF(UPPER(TRIM(I18&amp;""))=UPPER(k_3!I18&amp;""),"✓ Correct","✗ Try again")),"✗ Try again")</f>
        <v>✓ Correct</v>
      </c>
      <c r="K18" s="14" t="str">
        <f t="shared" si="2"/>
        <v>No Bonus</v>
      </c>
      <c r="L18" s="6" t="str">
        <f>IFERROR(IF(K18="","",IF(UPPER(TRIM(K18&amp;""))=UPPER(k_3!K18&amp;""),"✓ Correct","✗ Try again")),"✗ Try again")</f>
        <v>✓ Correct</v>
      </c>
      <c r="M18" s="14" t="str" cm="1">
        <f t="array" ref="M18">_xlfn.IFS(E18=5,"A",E18=4,"B",E18=3,"C",E18&lt;3,"D")</f>
        <v>D</v>
      </c>
      <c r="N18" s="6" t="str">
        <f>IFERROR(IF(M18="","",IF(UPPER(TRIM(M18&amp;""))=UPPER(k_3!M18&amp;""),"✓ Correct","✗ Try again")),"✗ Try again")</f>
        <v>✓ Correct</v>
      </c>
    </row>
    <row r="19" spans="1:14" x14ac:dyDescent="0.3">
      <c r="A19" s="13" t="s">
        <v>134</v>
      </c>
      <c r="B19" s="13" t="s">
        <v>135</v>
      </c>
      <c r="C19" s="13" t="s">
        <v>103</v>
      </c>
      <c r="D19" s="15">
        <v>39000</v>
      </c>
      <c r="E19" s="13">
        <v>5</v>
      </c>
      <c r="F19" s="13">
        <v>10</v>
      </c>
      <c r="G19" s="14" t="str">
        <f t="shared" si="0"/>
        <v>Normal</v>
      </c>
      <c r="H19" s="6" t="str">
        <f>IFERROR(IF(G19="","",IF(UPPER(TRIM(G19&amp;""))=UPPER(k_3!G19&amp;""),"✓ Correct","✗ Try again")),"✗ Try again")</f>
        <v>✓ Correct</v>
      </c>
      <c r="I19" s="14" t="str">
        <f t="shared" si="1"/>
        <v>Yes</v>
      </c>
      <c r="J19" s="6" t="str">
        <f>IFERROR(IF(I19="","",IF(UPPER(TRIM(I19&amp;""))=UPPER(k_3!I19&amp;""),"✓ Correct","✗ Try again")),"✗ Try again")</f>
        <v>✓ Correct</v>
      </c>
      <c r="K19" s="14" t="str">
        <f t="shared" si="2"/>
        <v>Bonus</v>
      </c>
      <c r="L19" s="6" t="str">
        <f>IFERROR(IF(K19="","",IF(UPPER(TRIM(K19&amp;""))=UPPER(k_3!K19&amp;""),"✓ Correct","✗ Try again")),"✗ Try again")</f>
        <v>✓ Correct</v>
      </c>
      <c r="M19" s="14" t="str" cm="1">
        <f t="array" ref="M19">_xlfn.IFS(E19=5,"A",E19=4,"B",E19=3,"C",E19&lt;3,"D")</f>
        <v>A</v>
      </c>
      <c r="N19" s="6" t="str">
        <f>IFERROR(IF(M19="","",IF(UPPER(TRIM(M19&amp;""))=UPPER(k_3!M19&amp;""),"✓ Correct","✗ Try again")),"✗ Try again")</f>
        <v>✓ Correct</v>
      </c>
    </row>
    <row r="20" spans="1:14" x14ac:dyDescent="0.3">
      <c r="A20" s="13" t="s">
        <v>136</v>
      </c>
      <c r="B20" s="13" t="s">
        <v>137</v>
      </c>
      <c r="C20" s="13" t="s">
        <v>106</v>
      </c>
      <c r="D20" s="15">
        <v>83500</v>
      </c>
      <c r="E20" s="13">
        <v>2</v>
      </c>
      <c r="F20" s="13">
        <v>4</v>
      </c>
      <c r="G20" s="14" t="str">
        <f t="shared" si="0"/>
        <v>High</v>
      </c>
      <c r="H20" s="6" t="str">
        <f>IFERROR(IF(G20="","",IF(UPPER(TRIM(G20&amp;""))=UPPER(k_3!G20&amp;""),"✓ Correct","✗ Try again")),"✗ Try again")</f>
        <v>✓ Correct</v>
      </c>
      <c r="I20" s="14" t="str">
        <f t="shared" si="1"/>
        <v>No</v>
      </c>
      <c r="J20" s="6" t="str">
        <f>IFERROR(IF(I20="","",IF(UPPER(TRIM(I20&amp;""))=UPPER(k_3!I20&amp;""),"✓ Correct","✗ Try again")),"✗ Try again")</f>
        <v>✓ Correct</v>
      </c>
      <c r="K20" s="14" t="str">
        <f t="shared" si="2"/>
        <v>No Bonus</v>
      </c>
      <c r="L20" s="6" t="str">
        <f>IFERROR(IF(K20="","",IF(UPPER(TRIM(K20&amp;""))=UPPER(k_3!K20&amp;""),"✓ Correct","✗ Try again")),"✗ Try again")</f>
        <v>✓ Correct</v>
      </c>
      <c r="M20" s="14" t="str" cm="1">
        <f t="array" ref="M20">_xlfn.IFS(E20=5,"A",E20=4,"B",E20=3,"C",E20&lt;3,"D")</f>
        <v>D</v>
      </c>
      <c r="N20" s="6" t="str">
        <f>IFERROR(IF(M20="","",IF(UPPER(TRIM(M20&amp;""))=UPPER(k_3!M20&amp;""),"✓ Correct","✗ Try again")),"✗ Try again")</f>
        <v>✓ Correct</v>
      </c>
    </row>
    <row r="21" spans="1:14" x14ac:dyDescent="0.3">
      <c r="A21" s="13" t="s">
        <v>138</v>
      </c>
      <c r="B21" s="13" t="s">
        <v>139</v>
      </c>
      <c r="C21" s="13" t="s">
        <v>109</v>
      </c>
      <c r="D21" s="15">
        <v>81500</v>
      </c>
      <c r="E21" s="13">
        <v>1</v>
      </c>
      <c r="F21" s="13">
        <v>7</v>
      </c>
      <c r="G21" s="14" t="str">
        <f t="shared" si="0"/>
        <v>High</v>
      </c>
      <c r="H21" s="6" t="str">
        <f>IFERROR(IF(G21="","",IF(UPPER(TRIM(G21&amp;""))=UPPER(k_3!G21&amp;""),"✓ Correct","✗ Try again")),"✗ Try again")</f>
        <v>✓ Correct</v>
      </c>
      <c r="I21" s="14" t="str">
        <f t="shared" si="1"/>
        <v>No</v>
      </c>
      <c r="J21" s="6" t="str">
        <f>IFERROR(IF(I21="","",IF(UPPER(TRIM(I21&amp;""))=UPPER(k_3!I21&amp;""),"✓ Correct","✗ Try again")),"✗ Try again")</f>
        <v>✓ Correct</v>
      </c>
      <c r="K21" s="14" t="str">
        <f t="shared" si="2"/>
        <v>No Bonus</v>
      </c>
      <c r="L21" s="6" t="str">
        <f>IFERROR(IF(K21="","",IF(UPPER(TRIM(K21&amp;""))=UPPER(k_3!K21&amp;""),"✓ Correct","✗ Try again")),"✗ Try again")</f>
        <v>✓ Correct</v>
      </c>
      <c r="M21" s="14" t="str" cm="1">
        <f t="array" ref="M21">_xlfn.IFS(E21=5,"A",E21=4,"B",E21=3,"C",E21&lt;3,"D")</f>
        <v>D</v>
      </c>
      <c r="N21" s="6" t="str">
        <f>IFERROR(IF(M21="","",IF(UPPER(TRIM(M21&amp;""))=UPPER(k_3!M21&amp;""),"✓ Correct","✗ Try again")),"✗ Try again")</f>
        <v>✓ Correct</v>
      </c>
    </row>
    <row r="22" spans="1:14" x14ac:dyDescent="0.3">
      <c r="A22" s="13" t="s">
        <v>140</v>
      </c>
      <c r="B22" s="13" t="s">
        <v>141</v>
      </c>
      <c r="C22" s="13" t="s">
        <v>117</v>
      </c>
      <c r="D22" s="15">
        <v>36500</v>
      </c>
      <c r="E22" s="13">
        <v>1</v>
      </c>
      <c r="F22" s="13">
        <v>5</v>
      </c>
      <c r="G22" s="14" t="str">
        <f t="shared" si="0"/>
        <v>Normal</v>
      </c>
      <c r="H22" s="6" t="str">
        <f>IFERROR(IF(G22="","",IF(UPPER(TRIM(G22&amp;""))=UPPER(k_3!G22&amp;""),"✓ Correct","✗ Try again")),"✗ Try again")</f>
        <v>✓ Correct</v>
      </c>
      <c r="I22" s="14" t="str">
        <f t="shared" si="1"/>
        <v>No</v>
      </c>
      <c r="J22" s="6" t="str">
        <f>IFERROR(IF(I22="","",IF(UPPER(TRIM(I22&amp;""))=UPPER(k_3!I22&amp;""),"✓ Correct","✗ Try again")),"✗ Try again")</f>
        <v>✓ Correct</v>
      </c>
      <c r="K22" s="14" t="str">
        <f t="shared" si="2"/>
        <v>No Bonus</v>
      </c>
      <c r="L22" s="6" t="str">
        <f>IFERROR(IF(K22="","",IF(UPPER(TRIM(K22&amp;""))=UPPER(k_3!K22&amp;""),"✓ Correct","✗ Try again")),"✗ Try again")</f>
        <v>✓ Correct</v>
      </c>
      <c r="M22" s="14" t="str" cm="1">
        <f t="array" ref="M22">_xlfn.IFS(E22=5,"A",E22=4,"B",E22=3,"C",E22&lt;3,"D")</f>
        <v>D</v>
      </c>
      <c r="N22" s="6" t="str">
        <f>IFERROR(IF(M22="","",IF(UPPER(TRIM(M22&amp;""))=UPPER(k_3!M22&amp;""),"✓ Correct","✗ Try again")),"✗ Try again")</f>
        <v>✓ Correct</v>
      </c>
    </row>
    <row r="23" spans="1:14" x14ac:dyDescent="0.3">
      <c r="A23" s="13" t="s">
        <v>142</v>
      </c>
      <c r="B23" s="13" t="s">
        <v>143</v>
      </c>
      <c r="C23" s="13" t="s">
        <v>103</v>
      </c>
      <c r="D23" s="15">
        <v>58500</v>
      </c>
      <c r="E23" s="13">
        <v>1</v>
      </c>
      <c r="F23" s="13">
        <v>4</v>
      </c>
      <c r="G23" s="14" t="str">
        <f t="shared" si="0"/>
        <v>Normal</v>
      </c>
      <c r="H23" s="6" t="str">
        <f>IFERROR(IF(G23="","",IF(UPPER(TRIM(G23&amp;""))=UPPER(k_3!G23&amp;""),"✓ Correct","✗ Try again")),"✗ Try again")</f>
        <v>✓ Correct</v>
      </c>
      <c r="I23" s="14" t="str">
        <f t="shared" si="1"/>
        <v>No</v>
      </c>
      <c r="J23" s="6" t="str">
        <f>IFERROR(IF(I23="","",IF(UPPER(TRIM(I23&amp;""))=UPPER(k_3!I23&amp;""),"✓ Correct","✗ Try again")),"✗ Try again")</f>
        <v>✓ Correct</v>
      </c>
      <c r="K23" s="14" t="str">
        <f t="shared" si="2"/>
        <v>Bonus</v>
      </c>
      <c r="L23" s="6" t="str">
        <f>IFERROR(IF(K23="","",IF(UPPER(TRIM(K23&amp;""))=UPPER(k_3!K23&amp;""),"✓ Correct","✗ Try again")),"✗ Try again")</f>
        <v>✓ Correct</v>
      </c>
      <c r="M23" s="14" t="str" cm="1">
        <f t="array" ref="M23">_xlfn.IFS(E23=5,"A",E23=4,"B",E23=3,"C",E23&lt;3,"D")</f>
        <v>D</v>
      </c>
      <c r="N23" s="6" t="str">
        <f>IFERROR(IF(M23="","",IF(UPPER(TRIM(M23&amp;""))=UPPER(k_3!M23&amp;""),"✓ Correct","✗ Try again")),"✗ Try again")</f>
        <v>✓ Correct</v>
      </c>
    </row>
    <row r="24" spans="1:14" x14ac:dyDescent="0.3">
      <c r="A24" s="13" t="s">
        <v>144</v>
      </c>
      <c r="B24" s="13" t="s">
        <v>145</v>
      </c>
      <c r="C24" s="13" t="s">
        <v>106</v>
      </c>
      <c r="D24" s="15">
        <v>39500</v>
      </c>
      <c r="E24" s="13">
        <v>2</v>
      </c>
      <c r="F24" s="13">
        <v>4</v>
      </c>
      <c r="G24" s="14" t="str">
        <f t="shared" si="0"/>
        <v>Normal</v>
      </c>
      <c r="H24" s="6" t="str">
        <f>IFERROR(IF(G24="","",IF(UPPER(TRIM(G24&amp;""))=UPPER(k_3!G24&amp;""),"✓ Correct","✗ Try again")),"✗ Try again")</f>
        <v>✓ Correct</v>
      </c>
      <c r="I24" s="14" t="str">
        <f t="shared" si="1"/>
        <v>No</v>
      </c>
      <c r="J24" s="6" t="str">
        <f>IFERROR(IF(I24="","",IF(UPPER(TRIM(I24&amp;""))=UPPER(k_3!I24&amp;""),"✓ Correct","✗ Try again")),"✗ Try again")</f>
        <v>✓ Correct</v>
      </c>
      <c r="K24" s="14" t="str">
        <f t="shared" si="2"/>
        <v>No Bonus</v>
      </c>
      <c r="L24" s="6" t="str">
        <f>IFERROR(IF(K24="","",IF(UPPER(TRIM(K24&amp;""))=UPPER(k_3!K24&amp;""),"✓ Correct","✗ Try again")),"✗ Try again")</f>
        <v>✓ Correct</v>
      </c>
      <c r="M24" s="14" t="str" cm="1">
        <f t="array" ref="M24">_xlfn.IFS(E24=5,"A",E24=4,"B",E24=3,"C",E24&lt;3,"D")</f>
        <v>D</v>
      </c>
      <c r="N24" s="6" t="str">
        <f>IFERROR(IF(M24="","",IF(UPPER(TRIM(M24&amp;""))=UPPER(k_3!M24&amp;""),"✓ Correct","✗ Try again")),"✗ Try again")</f>
        <v>✓ Correct</v>
      </c>
    </row>
  </sheetData>
  <conditionalFormatting sqref="H5:H24">
    <cfRule type="expression" dxfId="42" priority="2">
      <formula>LEFT(H5,1)="✓"</formula>
    </cfRule>
    <cfRule type="expression" dxfId="41" priority="3">
      <formula>LEFT(H5,1)="✗"</formula>
    </cfRule>
  </conditionalFormatting>
  <conditionalFormatting sqref="J5:J24">
    <cfRule type="expression" dxfId="40" priority="4">
      <formula>LEFT(J5,1)="✓"</formula>
    </cfRule>
    <cfRule type="expression" dxfId="39" priority="5">
      <formula>LEFT(J5,1)="✗"</formula>
    </cfRule>
  </conditionalFormatting>
  <conditionalFormatting sqref="L5:L24">
    <cfRule type="expression" dxfId="38" priority="6">
      <formula>LEFT(L5,1)="✓"</formula>
    </cfRule>
    <cfRule type="expression" dxfId="37" priority="7">
      <formula>LEFT(L5,1)="✗"</formula>
    </cfRule>
  </conditionalFormatting>
  <conditionalFormatting sqref="N5:N24">
    <cfRule type="expression" dxfId="36" priority="8">
      <formula>LEFT(N5,1)="✓"</formula>
    </cfRule>
    <cfRule type="expression" dxfId="35" priority="9">
      <formula>LEFT(N5,1)="✗"</formula>
    </cfRule>
  </conditionalFormatting>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4"/>
  <sheetViews>
    <sheetView zoomScaleNormal="100" workbookViewId="0">
      <pane ySplit="4" topLeftCell="A5" activePane="bottomLeft" state="frozen"/>
      <selection pane="bottomLeft" activeCell="D15" sqref="D15"/>
    </sheetView>
  </sheetViews>
  <sheetFormatPr defaultColWidth="8.6640625" defaultRowHeight="14.4" x14ac:dyDescent="0.3"/>
  <cols>
    <col min="1" max="1" width="4" customWidth="1"/>
    <col min="2" max="2" width="60" customWidth="1"/>
    <col min="3" max="3" width="34" customWidth="1"/>
    <col min="4" max="4" width="18" customWidth="1"/>
    <col min="5" max="5" width="14" customWidth="1"/>
    <col min="8" max="8" width="6.6640625" bestFit="1" customWidth="1"/>
    <col min="9" max="9" width="15.21875" bestFit="1" customWidth="1"/>
    <col min="10" max="10" width="9.77734375" bestFit="1" customWidth="1"/>
    <col min="11" max="11" width="10.6640625" bestFit="1" customWidth="1"/>
    <col min="12" max="12" width="11.109375" bestFit="1" customWidth="1"/>
    <col min="13" max="13" width="11.77734375" bestFit="1" customWidth="1"/>
    <col min="14" max="14" width="8.109375" bestFit="1" customWidth="1"/>
    <col min="15" max="15" width="6.6640625" bestFit="1" customWidth="1"/>
  </cols>
  <sheetData>
    <row r="1" spans="1:5" ht="17.399999999999999" x14ac:dyDescent="0.3">
      <c r="A1" s="1" t="s">
        <v>146</v>
      </c>
    </row>
    <row r="2" spans="1:5" x14ac:dyDescent="0.3">
      <c r="A2" s="2" t="s">
        <v>147</v>
      </c>
    </row>
    <row r="4" spans="1:5" x14ac:dyDescent="0.3">
      <c r="A4" s="5" t="s">
        <v>24</v>
      </c>
      <c r="B4" s="5" t="s">
        <v>25</v>
      </c>
      <c r="C4" s="5" t="s">
        <v>26</v>
      </c>
      <c r="D4" s="5" t="s">
        <v>27</v>
      </c>
      <c r="E4" s="5" t="s">
        <v>28</v>
      </c>
    </row>
    <row r="5" spans="1:5" x14ac:dyDescent="0.3">
      <c r="A5" s="11">
        <v>1</v>
      </c>
      <c r="B5" s="11" t="s">
        <v>148</v>
      </c>
      <c r="C5" s="11" t="s">
        <v>149</v>
      </c>
      <c r="D5" s="12">
        <v>4</v>
      </c>
      <c r="E5" s="11" t="str">
        <f>IFERROR(IF(D5="","",IF(ABS(D5-k_4!D5)&lt;=IF(ABS(k_4!D5)&lt;1,0.001,0.01),"✓ Correct","✗ Try again")),"✗ Try again")</f>
        <v>✓ Correct</v>
      </c>
    </row>
    <row r="6" spans="1:5" x14ac:dyDescent="0.3">
      <c r="A6" s="11">
        <v>2</v>
      </c>
      <c r="B6" s="11" t="s">
        <v>150</v>
      </c>
      <c r="C6" s="11" t="s">
        <v>151</v>
      </c>
      <c r="D6" s="12">
        <v>6</v>
      </c>
      <c r="E6" s="11" t="str">
        <f>IFERROR(IF(D6="","",IF(ABS(D6-k_4!D6)&lt;=IF(ABS(k_4!D6)&lt;1,0.001,0.01),"✓ Correct","✗ Try again")),"✗ Try again")</f>
        <v>✓ Correct</v>
      </c>
    </row>
    <row r="7" spans="1:5" x14ac:dyDescent="0.3">
      <c r="A7" s="11">
        <v>3</v>
      </c>
      <c r="B7" s="11" t="s">
        <v>152</v>
      </c>
      <c r="C7" s="11" t="s">
        <v>153</v>
      </c>
      <c r="D7" s="12">
        <v>4</v>
      </c>
      <c r="E7" s="11" t="str">
        <f>IFERROR(IF(D7="","",IF(ABS(D7-k_4!D7)&lt;=IF(ABS(k_4!D7)&lt;1,0.001,0.01),"✓ Correct","✗ Try again")),"✗ Try again")</f>
        <v>✓ Correct</v>
      </c>
    </row>
    <row r="8" spans="1:5" ht="26.4" x14ac:dyDescent="0.3">
      <c r="A8" s="11">
        <v>4</v>
      </c>
      <c r="B8" s="11" t="s">
        <v>154</v>
      </c>
      <c r="C8" s="11" t="s">
        <v>155</v>
      </c>
      <c r="D8" s="12" t="s">
        <v>111</v>
      </c>
      <c r="E8" s="11" t="str">
        <f>IFERROR(IF(D8="","",IF(UPPER(TRIM(D8&amp;""))=UPPER(k_4!D8&amp;""),"✓ Correct","✗ Try again")),"✗ Try again")</f>
        <v>✓ Correct</v>
      </c>
    </row>
    <row r="9" spans="1:5" x14ac:dyDescent="0.3">
      <c r="A9" s="11">
        <v>5</v>
      </c>
      <c r="B9" s="11" t="s">
        <v>156</v>
      </c>
      <c r="C9" s="11" t="s">
        <v>157</v>
      </c>
      <c r="D9" s="12" t="s">
        <v>129</v>
      </c>
      <c r="E9" s="11" t="str">
        <f>IFERROR(IF(D9="","",IF(UPPER(TRIM(D9&amp;""))=UPPER(k_4!D9&amp;""),"✓ Correct","✗ Try again")),"✗ Try again")</f>
        <v>✓ Correct</v>
      </c>
    </row>
    <row r="10" spans="1:5" x14ac:dyDescent="0.3">
      <c r="A10" s="11">
        <v>6</v>
      </c>
      <c r="B10" s="11" t="s">
        <v>158</v>
      </c>
      <c r="C10" s="11" t="s">
        <v>159</v>
      </c>
      <c r="D10" s="12" t="s">
        <v>105</v>
      </c>
      <c r="E10" s="11" t="str">
        <f>IFERROR(IF(D10="","",IF(UPPER(TRIM(D10&amp;""))=UPPER(k_4!D10&amp;""),"✓ Correct","✗ Try again")),"✗ Try again")</f>
        <v>✓ Correct</v>
      </c>
    </row>
    <row r="11" spans="1:5" ht="26.4" x14ac:dyDescent="0.3">
      <c r="A11" s="11">
        <v>7</v>
      </c>
      <c r="B11" s="11" t="s">
        <v>160</v>
      </c>
      <c r="C11" s="11" t="s">
        <v>161</v>
      </c>
      <c r="D11" s="12">
        <v>6</v>
      </c>
      <c r="E11" s="11" t="str">
        <f>IFERROR(IF(D11="","",IF(ABS(D11-k_4!D11)&lt;=IF(ABS(k_4!D11)&lt;1,0.001,0.01),"✓ Correct","✗ Try again")),"✗ Try again")</f>
        <v>✓ Correct</v>
      </c>
    </row>
    <row r="12" spans="1:5" ht="26.4" x14ac:dyDescent="0.3">
      <c r="A12" s="11">
        <v>8</v>
      </c>
      <c r="B12" s="11" t="s">
        <v>162</v>
      </c>
      <c r="C12" s="11" t="s">
        <v>163</v>
      </c>
      <c r="D12" s="12">
        <v>11</v>
      </c>
      <c r="E12" s="11" t="str">
        <f>IFERROR(IF(D12="","",IF(ABS(D12-k_4!D12)&lt;=IF(ABS(k_4!D12)&lt;1,0.001,0.01),"✓ Correct","✗ Try again")),"✗ Try again")</f>
        <v>✓ Correct</v>
      </c>
    </row>
    <row r="13" spans="1:5" ht="26.4" x14ac:dyDescent="0.3">
      <c r="A13" s="11">
        <v>9</v>
      </c>
      <c r="B13" s="11" t="s">
        <v>164</v>
      </c>
      <c r="C13" s="11" t="s">
        <v>165</v>
      </c>
      <c r="D13" s="29" t="s">
        <v>413</v>
      </c>
      <c r="E13" s="16" t="s">
        <v>166</v>
      </c>
    </row>
    <row r="14" spans="1:5" x14ac:dyDescent="0.3">
      <c r="A14" s="11">
        <v>10</v>
      </c>
      <c r="B14" s="11" t="s">
        <v>167</v>
      </c>
      <c r="C14" s="11" t="s">
        <v>168</v>
      </c>
      <c r="D14" s="29" t="s">
        <v>414</v>
      </c>
      <c r="E14" s="16" t="s">
        <v>166</v>
      </c>
    </row>
  </sheetData>
  <conditionalFormatting sqref="E5:E14">
    <cfRule type="expression" dxfId="34" priority="2">
      <formula>LEFT(E5,1)="✓"</formula>
    </cfRule>
    <cfRule type="expression" dxfId="33" priority="3">
      <formula>LEFT(E5,1)="✗"</formula>
    </cfRule>
  </conditionalFormatting>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09924-0F81-42F1-9FCA-9E228E203851}">
  <sheetPr codeName="Sheet6"/>
  <dimension ref="A1:H21"/>
  <sheetViews>
    <sheetView zoomScale="115" zoomScaleNormal="115" workbookViewId="0">
      <selection sqref="A1:H21"/>
    </sheetView>
  </sheetViews>
  <sheetFormatPr defaultRowHeight="14.4" x14ac:dyDescent="0.3"/>
  <cols>
    <col min="1" max="1" width="12.77734375" customWidth="1"/>
    <col min="2" max="2" width="15.21875" bestFit="1" customWidth="1"/>
    <col min="3" max="3" width="12.5546875" customWidth="1"/>
    <col min="4" max="4" width="13.5546875" customWidth="1"/>
    <col min="5" max="5" width="14.5546875" customWidth="1"/>
    <col min="6" max="7" width="13.6640625" customWidth="1"/>
    <col min="8" max="8" width="13.109375" customWidth="1"/>
  </cols>
  <sheetData>
    <row r="1" spans="1:8" ht="26.4" x14ac:dyDescent="0.3">
      <c r="A1" s="5" t="s">
        <v>91</v>
      </c>
      <c r="B1" s="5" t="s">
        <v>92</v>
      </c>
      <c r="C1" s="5" t="s">
        <v>174</v>
      </c>
      <c r="D1" s="5" t="s">
        <v>172</v>
      </c>
      <c r="E1" s="5" t="s">
        <v>243</v>
      </c>
      <c r="F1" s="5" t="s">
        <v>201</v>
      </c>
      <c r="G1" s="30" t="s">
        <v>244</v>
      </c>
      <c r="H1" s="5" t="s">
        <v>245</v>
      </c>
    </row>
    <row r="2" spans="1:8" x14ac:dyDescent="0.3">
      <c r="A2" s="6" t="s">
        <v>104</v>
      </c>
      <c r="B2" s="6" t="s">
        <v>105</v>
      </c>
      <c r="C2" s="6" t="s">
        <v>106</v>
      </c>
      <c r="D2" s="6" t="s">
        <v>248</v>
      </c>
      <c r="E2" s="6" t="s">
        <v>249</v>
      </c>
      <c r="F2" s="26">
        <v>42247</v>
      </c>
      <c r="G2" s="27">
        <v>47000</v>
      </c>
      <c r="H2" s="6">
        <v>5</v>
      </c>
    </row>
    <row r="3" spans="1:8" x14ac:dyDescent="0.3">
      <c r="A3" s="6" t="s">
        <v>134</v>
      </c>
      <c r="B3" s="6" t="s">
        <v>135</v>
      </c>
      <c r="C3" s="6" t="s">
        <v>103</v>
      </c>
      <c r="D3" s="6" t="s">
        <v>246</v>
      </c>
      <c r="E3" s="6" t="s">
        <v>247</v>
      </c>
      <c r="F3" s="26">
        <v>42427</v>
      </c>
      <c r="G3" s="27">
        <v>39000</v>
      </c>
      <c r="H3" s="6">
        <v>5</v>
      </c>
    </row>
    <row r="4" spans="1:8" x14ac:dyDescent="0.3">
      <c r="A4" s="6" t="s">
        <v>128</v>
      </c>
      <c r="B4" s="6" t="s">
        <v>129</v>
      </c>
      <c r="C4" s="6" t="s">
        <v>103</v>
      </c>
      <c r="D4" s="6" t="s">
        <v>254</v>
      </c>
      <c r="E4" s="6" t="s">
        <v>255</v>
      </c>
      <c r="F4" s="26">
        <v>42487</v>
      </c>
      <c r="G4" s="27">
        <v>92500</v>
      </c>
      <c r="H4" s="6">
        <v>5</v>
      </c>
    </row>
    <row r="5" spans="1:8" x14ac:dyDescent="0.3">
      <c r="A5" s="6" t="s">
        <v>107</v>
      </c>
      <c r="B5" s="6" t="s">
        <v>108</v>
      </c>
      <c r="C5" s="6" t="s">
        <v>109</v>
      </c>
      <c r="D5" s="6" t="s">
        <v>250</v>
      </c>
      <c r="E5" s="6" t="s">
        <v>250</v>
      </c>
      <c r="F5" s="26">
        <v>42512</v>
      </c>
      <c r="G5" s="27">
        <v>78500</v>
      </c>
      <c r="H5" s="6">
        <v>2</v>
      </c>
    </row>
    <row r="6" spans="1:8" x14ac:dyDescent="0.3">
      <c r="A6" s="6" t="s">
        <v>126</v>
      </c>
      <c r="B6" s="6" t="s">
        <v>127</v>
      </c>
      <c r="C6" s="6" t="s">
        <v>106</v>
      </c>
      <c r="D6" s="6" t="s">
        <v>246</v>
      </c>
      <c r="E6" s="6" t="s">
        <v>247</v>
      </c>
      <c r="F6" s="26">
        <v>42595</v>
      </c>
      <c r="G6" s="27">
        <v>35000</v>
      </c>
      <c r="H6" s="6">
        <v>5</v>
      </c>
    </row>
    <row r="7" spans="1:8" x14ac:dyDescent="0.3">
      <c r="A7" s="6" t="s">
        <v>120</v>
      </c>
      <c r="B7" s="6" t="s">
        <v>121</v>
      </c>
      <c r="C7" s="6" t="s">
        <v>106</v>
      </c>
      <c r="D7" s="6" t="s">
        <v>248</v>
      </c>
      <c r="E7" s="6" t="s">
        <v>249</v>
      </c>
      <c r="F7" s="26">
        <v>42910</v>
      </c>
      <c r="G7" s="27">
        <v>40000</v>
      </c>
      <c r="H7" s="6">
        <v>1</v>
      </c>
    </row>
    <row r="8" spans="1:8" x14ac:dyDescent="0.3">
      <c r="A8" s="6" t="s">
        <v>124</v>
      </c>
      <c r="B8" s="6" t="s">
        <v>125</v>
      </c>
      <c r="C8" s="6" t="s">
        <v>109</v>
      </c>
      <c r="D8" s="6" t="s">
        <v>250</v>
      </c>
      <c r="E8" s="6" t="s">
        <v>250</v>
      </c>
      <c r="F8" s="26">
        <v>43191</v>
      </c>
      <c r="G8" s="27">
        <v>102500</v>
      </c>
      <c r="H8" s="6">
        <v>4</v>
      </c>
    </row>
    <row r="9" spans="1:8" x14ac:dyDescent="0.3">
      <c r="A9" s="6" t="s">
        <v>130</v>
      </c>
      <c r="B9" s="6" t="s">
        <v>131</v>
      </c>
      <c r="C9" s="6" t="s">
        <v>117</v>
      </c>
      <c r="D9" s="6" t="s">
        <v>248</v>
      </c>
      <c r="E9" s="6" t="s">
        <v>249</v>
      </c>
      <c r="F9" s="26">
        <v>43268</v>
      </c>
      <c r="G9" s="27">
        <v>55000</v>
      </c>
      <c r="H9" s="6">
        <v>5</v>
      </c>
    </row>
    <row r="10" spans="1:8" x14ac:dyDescent="0.3">
      <c r="A10" s="6" t="s">
        <v>138</v>
      </c>
      <c r="B10" s="6" t="s">
        <v>139</v>
      </c>
      <c r="C10" s="6" t="s">
        <v>109</v>
      </c>
      <c r="D10" s="6" t="s">
        <v>248</v>
      </c>
      <c r="E10" s="6" t="s">
        <v>249</v>
      </c>
      <c r="F10" s="26">
        <v>43530</v>
      </c>
      <c r="G10" s="27">
        <v>81500</v>
      </c>
      <c r="H10" s="6">
        <v>1</v>
      </c>
    </row>
    <row r="11" spans="1:8" x14ac:dyDescent="0.3">
      <c r="A11" s="6" t="s">
        <v>118</v>
      </c>
      <c r="B11" s="6" t="s">
        <v>119</v>
      </c>
      <c r="C11" s="6" t="s">
        <v>103</v>
      </c>
      <c r="D11" s="6" t="s">
        <v>246</v>
      </c>
      <c r="E11" s="6" t="s">
        <v>247</v>
      </c>
      <c r="F11" s="26">
        <v>43629</v>
      </c>
      <c r="G11" s="27">
        <v>75000</v>
      </c>
      <c r="H11" s="6">
        <v>1</v>
      </c>
    </row>
    <row r="12" spans="1:8" x14ac:dyDescent="0.3">
      <c r="A12" s="6" t="s">
        <v>140</v>
      </c>
      <c r="B12" s="6" t="s">
        <v>141</v>
      </c>
      <c r="C12" s="6" t="s">
        <v>117</v>
      </c>
      <c r="D12" s="6" t="s">
        <v>254</v>
      </c>
      <c r="E12" s="6" t="s">
        <v>255</v>
      </c>
      <c r="F12" s="26">
        <v>44248</v>
      </c>
      <c r="G12" s="27">
        <v>36500</v>
      </c>
      <c r="H12" s="6">
        <v>1</v>
      </c>
    </row>
    <row r="13" spans="1:8" x14ac:dyDescent="0.3">
      <c r="A13" s="6" t="s">
        <v>101</v>
      </c>
      <c r="B13" s="6" t="s">
        <v>102</v>
      </c>
      <c r="C13" s="6" t="s">
        <v>103</v>
      </c>
      <c r="D13" s="6" t="s">
        <v>246</v>
      </c>
      <c r="E13" s="6" t="s">
        <v>247</v>
      </c>
      <c r="F13" s="26">
        <v>44262</v>
      </c>
      <c r="G13" s="27">
        <v>69000</v>
      </c>
      <c r="H13" s="6">
        <v>4</v>
      </c>
    </row>
    <row r="14" spans="1:8" x14ac:dyDescent="0.3">
      <c r="A14" s="6" t="s">
        <v>122</v>
      </c>
      <c r="B14" s="6" t="s">
        <v>123</v>
      </c>
      <c r="C14" s="6" t="s">
        <v>112</v>
      </c>
      <c r="D14" s="6" t="s">
        <v>251</v>
      </c>
      <c r="E14" s="6" t="s">
        <v>247</v>
      </c>
      <c r="F14" s="26">
        <v>44285</v>
      </c>
      <c r="G14" s="27">
        <v>74500</v>
      </c>
      <c r="H14" s="6">
        <v>2</v>
      </c>
    </row>
    <row r="15" spans="1:8" x14ac:dyDescent="0.3">
      <c r="A15" s="6" t="s">
        <v>142</v>
      </c>
      <c r="B15" s="6" t="s">
        <v>143</v>
      </c>
      <c r="C15" s="6" t="s">
        <v>103</v>
      </c>
      <c r="D15" s="6" t="s">
        <v>246</v>
      </c>
      <c r="E15" s="6" t="s">
        <v>247</v>
      </c>
      <c r="F15" s="26">
        <v>44316</v>
      </c>
      <c r="G15" s="27">
        <v>58500</v>
      </c>
      <c r="H15" s="6">
        <v>1</v>
      </c>
    </row>
    <row r="16" spans="1:8" x14ac:dyDescent="0.3">
      <c r="A16" s="6" t="s">
        <v>136</v>
      </c>
      <c r="B16" s="6" t="s">
        <v>137</v>
      </c>
      <c r="C16" s="6" t="s">
        <v>106</v>
      </c>
      <c r="D16" s="6" t="s">
        <v>250</v>
      </c>
      <c r="E16" s="6" t="s">
        <v>250</v>
      </c>
      <c r="F16" s="26">
        <v>44344</v>
      </c>
      <c r="G16" s="27">
        <v>83500</v>
      </c>
      <c r="H16" s="6">
        <v>2</v>
      </c>
    </row>
    <row r="17" spans="1:8" x14ac:dyDescent="0.3">
      <c r="A17" s="6" t="s">
        <v>115</v>
      </c>
      <c r="B17" s="6" t="s">
        <v>116</v>
      </c>
      <c r="C17" s="6" t="s">
        <v>117</v>
      </c>
      <c r="D17" s="6" t="s">
        <v>254</v>
      </c>
      <c r="E17" s="6" t="s">
        <v>255</v>
      </c>
      <c r="F17" s="26">
        <v>44368</v>
      </c>
      <c r="G17" s="27">
        <v>37000</v>
      </c>
      <c r="H17" s="6"/>
    </row>
    <row r="18" spans="1:8" x14ac:dyDescent="0.3">
      <c r="A18" s="6" t="s">
        <v>144</v>
      </c>
      <c r="B18" s="6" t="s">
        <v>145</v>
      </c>
      <c r="C18" s="6" t="s">
        <v>106</v>
      </c>
      <c r="D18" s="6" t="s">
        <v>251</v>
      </c>
      <c r="E18" s="6" t="s">
        <v>247</v>
      </c>
      <c r="F18" s="26">
        <v>44540</v>
      </c>
      <c r="G18" s="27">
        <v>39500</v>
      </c>
      <c r="H18" s="6">
        <v>2</v>
      </c>
    </row>
    <row r="19" spans="1:8" x14ac:dyDescent="0.3">
      <c r="A19" s="6" t="s">
        <v>110</v>
      </c>
      <c r="B19" s="6" t="s">
        <v>111</v>
      </c>
      <c r="C19" s="6" t="s">
        <v>112</v>
      </c>
      <c r="D19" s="6" t="s">
        <v>251</v>
      </c>
      <c r="E19" s="6" t="s">
        <v>247</v>
      </c>
      <c r="F19" s="26">
        <v>44588</v>
      </c>
      <c r="G19" s="27">
        <v>111000</v>
      </c>
      <c r="H19" s="6">
        <v>5</v>
      </c>
    </row>
    <row r="20" spans="1:8" x14ac:dyDescent="0.3">
      <c r="A20" s="6" t="s">
        <v>132</v>
      </c>
      <c r="B20" s="6" t="s">
        <v>133</v>
      </c>
      <c r="C20" s="6" t="s">
        <v>112</v>
      </c>
      <c r="D20" s="6" t="s">
        <v>252</v>
      </c>
      <c r="E20" s="6" t="s">
        <v>253</v>
      </c>
      <c r="F20" s="26">
        <v>45347</v>
      </c>
      <c r="G20" s="27">
        <v>32500</v>
      </c>
      <c r="H20" s="6"/>
    </row>
    <row r="21" spans="1:8" x14ac:dyDescent="0.3">
      <c r="A21" s="6" t="s">
        <v>113</v>
      </c>
      <c r="B21" s="6" t="s">
        <v>114</v>
      </c>
      <c r="C21" s="6" t="s">
        <v>103</v>
      </c>
      <c r="D21" s="6" t="s">
        <v>252</v>
      </c>
      <c r="E21" s="6" t="s">
        <v>253</v>
      </c>
      <c r="F21" s="26">
        <v>45886</v>
      </c>
      <c r="G21" s="27">
        <v>34000</v>
      </c>
      <c r="H21" s="6">
        <v>1</v>
      </c>
    </row>
  </sheetData>
  <conditionalFormatting sqref="G2:G21">
    <cfRule type="aboveAverage" dxfId="32" priority="1"/>
    <cfRule type="aboveAverage" dxfId="31" priority="2" aboveAverage="0"/>
    <cfRule type="cellIs" dxfId="30" priority="3" operator="greaterThan">
      <formula>75000</formula>
    </cfRule>
  </conditionalFormatting>
  <dataValidations count="1">
    <dataValidation type="whole" allowBlank="1" showInputMessage="1" showErrorMessage="1" sqref="H2:H21" xr:uid="{1CA67189-6F4D-45FA-B116-40D9137138B7}">
      <formula1>1</formula1>
      <formula2>5</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Q29"/>
  <sheetViews>
    <sheetView topLeftCell="A10" zoomScaleNormal="100" workbookViewId="0">
      <selection activeCell="J27" sqref="J27"/>
    </sheetView>
  </sheetViews>
  <sheetFormatPr defaultColWidth="8.6640625" defaultRowHeight="14.4" x14ac:dyDescent="0.3"/>
  <cols>
    <col min="1" max="1" width="16" customWidth="1"/>
    <col min="2" max="2" width="14" customWidth="1"/>
    <col min="3" max="3" width="12" customWidth="1"/>
    <col min="4" max="4" width="16" customWidth="1"/>
    <col min="5" max="5" width="12" customWidth="1"/>
    <col min="6" max="6" width="3" customWidth="1"/>
    <col min="7" max="7" width="12" customWidth="1"/>
    <col min="8" max="8" width="10" customWidth="1"/>
    <col min="10" max="10" width="6.6640625" bestFit="1" customWidth="1"/>
    <col min="11" max="11" width="15.21875" bestFit="1" customWidth="1"/>
    <col min="12" max="12" width="9.77734375" bestFit="1" customWidth="1"/>
    <col min="13" max="13" width="10.6640625" bestFit="1" customWidth="1"/>
    <col min="14" max="14" width="11.109375" bestFit="1" customWidth="1"/>
    <col min="15" max="15" width="11.77734375" bestFit="1" customWidth="1"/>
    <col min="16" max="16" width="8.109375" bestFit="1" customWidth="1"/>
    <col min="17" max="17" width="6.6640625" bestFit="1" customWidth="1"/>
  </cols>
  <sheetData>
    <row r="1" spans="1:17" ht="39.6" x14ac:dyDescent="0.3">
      <c r="A1" s="1" t="s">
        <v>169</v>
      </c>
      <c r="J1" s="5" t="s">
        <v>91</v>
      </c>
      <c r="K1" s="5" t="s">
        <v>92</v>
      </c>
      <c r="L1" s="5" t="s">
        <v>174</v>
      </c>
      <c r="M1" s="5" t="s">
        <v>172</v>
      </c>
      <c r="N1" s="5" t="s">
        <v>243</v>
      </c>
      <c r="O1" s="5" t="s">
        <v>201</v>
      </c>
      <c r="P1" s="30" t="s">
        <v>244</v>
      </c>
      <c r="Q1" s="5" t="s">
        <v>245</v>
      </c>
    </row>
    <row r="2" spans="1:17" x14ac:dyDescent="0.3">
      <c r="A2" s="2" t="s">
        <v>170</v>
      </c>
      <c r="J2" s="6" t="s">
        <v>104</v>
      </c>
      <c r="K2" s="6" t="s">
        <v>105</v>
      </c>
      <c r="L2" s="6" t="s">
        <v>106</v>
      </c>
      <c r="M2" s="6" t="s">
        <v>248</v>
      </c>
      <c r="N2" s="6" t="s">
        <v>249</v>
      </c>
      <c r="O2" s="26">
        <v>42247</v>
      </c>
      <c r="P2" s="27">
        <v>47000</v>
      </c>
      <c r="Q2" s="6">
        <v>5</v>
      </c>
    </row>
    <row r="3" spans="1:17" x14ac:dyDescent="0.3">
      <c r="J3" s="6" t="s">
        <v>134</v>
      </c>
      <c r="K3" s="6" t="s">
        <v>135</v>
      </c>
      <c r="L3" s="6" t="s">
        <v>103</v>
      </c>
      <c r="M3" s="6" t="s">
        <v>246</v>
      </c>
      <c r="N3" s="6" t="s">
        <v>247</v>
      </c>
      <c r="O3" s="26">
        <v>42427</v>
      </c>
      <c r="P3" s="27">
        <v>39000</v>
      </c>
      <c r="Q3" s="6">
        <v>5</v>
      </c>
    </row>
    <row r="4" spans="1:17" x14ac:dyDescent="0.3">
      <c r="A4" s="17" t="s">
        <v>171</v>
      </c>
      <c r="B4" s="18"/>
      <c r="C4" s="18"/>
      <c r="D4" s="18"/>
      <c r="E4" s="18"/>
      <c r="J4" s="6" t="s">
        <v>128</v>
      </c>
      <c r="K4" s="6" t="s">
        <v>129</v>
      </c>
      <c r="L4" s="6" t="s">
        <v>103</v>
      </c>
      <c r="M4" s="6" t="s">
        <v>254</v>
      </c>
      <c r="N4" s="6" t="s">
        <v>255</v>
      </c>
      <c r="O4" s="26">
        <v>42487</v>
      </c>
      <c r="P4" s="27">
        <v>92500</v>
      </c>
      <c r="Q4" s="6">
        <v>5</v>
      </c>
    </row>
    <row r="5" spans="1:17" x14ac:dyDescent="0.3">
      <c r="A5" s="5" t="s">
        <v>91</v>
      </c>
      <c r="B5" s="5" t="s">
        <v>94</v>
      </c>
      <c r="C5" s="5" t="s">
        <v>28</v>
      </c>
      <c r="D5" s="5" t="s">
        <v>172</v>
      </c>
      <c r="E5" s="5" t="s">
        <v>28</v>
      </c>
      <c r="J5" s="6" t="s">
        <v>107</v>
      </c>
      <c r="K5" s="6" t="s">
        <v>108</v>
      </c>
      <c r="L5" s="6" t="s">
        <v>109</v>
      </c>
      <c r="M5" s="6" t="s">
        <v>250</v>
      </c>
      <c r="N5" s="6" t="s">
        <v>250</v>
      </c>
      <c r="O5" s="26">
        <v>42512</v>
      </c>
      <c r="P5" s="27">
        <v>78500</v>
      </c>
      <c r="Q5" s="6">
        <v>2</v>
      </c>
    </row>
    <row r="6" spans="1:17" x14ac:dyDescent="0.3">
      <c r="A6" s="13" t="s">
        <v>107</v>
      </c>
      <c r="B6" s="19">
        <f>VLOOKUP($A6,$J$1:$Q$21,7,0)</f>
        <v>78500</v>
      </c>
      <c r="C6" s="6" t="str">
        <f>IFERROR(IF(B6="","",IF(ABS(B6-k_5!B6)&lt;=IF(ABS(k_5!B6)&lt;1,0.001,0.01),"✓ Correct","✗ Try again")),"✗ Try again")</f>
        <v>✓ Correct</v>
      </c>
      <c r="D6" s="14" t="str">
        <f>VLOOKUP($A6,$J$1:$Q$21,4,0)</f>
        <v>Delhi</v>
      </c>
      <c r="E6" s="6" t="str">
        <f>IFERROR(IF(D6="","",IF(UPPER(TRIM(D6&amp;""))=UPPER(k_5!D6&amp;""),"✓ Correct","✗ Try again")),"✗ Try again")</f>
        <v>✓ Correct</v>
      </c>
      <c r="J6" s="6" t="s">
        <v>126</v>
      </c>
      <c r="K6" s="6" t="s">
        <v>127</v>
      </c>
      <c r="L6" s="6" t="s">
        <v>106</v>
      </c>
      <c r="M6" s="6" t="s">
        <v>246</v>
      </c>
      <c r="N6" s="6" t="s">
        <v>247</v>
      </c>
      <c r="O6" s="26">
        <v>42595</v>
      </c>
      <c r="P6" s="27">
        <v>35000</v>
      </c>
      <c r="Q6" s="6">
        <v>5</v>
      </c>
    </row>
    <row r="7" spans="1:17" x14ac:dyDescent="0.3">
      <c r="A7" s="13" t="s">
        <v>126</v>
      </c>
      <c r="B7" s="19">
        <f t="shared" ref="B7:B11" si="0">VLOOKUP($A7,$J$1:$Q$21,7,0)</f>
        <v>35000</v>
      </c>
      <c r="C7" s="6" t="str">
        <f>IFERROR(IF(B7="","",IF(ABS(B7-k_5!B7)&lt;=IF(ABS(k_5!B7)&lt;1,0.001,0.01),"✓ Correct","✗ Try again")),"✗ Try again")</f>
        <v>✓ Correct</v>
      </c>
      <c r="D7" s="14" t="str">
        <f t="shared" ref="D7:D11" si="1">VLOOKUP($A7,$J$1:$Q$21,4,0)</f>
        <v>Mumbai</v>
      </c>
      <c r="E7" s="6" t="str">
        <f>IFERROR(IF(D7="","",IF(UPPER(TRIM(D7&amp;""))=UPPER(k_5!D7&amp;""),"✓ Correct","✗ Try again")),"✗ Try again")</f>
        <v>✓ Correct</v>
      </c>
      <c r="J7" s="6" t="s">
        <v>120</v>
      </c>
      <c r="K7" s="6" t="s">
        <v>121</v>
      </c>
      <c r="L7" s="6" t="s">
        <v>106</v>
      </c>
      <c r="M7" s="6" t="s">
        <v>248</v>
      </c>
      <c r="N7" s="6" t="s">
        <v>249</v>
      </c>
      <c r="O7" s="26">
        <v>42910</v>
      </c>
      <c r="P7" s="27">
        <v>40000</v>
      </c>
      <c r="Q7" s="6">
        <v>1</v>
      </c>
    </row>
    <row r="8" spans="1:17" x14ac:dyDescent="0.3">
      <c r="A8" s="13" t="s">
        <v>118</v>
      </c>
      <c r="B8" s="19">
        <f t="shared" si="0"/>
        <v>75000</v>
      </c>
      <c r="C8" s="6" t="str">
        <f>IFERROR(IF(B8="","",IF(ABS(B8-k_5!B8)&lt;=IF(ABS(k_5!B8)&lt;1,0.001,0.01),"✓ Correct","✗ Try again")),"✗ Try again")</f>
        <v>✓ Correct</v>
      </c>
      <c r="D8" s="14" t="str">
        <f t="shared" si="1"/>
        <v>Mumbai</v>
      </c>
      <c r="E8" s="6" t="str">
        <f>IFERROR(IF(D8="","",IF(UPPER(TRIM(D8&amp;""))=UPPER(k_5!D8&amp;""),"✓ Correct","✗ Try again")),"✗ Try again")</f>
        <v>✓ Correct</v>
      </c>
      <c r="J8" s="6" t="s">
        <v>124</v>
      </c>
      <c r="K8" s="6" t="s">
        <v>125</v>
      </c>
      <c r="L8" s="6" t="s">
        <v>109</v>
      </c>
      <c r="M8" s="6" t="s">
        <v>250</v>
      </c>
      <c r="N8" s="6" t="s">
        <v>250</v>
      </c>
      <c r="O8" s="26">
        <v>43191</v>
      </c>
      <c r="P8" s="27">
        <v>102500</v>
      </c>
      <c r="Q8" s="6">
        <v>4</v>
      </c>
    </row>
    <row r="9" spans="1:17" x14ac:dyDescent="0.3">
      <c r="A9" s="13" t="s">
        <v>136</v>
      </c>
      <c r="B9" s="19">
        <f t="shared" si="0"/>
        <v>83500</v>
      </c>
      <c r="C9" s="6" t="str">
        <f>IFERROR(IF(B9="","",IF(ABS(B9-k_5!B9)&lt;=IF(ABS(k_5!B9)&lt;1,0.001,0.01),"✓ Correct","✗ Try again")),"✗ Try again")</f>
        <v>✓ Correct</v>
      </c>
      <c r="D9" s="14" t="str">
        <f t="shared" si="1"/>
        <v>Delhi</v>
      </c>
      <c r="E9" s="6" t="str">
        <f>IFERROR(IF(D9="","",IF(UPPER(TRIM(D9&amp;""))=UPPER(k_5!D9&amp;""),"✓ Correct","✗ Try again")),"✗ Try again")</f>
        <v>✓ Correct</v>
      </c>
      <c r="J9" s="6" t="s">
        <v>130</v>
      </c>
      <c r="K9" s="6" t="s">
        <v>131</v>
      </c>
      <c r="L9" s="6" t="s">
        <v>117</v>
      </c>
      <c r="M9" s="6" t="s">
        <v>248</v>
      </c>
      <c r="N9" s="6" t="s">
        <v>249</v>
      </c>
      <c r="O9" s="26">
        <v>43268</v>
      </c>
      <c r="P9" s="27">
        <v>55000</v>
      </c>
      <c r="Q9" s="6">
        <v>5</v>
      </c>
    </row>
    <row r="10" spans="1:17" x14ac:dyDescent="0.3">
      <c r="A10" s="13" t="s">
        <v>142</v>
      </c>
      <c r="B10" s="19">
        <f t="shared" si="0"/>
        <v>58500</v>
      </c>
      <c r="C10" s="6" t="str">
        <f>IFERROR(IF(B10="","",IF(ABS(B10-k_5!B10)&lt;=IF(ABS(k_5!B10)&lt;1,0.001,0.01),"✓ Correct","✗ Try again")),"✗ Try again")</f>
        <v>✓ Correct</v>
      </c>
      <c r="D10" s="14" t="str">
        <f t="shared" si="1"/>
        <v>Mumbai</v>
      </c>
      <c r="E10" s="6" t="str">
        <f>IFERROR(IF(D10="","",IF(UPPER(TRIM(D10&amp;""))=UPPER(k_5!D10&amp;""),"✓ Correct","✗ Try again")),"✗ Try again")</f>
        <v>✓ Correct</v>
      </c>
      <c r="J10" s="6" t="s">
        <v>138</v>
      </c>
      <c r="K10" s="6" t="s">
        <v>139</v>
      </c>
      <c r="L10" s="6" t="s">
        <v>109</v>
      </c>
      <c r="M10" s="6" t="s">
        <v>248</v>
      </c>
      <c r="N10" s="6" t="s">
        <v>249</v>
      </c>
      <c r="O10" s="26">
        <v>43530</v>
      </c>
      <c r="P10" s="27">
        <v>81500</v>
      </c>
      <c r="Q10" s="6">
        <v>1</v>
      </c>
    </row>
    <row r="11" spans="1:17" x14ac:dyDescent="0.3">
      <c r="A11" s="13" t="s">
        <v>101</v>
      </c>
      <c r="B11" s="19">
        <f t="shared" si="0"/>
        <v>69000</v>
      </c>
      <c r="C11" s="6" t="str">
        <f>IFERROR(IF(B11="","",IF(ABS(B11-k_5!B11)&lt;=IF(ABS(k_5!B11)&lt;1,0.001,0.01),"✓ Correct","✗ Try again")),"✗ Try again")</f>
        <v>✓ Correct</v>
      </c>
      <c r="D11" s="14" t="str">
        <f t="shared" si="1"/>
        <v>Mumbai</v>
      </c>
      <c r="E11" s="6" t="str">
        <f>IFERROR(IF(D11="","",IF(UPPER(TRIM(D11&amp;""))=UPPER(k_5!D11&amp;""),"✓ Correct","✗ Try again")),"✗ Try again")</f>
        <v>✓ Correct</v>
      </c>
      <c r="J11" s="6" t="s">
        <v>118</v>
      </c>
      <c r="K11" s="6" t="s">
        <v>119</v>
      </c>
      <c r="L11" s="6" t="s">
        <v>103</v>
      </c>
      <c r="M11" s="6" t="s">
        <v>246</v>
      </c>
      <c r="N11" s="6" t="s">
        <v>247</v>
      </c>
      <c r="O11" s="26">
        <v>43629</v>
      </c>
      <c r="P11" s="27">
        <v>75000</v>
      </c>
      <c r="Q11" s="6">
        <v>1</v>
      </c>
    </row>
    <row r="12" spans="1:17" x14ac:dyDescent="0.3">
      <c r="J12" s="6" t="s">
        <v>140</v>
      </c>
      <c r="K12" s="6" t="s">
        <v>141</v>
      </c>
      <c r="L12" s="6" t="s">
        <v>117</v>
      </c>
      <c r="M12" s="6" t="s">
        <v>254</v>
      </c>
      <c r="N12" s="6" t="s">
        <v>255</v>
      </c>
      <c r="O12" s="26">
        <v>44248</v>
      </c>
      <c r="P12" s="27">
        <v>36500</v>
      </c>
      <c r="Q12" s="6">
        <v>1</v>
      </c>
    </row>
    <row r="13" spans="1:17" x14ac:dyDescent="0.3">
      <c r="A13" s="17" t="s">
        <v>173</v>
      </c>
      <c r="B13" s="18"/>
      <c r="C13" s="18"/>
      <c r="D13" s="18"/>
      <c r="E13" s="18"/>
      <c r="J13" s="6" t="s">
        <v>101</v>
      </c>
      <c r="K13" s="6" t="s">
        <v>102</v>
      </c>
      <c r="L13" s="6" t="s">
        <v>103</v>
      </c>
      <c r="M13" s="6" t="s">
        <v>246</v>
      </c>
      <c r="N13" s="6" t="s">
        <v>247</v>
      </c>
      <c r="O13" s="26">
        <v>44262</v>
      </c>
      <c r="P13" s="27">
        <v>69000</v>
      </c>
      <c r="Q13" s="6">
        <v>4</v>
      </c>
    </row>
    <row r="14" spans="1:17" x14ac:dyDescent="0.3">
      <c r="A14" s="5" t="s">
        <v>92</v>
      </c>
      <c r="B14" s="5" t="s">
        <v>91</v>
      </c>
      <c r="C14" s="5" t="s">
        <v>28</v>
      </c>
      <c r="D14" s="5" t="s">
        <v>174</v>
      </c>
      <c r="E14" s="5" t="s">
        <v>28</v>
      </c>
      <c r="J14" s="6" t="s">
        <v>122</v>
      </c>
      <c r="K14" s="6" t="s">
        <v>123</v>
      </c>
      <c r="L14" s="6" t="s">
        <v>112</v>
      </c>
      <c r="M14" s="6" t="s">
        <v>251</v>
      </c>
      <c r="N14" s="6" t="s">
        <v>247</v>
      </c>
      <c r="O14" s="26">
        <v>44285</v>
      </c>
      <c r="P14" s="27">
        <v>74500</v>
      </c>
      <c r="Q14" s="6">
        <v>2</v>
      </c>
    </row>
    <row r="15" spans="1:17" x14ac:dyDescent="0.3">
      <c r="A15" s="13" t="s">
        <v>121</v>
      </c>
      <c r="B15" s="14" t="str">
        <f>INDEX('5 Lookups'!$J$2:$J$21,MATCH($A15,'5 Lookups'!$K$2:$K$21,0))</f>
        <v>E008</v>
      </c>
      <c r="C15" s="6" t="str">
        <f>IFERROR(IF(B15="","",IF(UPPER(TRIM(B15&amp;""))=UPPER(k_5!B15&amp;""),"✓ Correct","✗ Try again")),"✗ Try again")</f>
        <v>✓ Correct</v>
      </c>
      <c r="D15" s="14" t="str">
        <f>INDEX($L$2:$L$21,MATCH($A15,$K$2:$K$21,0))</f>
        <v>IT</v>
      </c>
      <c r="E15" s="6" t="str">
        <f>IFERROR(IF(D15="","",IF(UPPER(TRIM(D15&amp;""))=UPPER(k_5!D15&amp;""),"✓ Correct","✗ Try again")),"✗ Try again")</f>
        <v>✓ Correct</v>
      </c>
      <c r="J15" s="6" t="s">
        <v>142</v>
      </c>
      <c r="K15" s="6" t="s">
        <v>143</v>
      </c>
      <c r="L15" s="6" t="s">
        <v>103</v>
      </c>
      <c r="M15" s="6" t="s">
        <v>246</v>
      </c>
      <c r="N15" s="6" t="s">
        <v>247</v>
      </c>
      <c r="O15" s="26">
        <v>44316</v>
      </c>
      <c r="P15" s="27">
        <v>58500</v>
      </c>
      <c r="Q15" s="6">
        <v>1</v>
      </c>
    </row>
    <row r="16" spans="1:17" x14ac:dyDescent="0.3">
      <c r="A16" s="13" t="s">
        <v>127</v>
      </c>
      <c r="B16" s="14" t="str">
        <f>INDEX('5 Lookups'!$J$2:$J$21,MATCH($A16,'5 Lookups'!$K$2:$K$21,0))</f>
        <v>E011</v>
      </c>
      <c r="C16" s="6" t="str">
        <f>IFERROR(IF(B16="","",IF(UPPER(TRIM(B16&amp;""))=UPPER(k_5!B16&amp;""),"✓ Correct","✗ Try again")),"✗ Try again")</f>
        <v>✓ Correct</v>
      </c>
      <c r="D16" s="14" t="str">
        <f t="shared" ref="D16:D20" si="2">INDEX($L$2:$L$21,MATCH($A16,$K$2:$K$21,0))</f>
        <v>IT</v>
      </c>
      <c r="E16" s="6" t="str">
        <f>IFERROR(IF(D16="","",IF(UPPER(TRIM(D16&amp;""))=UPPER(k_5!D16&amp;""),"✓ Correct","✗ Try again")),"✗ Try again")</f>
        <v>✓ Correct</v>
      </c>
      <c r="J16" s="6" t="s">
        <v>136</v>
      </c>
      <c r="K16" s="6" t="s">
        <v>137</v>
      </c>
      <c r="L16" s="6" t="s">
        <v>106</v>
      </c>
      <c r="M16" s="6" t="s">
        <v>250</v>
      </c>
      <c r="N16" s="6" t="s">
        <v>250</v>
      </c>
      <c r="O16" s="26">
        <v>44344</v>
      </c>
      <c r="P16" s="27">
        <v>83500</v>
      </c>
      <c r="Q16" s="6">
        <v>2</v>
      </c>
    </row>
    <row r="17" spans="1:17" x14ac:dyDescent="0.3">
      <c r="A17" s="13" t="s">
        <v>145</v>
      </c>
      <c r="B17" s="14" t="str">
        <f>INDEX('5 Lookups'!$J$2:$J$21,MATCH($A17,'5 Lookups'!$K$2:$K$21,0))</f>
        <v>E020</v>
      </c>
      <c r="C17" s="6" t="str">
        <f>IFERROR(IF(B17="","",IF(UPPER(TRIM(B17&amp;""))=UPPER(k_5!B17&amp;""),"✓ Correct","✗ Try again")),"✗ Try again")</f>
        <v>✓ Correct</v>
      </c>
      <c r="D17" s="14" t="str">
        <f t="shared" si="2"/>
        <v>IT</v>
      </c>
      <c r="E17" s="6" t="str">
        <f>IFERROR(IF(D17="","",IF(UPPER(TRIM(D17&amp;""))=UPPER(k_5!D17&amp;""),"✓ Correct","✗ Try again")),"✗ Try again")</f>
        <v>✓ Correct</v>
      </c>
      <c r="J17" s="6" t="s">
        <v>115</v>
      </c>
      <c r="K17" s="6" t="s">
        <v>116</v>
      </c>
      <c r="L17" s="6" t="s">
        <v>117</v>
      </c>
      <c r="M17" s="6" t="s">
        <v>254</v>
      </c>
      <c r="N17" s="6" t="s">
        <v>255</v>
      </c>
      <c r="O17" s="26">
        <v>44368</v>
      </c>
      <c r="P17" s="27">
        <v>37000</v>
      </c>
      <c r="Q17" s="6"/>
    </row>
    <row r="18" spans="1:17" x14ac:dyDescent="0.3">
      <c r="A18" s="13" t="s">
        <v>119</v>
      </c>
      <c r="B18" s="14" t="str">
        <f>INDEX('5 Lookups'!$J$2:$J$21,MATCH($A18,'5 Lookups'!$K$2:$K$21,0))</f>
        <v>E007</v>
      </c>
      <c r="C18" s="6" t="str">
        <f>IFERROR(IF(B18="","",IF(UPPER(TRIM(B18&amp;""))=UPPER(k_5!B18&amp;""),"✓ Correct","✗ Try again")),"✗ Try again")</f>
        <v>✓ Correct</v>
      </c>
      <c r="D18" s="14" t="str">
        <f t="shared" si="2"/>
        <v>Sales</v>
      </c>
      <c r="E18" s="6" t="str">
        <f>IFERROR(IF(D18="","",IF(UPPER(TRIM(D18&amp;""))=UPPER(k_5!D18&amp;""),"✓ Correct","✗ Try again")),"✗ Try again")</f>
        <v>✓ Correct</v>
      </c>
      <c r="J18" s="6" t="s">
        <v>144</v>
      </c>
      <c r="K18" s="6" t="s">
        <v>145</v>
      </c>
      <c r="L18" s="6" t="s">
        <v>106</v>
      </c>
      <c r="M18" s="6" t="s">
        <v>251</v>
      </c>
      <c r="N18" s="6" t="s">
        <v>247</v>
      </c>
      <c r="O18" s="26">
        <v>44540</v>
      </c>
      <c r="P18" s="27">
        <v>39500</v>
      </c>
      <c r="Q18" s="6">
        <v>2</v>
      </c>
    </row>
    <row r="19" spans="1:17" x14ac:dyDescent="0.3">
      <c r="A19" s="13" t="s">
        <v>133</v>
      </c>
      <c r="B19" s="14" t="str">
        <f>INDEX('5 Lookups'!$J$2:$J$21,MATCH($A19,'5 Lookups'!$K$2:$K$21,0))</f>
        <v>E014</v>
      </c>
      <c r="C19" s="6" t="str">
        <f>IFERROR(IF(B19="","",IF(UPPER(TRIM(B19&amp;""))=UPPER(k_5!B19&amp;""),"✓ Correct","✗ Try again")),"✗ Try again")</f>
        <v>✓ Correct</v>
      </c>
      <c r="D19" s="14" t="str">
        <f t="shared" si="2"/>
        <v>Finance</v>
      </c>
      <c r="E19" s="6" t="str">
        <f>IFERROR(IF(D19="","",IF(UPPER(TRIM(D19&amp;""))=UPPER(k_5!D19&amp;""),"✓ Correct","✗ Try again")),"✗ Try again")</f>
        <v>✓ Correct</v>
      </c>
      <c r="J19" s="6" t="s">
        <v>110</v>
      </c>
      <c r="K19" s="6" t="s">
        <v>111</v>
      </c>
      <c r="L19" s="6" t="s">
        <v>112</v>
      </c>
      <c r="M19" s="6" t="s">
        <v>251</v>
      </c>
      <c r="N19" s="6" t="s">
        <v>247</v>
      </c>
      <c r="O19" s="26">
        <v>44588</v>
      </c>
      <c r="P19" s="27">
        <v>111000</v>
      </c>
      <c r="Q19" s="6">
        <v>5</v>
      </c>
    </row>
    <row r="20" spans="1:17" x14ac:dyDescent="0.3">
      <c r="A20" s="13" t="s">
        <v>123</v>
      </c>
      <c r="B20" s="14" t="str">
        <f>INDEX('5 Lookups'!$J$2:$J$21,MATCH($A20,'5 Lookups'!$K$2:$K$21,0))</f>
        <v>E009</v>
      </c>
      <c r="C20" s="6" t="str">
        <f>IFERROR(IF(B20="","",IF(UPPER(TRIM(B20&amp;""))=UPPER(k_5!B20&amp;""),"✓ Correct","✗ Try again")),"✗ Try again")</f>
        <v>✓ Correct</v>
      </c>
      <c r="D20" s="14" t="str">
        <f t="shared" si="2"/>
        <v>Finance</v>
      </c>
      <c r="E20" s="6" t="str">
        <f>IFERROR(IF(D20="","",IF(UPPER(TRIM(D20&amp;""))=UPPER(k_5!D20&amp;""),"✓ Correct","✗ Try again")),"✗ Try again")</f>
        <v>✓ Correct</v>
      </c>
      <c r="J20" s="6" t="s">
        <v>132</v>
      </c>
      <c r="K20" s="6" t="s">
        <v>133</v>
      </c>
      <c r="L20" s="6" t="s">
        <v>112</v>
      </c>
      <c r="M20" s="6" t="s">
        <v>252</v>
      </c>
      <c r="N20" s="6" t="s">
        <v>253</v>
      </c>
      <c r="O20" s="26">
        <v>45347</v>
      </c>
      <c r="P20" s="27">
        <v>32500</v>
      </c>
      <c r="Q20" s="6"/>
    </row>
    <row r="21" spans="1:17" x14ac:dyDescent="0.3">
      <c r="J21" s="6" t="s">
        <v>113</v>
      </c>
      <c r="K21" s="6" t="s">
        <v>114</v>
      </c>
      <c r="L21" s="6" t="s">
        <v>103</v>
      </c>
      <c r="M21" s="6" t="s">
        <v>252</v>
      </c>
      <c r="N21" s="6" t="s">
        <v>253</v>
      </c>
      <c r="O21" s="26">
        <v>45886</v>
      </c>
      <c r="P21" s="27">
        <v>34000</v>
      </c>
      <c r="Q21" s="6">
        <v>1</v>
      </c>
    </row>
    <row r="22" spans="1:17" x14ac:dyDescent="0.3">
      <c r="A22" s="17" t="s">
        <v>175</v>
      </c>
      <c r="B22" s="18"/>
      <c r="C22" s="18"/>
      <c r="D22" s="18"/>
      <c r="E22" s="18"/>
    </row>
    <row r="23" spans="1:17" ht="30" customHeight="1" x14ac:dyDescent="0.3">
      <c r="A23" s="5" t="s">
        <v>94</v>
      </c>
      <c r="B23" s="5" t="s">
        <v>176</v>
      </c>
      <c r="C23" s="5" t="s">
        <v>28</v>
      </c>
      <c r="D23" s="5" t="s">
        <v>177</v>
      </c>
      <c r="E23" s="5" t="s">
        <v>28</v>
      </c>
      <c r="G23" s="5" t="s">
        <v>178</v>
      </c>
      <c r="H23" s="5" t="s">
        <v>176</v>
      </c>
    </row>
    <row r="24" spans="1:17" x14ac:dyDescent="0.3">
      <c r="A24" s="15">
        <v>35000</v>
      </c>
      <c r="B24" s="20">
        <f>VLOOKUP('5 Lookups'!$A24,'5 Lookups'!$G$23:$H$28,2,1)</f>
        <v>0.05</v>
      </c>
      <c r="C24" s="6" t="str">
        <f>IFERROR(IF(B24="","",IF(ABS(B24-k_5!B24)&lt;=IF(ABS(k_5!B24)&lt;1,0.001,0.01),"✓ Correct","✗ Try again")),"✗ Try again")</f>
        <v>✓ Correct</v>
      </c>
      <c r="D24" s="19">
        <f>$A24*$B24</f>
        <v>1750</v>
      </c>
      <c r="E24" s="6" t="str">
        <f>IFERROR(IF(D24="","",IF(ABS(D24-k_5!D24)&lt;=IF(ABS(k_5!D24)&lt;1,0.001,0.01),"✓ Correct","✗ Try again")),"✗ Try again")</f>
        <v>✓ Correct</v>
      </c>
      <c r="G24" s="15">
        <v>0</v>
      </c>
      <c r="H24" s="21">
        <v>0.05</v>
      </c>
    </row>
    <row r="25" spans="1:17" x14ac:dyDescent="0.3">
      <c r="A25" s="15">
        <v>60000</v>
      </c>
      <c r="B25" s="20">
        <f>VLOOKUP('5 Lookups'!$A25,'5 Lookups'!$G$23:$H$28,2,1)</f>
        <v>0.1</v>
      </c>
      <c r="C25" s="6" t="str">
        <f>IFERROR(IF(B25="","",IF(ABS(B25-k_5!B25)&lt;=IF(ABS(k_5!B25)&lt;1,0.001,0.01),"✓ Correct","✗ Try again")),"✗ Try again")</f>
        <v>✓ Correct</v>
      </c>
      <c r="D25" s="19">
        <f t="shared" ref="D25:D29" si="3">$A25*$B25</f>
        <v>6000</v>
      </c>
      <c r="E25" s="6" t="str">
        <f>IFERROR(IF(D25="","",IF(ABS(D25-k_5!D25)&lt;=IF(ABS(k_5!D25)&lt;1,0.001,0.01),"✓ Correct","✗ Try again")),"✗ Try again")</f>
        <v>✓ Correct</v>
      </c>
      <c r="G25" s="15">
        <v>40000</v>
      </c>
      <c r="H25" s="21">
        <v>0.08</v>
      </c>
    </row>
    <row r="26" spans="1:17" x14ac:dyDescent="0.3">
      <c r="A26" s="15">
        <v>79500</v>
      </c>
      <c r="B26" s="20">
        <f>VLOOKUP('5 Lookups'!$A26,'5 Lookups'!$G$23:$H$28,2,1)</f>
        <v>0.1</v>
      </c>
      <c r="C26" s="6" t="str">
        <f>IFERROR(IF(B26="","",IF(ABS(B26-k_5!B26)&lt;=IF(ABS(k_5!B26)&lt;1,0.001,0.01),"✓ Correct","✗ Try again")),"✗ Try again")</f>
        <v>✓ Correct</v>
      </c>
      <c r="D26" s="19">
        <f t="shared" si="3"/>
        <v>7950</v>
      </c>
      <c r="E26" s="6" t="str">
        <f>IFERROR(IF(D26="","",IF(ABS(D26-k_5!D26)&lt;=IF(ABS(k_5!D26)&lt;1,0.001,0.01),"✓ Correct","✗ Try again")),"✗ Try again")</f>
        <v>✓ Correct</v>
      </c>
      <c r="G26" s="15">
        <v>60000</v>
      </c>
      <c r="H26" s="21">
        <v>0.1</v>
      </c>
    </row>
    <row r="27" spans="1:17" x14ac:dyDescent="0.3">
      <c r="A27" s="15">
        <v>100000</v>
      </c>
      <c r="B27" s="20">
        <f>VLOOKUP('5 Lookups'!$A27,'5 Lookups'!$G$23:$H$28,2,1)</f>
        <v>0.15</v>
      </c>
      <c r="C27" s="6" t="str">
        <f>IFERROR(IF(B27="","",IF(ABS(B27-k_5!B27)&lt;=IF(ABS(k_5!B27)&lt;1,0.001,0.01),"✓ Correct","✗ Try again")),"✗ Try again")</f>
        <v>✓ Correct</v>
      </c>
      <c r="D27" s="19">
        <f t="shared" si="3"/>
        <v>15000</v>
      </c>
      <c r="E27" s="6" t="str">
        <f>IFERROR(IF(D27="","",IF(ABS(D27-k_5!D27)&lt;=IF(ABS(k_5!D27)&lt;1,0.001,0.01),"✓ Correct","✗ Try again")),"✗ Try again")</f>
        <v>✓ Correct</v>
      </c>
      <c r="G27" s="15">
        <v>80000</v>
      </c>
      <c r="H27" s="21">
        <v>0.12</v>
      </c>
    </row>
    <row r="28" spans="1:17" x14ac:dyDescent="0.3">
      <c r="A28" s="15">
        <v>52000</v>
      </c>
      <c r="B28" s="20">
        <f>VLOOKUP('5 Lookups'!$A28,'5 Lookups'!$G$23:$H$28,2,1)</f>
        <v>0.08</v>
      </c>
      <c r="C28" s="6" t="str">
        <f>IFERROR(IF(B28="","",IF(ABS(B28-k_5!B28)&lt;=IF(ABS(k_5!B28)&lt;1,0.001,0.01),"✓ Correct","✗ Try again")),"✗ Try again")</f>
        <v>✓ Correct</v>
      </c>
      <c r="D28" s="19">
        <f t="shared" si="3"/>
        <v>4160</v>
      </c>
      <c r="E28" s="6" t="str">
        <f>IFERROR(IF(D28="","",IF(ABS(D28-k_5!D28)&lt;=IF(ABS(k_5!D28)&lt;1,0.001,0.01),"✓ Correct","✗ Try again")),"✗ Try again")</f>
        <v>✓ Correct</v>
      </c>
      <c r="G28" s="15">
        <v>100000</v>
      </c>
      <c r="H28" s="21">
        <v>0.15</v>
      </c>
    </row>
    <row r="29" spans="1:17" x14ac:dyDescent="0.3">
      <c r="A29" s="15">
        <v>118000</v>
      </c>
      <c r="B29" s="20">
        <f>VLOOKUP('5 Lookups'!$A29,'5 Lookups'!$G$23:$H$28,2,1)</f>
        <v>0.15</v>
      </c>
      <c r="C29" s="6" t="str">
        <f>IFERROR(IF(B29="","",IF(ABS(B29-k_5!B29)&lt;=IF(ABS(k_5!B29)&lt;1,0.001,0.01),"✓ Correct","✗ Try again")),"✗ Try again")</f>
        <v>✓ Correct</v>
      </c>
      <c r="D29" s="19">
        <f t="shared" si="3"/>
        <v>17700</v>
      </c>
      <c r="E29" s="6" t="str">
        <f>IFERROR(IF(D29="","",IF(ABS(D29-k_5!D29)&lt;=IF(ABS(k_5!D29)&lt;1,0.001,0.01),"✓ Correct","✗ Try again")),"✗ Try again")</f>
        <v>✓ Correct</v>
      </c>
    </row>
  </sheetData>
  <conditionalFormatting sqref="C6:C11">
    <cfRule type="expression" dxfId="29" priority="5">
      <formula>LEFT(C6,1)="✓"</formula>
    </cfRule>
    <cfRule type="expression" dxfId="28" priority="6">
      <formula>LEFT(C6,1)="✗"</formula>
    </cfRule>
  </conditionalFormatting>
  <conditionalFormatting sqref="C15:C20">
    <cfRule type="expression" dxfId="27" priority="9">
      <formula>LEFT(C15,1)="✓"</formula>
    </cfRule>
    <cfRule type="expression" dxfId="26" priority="10">
      <formula>LEFT(C15,1)="✗"</formula>
    </cfRule>
  </conditionalFormatting>
  <conditionalFormatting sqref="C24:C29">
    <cfRule type="expression" dxfId="25" priority="13">
      <formula>LEFT(C24,1)="✓"</formula>
    </cfRule>
    <cfRule type="expression" dxfId="24" priority="14">
      <formula>LEFT(C24,1)="✗"</formula>
    </cfRule>
  </conditionalFormatting>
  <conditionalFormatting sqref="E6:E11">
    <cfRule type="expression" dxfId="23" priority="7">
      <formula>LEFT(E6,1)="✓"</formula>
    </cfRule>
    <cfRule type="expression" dxfId="22" priority="8">
      <formula>LEFT(E6,1)="✗"</formula>
    </cfRule>
  </conditionalFormatting>
  <conditionalFormatting sqref="E15:E20">
    <cfRule type="expression" dxfId="21" priority="11">
      <formula>LEFT(E15,1)="✓"</formula>
    </cfRule>
    <cfRule type="expression" dxfId="20" priority="12">
      <formula>LEFT(E15,1)="✗"</formula>
    </cfRule>
  </conditionalFormatting>
  <conditionalFormatting sqref="E24:E29">
    <cfRule type="expression" dxfId="19" priority="15">
      <formula>LEFT(E24,1)="✓"</formula>
    </cfRule>
    <cfRule type="expression" dxfId="18" priority="16">
      <formula>LEFT(E24,1)="✗"</formula>
    </cfRule>
  </conditionalFormatting>
  <conditionalFormatting sqref="P2:P21">
    <cfRule type="aboveAverage" dxfId="17" priority="1"/>
    <cfRule type="aboveAverage" dxfId="16" priority="2" aboveAverage="0"/>
    <cfRule type="cellIs" dxfId="15" priority="3" operator="greaterThan">
      <formula>75000</formula>
    </cfRule>
  </conditionalFormatting>
  <dataValidations count="1">
    <dataValidation type="whole" allowBlank="1" showInputMessage="1" showErrorMessage="1" sqref="Q2:Q21" xr:uid="{0A152BBF-1A4B-4295-90E0-320F2CF6E17A}">
      <formula1>1</formula1>
      <formula2>5</formula2>
    </dataValidation>
  </dataValidation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N61"/>
  <sheetViews>
    <sheetView zoomScaleNormal="100" workbookViewId="0">
      <pane ySplit="4" topLeftCell="A5" activePane="bottomLeft" state="frozen"/>
      <selection pane="bottomLeft" activeCell="D14" sqref="D14"/>
    </sheetView>
  </sheetViews>
  <sheetFormatPr defaultColWidth="8.6640625" defaultRowHeight="14.4" x14ac:dyDescent="0.3"/>
  <cols>
    <col min="1" max="1" width="4" customWidth="1"/>
    <col min="2" max="2" width="55.6640625" customWidth="1"/>
    <col min="3" max="3" width="32.88671875" customWidth="1"/>
    <col min="4" max="4" width="18" customWidth="1"/>
    <col min="5" max="5" width="11.6640625" customWidth="1"/>
    <col min="7" max="7" width="8.88671875" bestFit="1" customWidth="1"/>
    <col min="8" max="8" width="11.44140625" bestFit="1" customWidth="1"/>
    <col min="9" max="9" width="10.6640625" bestFit="1" customWidth="1"/>
    <col min="10" max="10" width="8.88671875" bestFit="1" customWidth="1"/>
    <col min="11" max="11" width="11" bestFit="1" customWidth="1"/>
    <col min="12" max="12" width="4.109375" bestFit="1" customWidth="1"/>
    <col min="13" max="13" width="6.5546875" bestFit="1" customWidth="1"/>
    <col min="14" max="14" width="8.109375" bestFit="1" customWidth="1"/>
  </cols>
  <sheetData>
    <row r="1" spans="1:14" ht="39.6" x14ac:dyDescent="0.3">
      <c r="A1" s="1" t="s">
        <v>179</v>
      </c>
      <c r="G1" s="5" t="s">
        <v>256</v>
      </c>
      <c r="H1" s="5" t="s">
        <v>257</v>
      </c>
      <c r="I1" s="5" t="s">
        <v>172</v>
      </c>
      <c r="J1" s="5" t="s">
        <v>258</v>
      </c>
      <c r="K1" s="5" t="s">
        <v>259</v>
      </c>
      <c r="L1" s="5" t="s">
        <v>260</v>
      </c>
      <c r="M1" s="5" t="s">
        <v>261</v>
      </c>
      <c r="N1" s="5" t="s">
        <v>262</v>
      </c>
    </row>
    <row r="2" spans="1:14" x14ac:dyDescent="0.3">
      <c r="A2" s="2" t="s">
        <v>180</v>
      </c>
      <c r="G2" s="6" t="s">
        <v>263</v>
      </c>
      <c r="H2" s="26">
        <v>46023</v>
      </c>
      <c r="I2" s="6" t="s">
        <v>251</v>
      </c>
      <c r="J2" s="6" t="s">
        <v>264</v>
      </c>
      <c r="K2" s="6" t="s">
        <v>265</v>
      </c>
      <c r="L2" s="6">
        <v>4</v>
      </c>
      <c r="M2" s="27">
        <v>9000</v>
      </c>
      <c r="N2" s="27">
        <f t="shared" ref="N2:N61" si="0">L2*M2</f>
        <v>36000</v>
      </c>
    </row>
    <row r="3" spans="1:14" x14ac:dyDescent="0.3">
      <c r="G3" s="6" t="s">
        <v>266</v>
      </c>
      <c r="H3" s="26">
        <v>46026</v>
      </c>
      <c r="I3" s="6" t="s">
        <v>246</v>
      </c>
      <c r="J3" s="6" t="s">
        <v>264</v>
      </c>
      <c r="K3" s="6" t="s">
        <v>265</v>
      </c>
      <c r="L3" s="6">
        <v>3</v>
      </c>
      <c r="M3" s="27">
        <v>9000</v>
      </c>
      <c r="N3" s="27">
        <f t="shared" si="0"/>
        <v>27000</v>
      </c>
    </row>
    <row r="4" spans="1:14" x14ac:dyDescent="0.3">
      <c r="A4" s="5" t="s">
        <v>24</v>
      </c>
      <c r="B4" s="5" t="s">
        <v>25</v>
      </c>
      <c r="C4" s="5" t="s">
        <v>26</v>
      </c>
      <c r="D4" s="5" t="s">
        <v>27</v>
      </c>
      <c r="E4" s="5" t="s">
        <v>28</v>
      </c>
      <c r="G4" s="6" t="s">
        <v>267</v>
      </c>
      <c r="H4" s="26">
        <v>46031</v>
      </c>
      <c r="I4" s="6" t="s">
        <v>251</v>
      </c>
      <c r="J4" s="6" t="s">
        <v>268</v>
      </c>
      <c r="K4" s="6" t="s">
        <v>265</v>
      </c>
      <c r="L4" s="6">
        <v>4</v>
      </c>
      <c r="M4" s="27">
        <v>12000</v>
      </c>
      <c r="N4" s="27">
        <f t="shared" si="0"/>
        <v>48000</v>
      </c>
    </row>
    <row r="5" spans="1:14" x14ac:dyDescent="0.3">
      <c r="A5" s="11">
        <v>1</v>
      </c>
      <c r="B5" s="11" t="s">
        <v>181</v>
      </c>
      <c r="C5" s="11" t="s">
        <v>182</v>
      </c>
      <c r="D5" s="12">
        <f>SUMIF('6 SUMIF COUNTIF'!$I:$I,"Chennai",'6 SUMIF COUNTIF'!N:N)</f>
        <v>631600</v>
      </c>
      <c r="E5" s="11" t="str">
        <f>IFERROR(IF(D5="","",IF(ABS(D5-k_6!D5)&lt;=IF(ABS(k_6!D5)&lt;1,0.001,0.01),"✓ Correct","✗ Try again")),"✗ Try again")</f>
        <v>✓ Correct</v>
      </c>
      <c r="G5" s="6" t="s">
        <v>269</v>
      </c>
      <c r="H5" s="26">
        <v>46033</v>
      </c>
      <c r="I5" s="6" t="s">
        <v>250</v>
      </c>
      <c r="J5" s="6" t="s">
        <v>268</v>
      </c>
      <c r="K5" s="6" t="s">
        <v>265</v>
      </c>
      <c r="L5" s="6">
        <v>3</v>
      </c>
      <c r="M5" s="27">
        <v>12000</v>
      </c>
      <c r="N5" s="27">
        <f t="shared" si="0"/>
        <v>36000</v>
      </c>
    </row>
    <row r="6" spans="1:14" x14ac:dyDescent="0.3">
      <c r="A6" s="11">
        <v>2</v>
      </c>
      <c r="B6" s="11" t="s">
        <v>183</v>
      </c>
      <c r="C6" s="11" t="s">
        <v>184</v>
      </c>
      <c r="D6" s="12">
        <f>COUNTIF(I:I,"Mumbai")</f>
        <v>5</v>
      </c>
      <c r="E6" s="11" t="str">
        <f>IFERROR(IF(D6="","",IF(ABS(D6-k_6!D6)&lt;=IF(ABS(k_6!D6)&lt;1,0.001,0.01),"✓ Correct","✗ Try again")),"✗ Try again")</f>
        <v>✓ Correct</v>
      </c>
      <c r="G6" s="6" t="s">
        <v>270</v>
      </c>
      <c r="H6" s="26">
        <v>46033</v>
      </c>
      <c r="I6" s="6" t="s">
        <v>251</v>
      </c>
      <c r="J6" s="6" t="s">
        <v>268</v>
      </c>
      <c r="K6" s="6" t="s">
        <v>265</v>
      </c>
      <c r="L6" s="6">
        <v>2</v>
      </c>
      <c r="M6" s="27">
        <v>12000</v>
      </c>
      <c r="N6" s="27">
        <f t="shared" si="0"/>
        <v>24000</v>
      </c>
    </row>
    <row r="7" spans="1:14" x14ac:dyDescent="0.3">
      <c r="A7" s="11">
        <v>3</v>
      </c>
      <c r="B7" s="11" t="s">
        <v>185</v>
      </c>
      <c r="C7" s="11" t="s">
        <v>186</v>
      </c>
      <c r="D7" s="12">
        <f>SUMIF(J:J,"Mouse",L:L)</f>
        <v>132</v>
      </c>
      <c r="E7" s="11" t="str">
        <f>IFERROR(IF(D7="","",IF(ABS(D7-k_6!D7)&lt;=IF(ABS(k_6!D7)&lt;1,0.001,0.01),"✓ Correct","✗ Try again")),"✗ Try again")</f>
        <v>✓ Correct</v>
      </c>
      <c r="G7" s="6" t="s">
        <v>271</v>
      </c>
      <c r="H7" s="26">
        <v>46033</v>
      </c>
      <c r="I7" s="6" t="s">
        <v>251</v>
      </c>
      <c r="J7" s="6" t="s">
        <v>264</v>
      </c>
      <c r="K7" s="6" t="s">
        <v>265</v>
      </c>
      <c r="L7" s="6">
        <v>1</v>
      </c>
      <c r="M7" s="27">
        <v>9000</v>
      </c>
      <c r="N7" s="27">
        <f t="shared" si="0"/>
        <v>9000</v>
      </c>
    </row>
    <row r="8" spans="1:14" x14ac:dyDescent="0.3">
      <c r="A8" s="11">
        <v>4</v>
      </c>
      <c r="B8" s="11" t="s">
        <v>187</v>
      </c>
      <c r="C8" s="11" t="s">
        <v>188</v>
      </c>
      <c r="D8" s="12">
        <f>SUMIFS(N:N,J:J,"Laptop",I:I,"Bengaluru")</f>
        <v>330000</v>
      </c>
      <c r="E8" s="11" t="str">
        <f>IFERROR(IF(D8="","",IF(ABS(D8-k_6!D8)&lt;=IF(ABS(k_6!D8)&lt;1,0.001,0.01),"✓ Correct","✗ Try again")),"✗ Try again")</f>
        <v>✓ Correct</v>
      </c>
      <c r="G8" s="6" t="s">
        <v>272</v>
      </c>
      <c r="H8" s="26">
        <v>46034</v>
      </c>
      <c r="I8" s="6" t="s">
        <v>254</v>
      </c>
      <c r="J8" s="6" t="s">
        <v>264</v>
      </c>
      <c r="K8" s="6" t="s">
        <v>265</v>
      </c>
      <c r="L8" s="6">
        <v>4</v>
      </c>
      <c r="M8" s="27">
        <v>9000</v>
      </c>
      <c r="N8" s="27">
        <f t="shared" si="0"/>
        <v>36000</v>
      </c>
    </row>
    <row r="9" spans="1:14" x14ac:dyDescent="0.3">
      <c r="A9" s="11">
        <v>5</v>
      </c>
      <c r="B9" s="11" t="s">
        <v>189</v>
      </c>
      <c r="C9" s="11" t="s">
        <v>190</v>
      </c>
      <c r="D9" s="12">
        <f>AVERAGEIF(J:J,"Printer",N:N)</f>
        <v>27000</v>
      </c>
      <c r="E9" s="11" t="str">
        <f>IFERROR(IF(D9="","",IF(ABS(D9-k_6!D9)&lt;=IF(ABS(k_6!D9)&lt;1,0.001,0.01),"✓ Correct","✗ Try again")),"✗ Try again")</f>
        <v>✓ Correct</v>
      </c>
      <c r="G9" s="6" t="s">
        <v>273</v>
      </c>
      <c r="H9" s="26">
        <v>46035</v>
      </c>
      <c r="I9" s="6" t="s">
        <v>248</v>
      </c>
      <c r="J9" s="6" t="s">
        <v>274</v>
      </c>
      <c r="K9" s="6" t="s">
        <v>275</v>
      </c>
      <c r="L9" s="6">
        <v>3</v>
      </c>
      <c r="M9" s="27">
        <v>600</v>
      </c>
      <c r="N9" s="27">
        <f t="shared" si="0"/>
        <v>1800</v>
      </c>
    </row>
    <row r="10" spans="1:14" x14ac:dyDescent="0.3">
      <c r="A10" s="11">
        <v>6</v>
      </c>
      <c r="B10" s="11" t="s">
        <v>191</v>
      </c>
      <c r="C10" s="11" t="s">
        <v>192</v>
      </c>
      <c r="D10" s="12">
        <f>COUNTIF(N:N,"&gt;50000")</f>
        <v>17</v>
      </c>
      <c r="E10" s="11" t="str">
        <f>IFERROR(IF(D10="","",IF(ABS(D10-k_6!D10)&lt;=IF(ABS(k_6!D10)&lt;1,0.001,0.01),"✓ Correct","✗ Try again")),"✗ Try again")</f>
        <v>✓ Correct</v>
      </c>
      <c r="G10" s="6" t="s">
        <v>276</v>
      </c>
      <c r="H10" s="26">
        <v>46036</v>
      </c>
      <c r="I10" s="6" t="s">
        <v>246</v>
      </c>
      <c r="J10" s="6" t="s">
        <v>277</v>
      </c>
      <c r="K10" s="6" t="s">
        <v>265</v>
      </c>
      <c r="L10" s="6">
        <v>2</v>
      </c>
      <c r="M10" s="27">
        <v>55000</v>
      </c>
      <c r="N10" s="27">
        <f t="shared" si="0"/>
        <v>110000</v>
      </c>
    </row>
    <row r="11" spans="1:14" x14ac:dyDescent="0.3">
      <c r="A11" s="11">
        <v>7</v>
      </c>
      <c r="B11" s="11" t="s">
        <v>193</v>
      </c>
      <c r="C11" s="11" t="s">
        <v>194</v>
      </c>
      <c r="D11" s="12">
        <f>SUMIFS(N:N, H:H, "&gt;="&amp;DATE(2026,3,1), H:H, "&lt;="&amp;DATE(2026,3,31))</f>
        <v>1555700</v>
      </c>
      <c r="E11" s="11" t="str">
        <f>IFERROR(IF(D11="","",IF(ABS(D11-k_6!D11)&lt;=IF(ABS(k_6!D11)&lt;1,0.001,0.01),"✓ Correct","✗ Try again")),"✗ Try again")</f>
        <v>✓ Correct</v>
      </c>
      <c r="G11" s="6" t="s">
        <v>278</v>
      </c>
      <c r="H11" s="26">
        <v>46037</v>
      </c>
      <c r="I11" s="6" t="s">
        <v>252</v>
      </c>
      <c r="J11" s="6" t="s">
        <v>274</v>
      </c>
      <c r="K11" s="6" t="s">
        <v>275</v>
      </c>
      <c r="L11" s="6">
        <v>4</v>
      </c>
      <c r="M11" s="27">
        <v>600</v>
      </c>
      <c r="N11" s="27">
        <f t="shared" si="0"/>
        <v>2400</v>
      </c>
    </row>
    <row r="12" spans="1:14" ht="26.4" x14ac:dyDescent="0.3">
      <c r="A12" s="11">
        <v>8</v>
      </c>
      <c r="B12" s="11" t="s">
        <v>195</v>
      </c>
      <c r="C12" s="11" t="s">
        <v>196</v>
      </c>
      <c r="D12" s="12">
        <f>_xlfn.MAXIFS(N:N,I:I,"Delhi")</f>
        <v>220000</v>
      </c>
      <c r="E12" s="11" t="str">
        <f>IFERROR(IF(D12="","",IF(ABS(D12-k_6!D12)&lt;=IF(ABS(k_6!D12)&lt;1,0.001,0.01),"✓ Correct","✗ Try again")),"✗ Try again")</f>
        <v>✓ Correct</v>
      </c>
      <c r="G12" s="6" t="s">
        <v>279</v>
      </c>
      <c r="H12" s="26">
        <v>46037</v>
      </c>
      <c r="I12" s="6" t="s">
        <v>248</v>
      </c>
      <c r="J12" s="6" t="s">
        <v>268</v>
      </c>
      <c r="K12" s="6" t="s">
        <v>265</v>
      </c>
      <c r="L12" s="6">
        <v>5</v>
      </c>
      <c r="M12" s="27">
        <v>12000</v>
      </c>
      <c r="N12" s="27">
        <f t="shared" si="0"/>
        <v>60000</v>
      </c>
    </row>
    <row r="13" spans="1:14" x14ac:dyDescent="0.3">
      <c r="A13" s="11">
        <v>9</v>
      </c>
      <c r="B13" s="11" t="s">
        <v>197</v>
      </c>
      <c r="C13" s="11" t="s">
        <v>198</v>
      </c>
      <c r="D13" s="12">
        <f>COUNTIFS(K:K,"Accessories",I:I,"Pune")</f>
        <v>6</v>
      </c>
      <c r="E13" s="11" t="str">
        <f>IFERROR(IF(D13="","",IF(ABS(D13-k_6!D13)&lt;=IF(ABS(k_6!D13)&lt;1,0.001,0.01),"✓ Correct","✗ Try again")),"✗ Try again")</f>
        <v>✓ Correct</v>
      </c>
      <c r="G13" s="6" t="s">
        <v>280</v>
      </c>
      <c r="H13" s="26">
        <v>46044</v>
      </c>
      <c r="I13" s="6" t="s">
        <v>252</v>
      </c>
      <c r="J13" s="6" t="s">
        <v>277</v>
      </c>
      <c r="K13" s="6" t="s">
        <v>265</v>
      </c>
      <c r="L13" s="6">
        <v>4</v>
      </c>
      <c r="M13" s="27">
        <v>55000</v>
      </c>
      <c r="N13" s="27">
        <f t="shared" si="0"/>
        <v>220000</v>
      </c>
    </row>
    <row r="14" spans="1:14" x14ac:dyDescent="0.3">
      <c r="G14" s="6" t="s">
        <v>281</v>
      </c>
      <c r="H14" s="26">
        <v>46047</v>
      </c>
      <c r="I14" s="6" t="s">
        <v>251</v>
      </c>
      <c r="J14" s="6" t="s">
        <v>274</v>
      </c>
      <c r="K14" s="6" t="s">
        <v>275</v>
      </c>
      <c r="L14" s="6">
        <v>15</v>
      </c>
      <c r="M14" s="27">
        <v>600</v>
      </c>
      <c r="N14" s="27">
        <f t="shared" si="0"/>
        <v>9000</v>
      </c>
    </row>
    <row r="15" spans="1:14" x14ac:dyDescent="0.3">
      <c r="G15" s="6" t="s">
        <v>282</v>
      </c>
      <c r="H15" s="26">
        <v>46048</v>
      </c>
      <c r="I15" s="6" t="s">
        <v>250</v>
      </c>
      <c r="J15" s="6" t="s">
        <v>268</v>
      </c>
      <c r="K15" s="6" t="s">
        <v>265</v>
      </c>
      <c r="L15" s="6">
        <v>4</v>
      </c>
      <c r="M15" s="27">
        <v>12000</v>
      </c>
      <c r="N15" s="27">
        <f t="shared" si="0"/>
        <v>48000</v>
      </c>
    </row>
    <row r="16" spans="1:14" x14ac:dyDescent="0.3">
      <c r="G16" s="6" t="s">
        <v>283</v>
      </c>
      <c r="H16" s="26">
        <v>46049</v>
      </c>
      <c r="I16" s="6" t="s">
        <v>250</v>
      </c>
      <c r="J16" s="6" t="s">
        <v>277</v>
      </c>
      <c r="K16" s="6" t="s">
        <v>265</v>
      </c>
      <c r="L16" s="6">
        <v>4</v>
      </c>
      <c r="M16" s="27">
        <v>55000</v>
      </c>
      <c r="N16" s="27">
        <f t="shared" si="0"/>
        <v>220000</v>
      </c>
    </row>
    <row r="17" spans="7:14" x14ac:dyDescent="0.3">
      <c r="G17" s="6" t="s">
        <v>284</v>
      </c>
      <c r="H17" s="26">
        <v>46049</v>
      </c>
      <c r="I17" s="6" t="s">
        <v>250</v>
      </c>
      <c r="J17" s="6" t="s">
        <v>277</v>
      </c>
      <c r="K17" s="6" t="s">
        <v>265</v>
      </c>
      <c r="L17" s="6">
        <v>3</v>
      </c>
      <c r="M17" s="27">
        <v>55000</v>
      </c>
      <c r="N17" s="27">
        <f t="shared" si="0"/>
        <v>165000</v>
      </c>
    </row>
    <row r="18" spans="7:14" x14ac:dyDescent="0.3">
      <c r="G18" s="6" t="s">
        <v>285</v>
      </c>
      <c r="H18" s="26">
        <v>46051</v>
      </c>
      <c r="I18" s="6" t="s">
        <v>250</v>
      </c>
      <c r="J18" s="6" t="s">
        <v>264</v>
      </c>
      <c r="K18" s="6" t="s">
        <v>265</v>
      </c>
      <c r="L18" s="6">
        <v>5</v>
      </c>
      <c r="M18" s="27">
        <v>9000</v>
      </c>
      <c r="N18" s="27">
        <f t="shared" si="0"/>
        <v>45000</v>
      </c>
    </row>
    <row r="19" spans="7:14" x14ac:dyDescent="0.3">
      <c r="G19" s="6" t="s">
        <v>286</v>
      </c>
      <c r="H19" s="26">
        <v>46056</v>
      </c>
      <c r="I19" s="6" t="s">
        <v>251</v>
      </c>
      <c r="J19" s="6" t="s">
        <v>287</v>
      </c>
      <c r="K19" s="6" t="s">
        <v>275</v>
      </c>
      <c r="L19" s="6">
        <v>13</v>
      </c>
      <c r="M19" s="27">
        <v>1500</v>
      </c>
      <c r="N19" s="27">
        <f t="shared" si="0"/>
        <v>19500</v>
      </c>
    </row>
    <row r="20" spans="7:14" x14ac:dyDescent="0.3">
      <c r="G20" s="6" t="s">
        <v>288</v>
      </c>
      <c r="H20" s="26">
        <v>46057</v>
      </c>
      <c r="I20" s="6" t="s">
        <v>252</v>
      </c>
      <c r="J20" s="6" t="s">
        <v>277</v>
      </c>
      <c r="K20" s="6" t="s">
        <v>265</v>
      </c>
      <c r="L20" s="6">
        <v>1</v>
      </c>
      <c r="M20" s="27">
        <v>55000</v>
      </c>
      <c r="N20" s="27">
        <f t="shared" si="0"/>
        <v>55000</v>
      </c>
    </row>
    <row r="21" spans="7:14" x14ac:dyDescent="0.3">
      <c r="G21" s="6" t="s">
        <v>289</v>
      </c>
      <c r="H21" s="26">
        <v>46058</v>
      </c>
      <c r="I21" s="6" t="s">
        <v>251</v>
      </c>
      <c r="J21" s="6" t="s">
        <v>274</v>
      </c>
      <c r="K21" s="6" t="s">
        <v>275</v>
      </c>
      <c r="L21" s="6">
        <v>16</v>
      </c>
      <c r="M21" s="27">
        <v>600</v>
      </c>
      <c r="N21" s="27">
        <f t="shared" si="0"/>
        <v>9600</v>
      </c>
    </row>
    <row r="22" spans="7:14" x14ac:dyDescent="0.3">
      <c r="G22" s="6" t="s">
        <v>290</v>
      </c>
      <c r="H22" s="26">
        <v>46058</v>
      </c>
      <c r="I22" s="6" t="s">
        <v>254</v>
      </c>
      <c r="J22" s="6" t="s">
        <v>274</v>
      </c>
      <c r="K22" s="6" t="s">
        <v>275</v>
      </c>
      <c r="L22" s="6">
        <v>16</v>
      </c>
      <c r="M22" s="27">
        <v>600</v>
      </c>
      <c r="N22" s="27">
        <f t="shared" si="0"/>
        <v>9600</v>
      </c>
    </row>
    <row r="23" spans="7:14" x14ac:dyDescent="0.3">
      <c r="G23" s="6" t="s">
        <v>291</v>
      </c>
      <c r="H23" s="26">
        <v>46059</v>
      </c>
      <c r="I23" s="6" t="s">
        <v>251</v>
      </c>
      <c r="J23" s="6" t="s">
        <v>268</v>
      </c>
      <c r="K23" s="6" t="s">
        <v>265</v>
      </c>
      <c r="L23" s="6">
        <v>6</v>
      </c>
      <c r="M23" s="27">
        <v>12000</v>
      </c>
      <c r="N23" s="27">
        <f t="shared" si="0"/>
        <v>72000</v>
      </c>
    </row>
    <row r="24" spans="7:14" x14ac:dyDescent="0.3">
      <c r="G24" s="6" t="s">
        <v>292</v>
      </c>
      <c r="H24" s="26">
        <v>46061</v>
      </c>
      <c r="I24" s="6" t="s">
        <v>251</v>
      </c>
      <c r="J24" s="6" t="s">
        <v>264</v>
      </c>
      <c r="K24" s="6" t="s">
        <v>265</v>
      </c>
      <c r="L24" s="6">
        <v>2</v>
      </c>
      <c r="M24" s="27">
        <v>9000</v>
      </c>
      <c r="N24" s="27">
        <f t="shared" si="0"/>
        <v>18000</v>
      </c>
    </row>
    <row r="25" spans="7:14" x14ac:dyDescent="0.3">
      <c r="G25" s="6" t="s">
        <v>293</v>
      </c>
      <c r="H25" s="26">
        <v>46061</v>
      </c>
      <c r="I25" s="6" t="s">
        <v>254</v>
      </c>
      <c r="J25" s="6" t="s">
        <v>274</v>
      </c>
      <c r="K25" s="6" t="s">
        <v>275</v>
      </c>
      <c r="L25" s="6">
        <v>5</v>
      </c>
      <c r="M25" s="27">
        <v>600</v>
      </c>
      <c r="N25" s="27">
        <f t="shared" si="0"/>
        <v>3000</v>
      </c>
    </row>
    <row r="26" spans="7:14" x14ac:dyDescent="0.3">
      <c r="G26" s="6" t="s">
        <v>294</v>
      </c>
      <c r="H26" s="26">
        <v>46062</v>
      </c>
      <c r="I26" s="6" t="s">
        <v>246</v>
      </c>
      <c r="J26" s="6" t="s">
        <v>287</v>
      </c>
      <c r="K26" s="6" t="s">
        <v>275</v>
      </c>
      <c r="L26" s="6">
        <v>4</v>
      </c>
      <c r="M26" s="27">
        <v>1500</v>
      </c>
      <c r="N26" s="27">
        <f t="shared" si="0"/>
        <v>6000</v>
      </c>
    </row>
    <row r="27" spans="7:14" x14ac:dyDescent="0.3">
      <c r="G27" s="6" t="s">
        <v>295</v>
      </c>
      <c r="H27" s="26">
        <v>46065</v>
      </c>
      <c r="I27" s="6" t="s">
        <v>254</v>
      </c>
      <c r="J27" s="6" t="s">
        <v>274</v>
      </c>
      <c r="K27" s="6" t="s">
        <v>275</v>
      </c>
      <c r="L27" s="6">
        <v>10</v>
      </c>
      <c r="M27" s="27">
        <v>600</v>
      </c>
      <c r="N27" s="27">
        <f t="shared" si="0"/>
        <v>6000</v>
      </c>
    </row>
    <row r="28" spans="7:14" x14ac:dyDescent="0.3">
      <c r="G28" s="6" t="s">
        <v>296</v>
      </c>
      <c r="H28" s="26">
        <v>46066</v>
      </c>
      <c r="I28" s="6" t="s">
        <v>254</v>
      </c>
      <c r="J28" s="6" t="s">
        <v>277</v>
      </c>
      <c r="K28" s="6" t="s">
        <v>265</v>
      </c>
      <c r="L28" s="6">
        <v>3</v>
      </c>
      <c r="M28" s="27">
        <v>55000</v>
      </c>
      <c r="N28" s="27">
        <f t="shared" si="0"/>
        <v>165000</v>
      </c>
    </row>
    <row r="29" spans="7:14" x14ac:dyDescent="0.3">
      <c r="G29" s="6" t="s">
        <v>297</v>
      </c>
      <c r="H29" s="26">
        <v>46067</v>
      </c>
      <c r="I29" s="6" t="s">
        <v>252</v>
      </c>
      <c r="J29" s="6" t="s">
        <v>274</v>
      </c>
      <c r="K29" s="6" t="s">
        <v>275</v>
      </c>
      <c r="L29" s="6">
        <v>14</v>
      </c>
      <c r="M29" s="27">
        <v>600</v>
      </c>
      <c r="N29" s="27">
        <f t="shared" si="0"/>
        <v>8400</v>
      </c>
    </row>
    <row r="30" spans="7:14" x14ac:dyDescent="0.3">
      <c r="G30" s="6" t="s">
        <v>298</v>
      </c>
      <c r="H30" s="26">
        <v>46069</v>
      </c>
      <c r="I30" s="6" t="s">
        <v>252</v>
      </c>
      <c r="J30" s="6" t="s">
        <v>274</v>
      </c>
      <c r="K30" s="6" t="s">
        <v>275</v>
      </c>
      <c r="L30" s="6">
        <v>6</v>
      </c>
      <c r="M30" s="27">
        <v>600</v>
      </c>
      <c r="N30" s="27">
        <f t="shared" si="0"/>
        <v>3600</v>
      </c>
    </row>
    <row r="31" spans="7:14" x14ac:dyDescent="0.3">
      <c r="G31" s="6" t="s">
        <v>299</v>
      </c>
      <c r="H31" s="26">
        <v>46070</v>
      </c>
      <c r="I31" s="6" t="s">
        <v>250</v>
      </c>
      <c r="J31" s="6" t="s">
        <v>274</v>
      </c>
      <c r="K31" s="6" t="s">
        <v>275</v>
      </c>
      <c r="L31" s="6">
        <v>13</v>
      </c>
      <c r="M31" s="27">
        <v>600</v>
      </c>
      <c r="N31" s="27">
        <f t="shared" si="0"/>
        <v>7800</v>
      </c>
    </row>
    <row r="32" spans="7:14" x14ac:dyDescent="0.3">
      <c r="G32" s="6" t="s">
        <v>300</v>
      </c>
      <c r="H32" s="26">
        <v>46072</v>
      </c>
      <c r="I32" s="6" t="s">
        <v>254</v>
      </c>
      <c r="J32" s="6" t="s">
        <v>264</v>
      </c>
      <c r="K32" s="6" t="s">
        <v>265</v>
      </c>
      <c r="L32" s="6">
        <v>3</v>
      </c>
      <c r="M32" s="27">
        <v>9000</v>
      </c>
      <c r="N32" s="27">
        <f t="shared" si="0"/>
        <v>27000</v>
      </c>
    </row>
    <row r="33" spans="7:14" x14ac:dyDescent="0.3">
      <c r="G33" s="6" t="s">
        <v>301</v>
      </c>
      <c r="H33" s="26">
        <v>46073</v>
      </c>
      <c r="I33" s="6" t="s">
        <v>252</v>
      </c>
      <c r="J33" s="6" t="s">
        <v>268</v>
      </c>
      <c r="K33" s="6" t="s">
        <v>265</v>
      </c>
      <c r="L33" s="6">
        <v>4</v>
      </c>
      <c r="M33" s="27">
        <v>12000</v>
      </c>
      <c r="N33" s="27">
        <f t="shared" si="0"/>
        <v>48000</v>
      </c>
    </row>
    <row r="34" spans="7:14" x14ac:dyDescent="0.3">
      <c r="G34" s="6" t="s">
        <v>302</v>
      </c>
      <c r="H34" s="26">
        <v>46074</v>
      </c>
      <c r="I34" s="6" t="s">
        <v>252</v>
      </c>
      <c r="J34" s="6" t="s">
        <v>287</v>
      </c>
      <c r="K34" s="6" t="s">
        <v>275</v>
      </c>
      <c r="L34" s="6">
        <v>3</v>
      </c>
      <c r="M34" s="27">
        <v>1500</v>
      </c>
      <c r="N34" s="27">
        <f t="shared" si="0"/>
        <v>4500</v>
      </c>
    </row>
    <row r="35" spans="7:14" x14ac:dyDescent="0.3">
      <c r="G35" s="6" t="s">
        <v>303</v>
      </c>
      <c r="H35" s="26">
        <v>46076</v>
      </c>
      <c r="I35" s="6" t="s">
        <v>251</v>
      </c>
      <c r="J35" s="6" t="s">
        <v>274</v>
      </c>
      <c r="K35" s="6" t="s">
        <v>275</v>
      </c>
      <c r="L35" s="6">
        <v>13</v>
      </c>
      <c r="M35" s="27">
        <v>600</v>
      </c>
      <c r="N35" s="27">
        <f t="shared" si="0"/>
        <v>7800</v>
      </c>
    </row>
    <row r="36" spans="7:14" x14ac:dyDescent="0.3">
      <c r="G36" s="6" t="s">
        <v>304</v>
      </c>
      <c r="H36" s="26">
        <v>46081</v>
      </c>
      <c r="I36" s="6" t="s">
        <v>254</v>
      </c>
      <c r="J36" s="6" t="s">
        <v>277</v>
      </c>
      <c r="K36" s="6" t="s">
        <v>265</v>
      </c>
      <c r="L36" s="6">
        <v>4</v>
      </c>
      <c r="M36" s="27">
        <v>55000</v>
      </c>
      <c r="N36" s="27">
        <f t="shared" si="0"/>
        <v>220000</v>
      </c>
    </row>
    <row r="37" spans="7:14" x14ac:dyDescent="0.3">
      <c r="G37" s="6" t="s">
        <v>305</v>
      </c>
      <c r="H37" s="26">
        <v>46082</v>
      </c>
      <c r="I37" s="6" t="s">
        <v>250</v>
      </c>
      <c r="J37" s="6" t="s">
        <v>264</v>
      </c>
      <c r="K37" s="6" t="s">
        <v>265</v>
      </c>
      <c r="L37" s="6">
        <v>4</v>
      </c>
      <c r="M37" s="27">
        <v>9000</v>
      </c>
      <c r="N37" s="27">
        <f t="shared" si="0"/>
        <v>36000</v>
      </c>
    </row>
    <row r="38" spans="7:14" x14ac:dyDescent="0.3">
      <c r="G38" s="6" t="s">
        <v>306</v>
      </c>
      <c r="H38" s="26">
        <v>46082</v>
      </c>
      <c r="I38" s="6" t="s">
        <v>248</v>
      </c>
      <c r="J38" s="6" t="s">
        <v>277</v>
      </c>
      <c r="K38" s="6" t="s">
        <v>265</v>
      </c>
      <c r="L38" s="6">
        <v>2</v>
      </c>
      <c r="M38" s="27">
        <v>55000</v>
      </c>
      <c r="N38" s="27">
        <f t="shared" si="0"/>
        <v>110000</v>
      </c>
    </row>
    <row r="39" spans="7:14" x14ac:dyDescent="0.3">
      <c r="G39" s="6" t="s">
        <v>307</v>
      </c>
      <c r="H39" s="26">
        <v>46083</v>
      </c>
      <c r="I39" s="6" t="s">
        <v>251</v>
      </c>
      <c r="J39" s="6" t="s">
        <v>268</v>
      </c>
      <c r="K39" s="6" t="s">
        <v>265</v>
      </c>
      <c r="L39" s="6">
        <v>3</v>
      </c>
      <c r="M39" s="27">
        <v>12000</v>
      </c>
      <c r="N39" s="27">
        <f t="shared" si="0"/>
        <v>36000</v>
      </c>
    </row>
    <row r="40" spans="7:14" x14ac:dyDescent="0.3">
      <c r="G40" s="6" t="s">
        <v>308</v>
      </c>
      <c r="H40" s="26">
        <v>46084</v>
      </c>
      <c r="I40" s="6" t="s">
        <v>250</v>
      </c>
      <c r="J40" s="6" t="s">
        <v>268</v>
      </c>
      <c r="K40" s="6" t="s">
        <v>265</v>
      </c>
      <c r="L40" s="6">
        <v>5</v>
      </c>
      <c r="M40" s="27">
        <v>12000</v>
      </c>
      <c r="N40" s="27">
        <f t="shared" si="0"/>
        <v>60000</v>
      </c>
    </row>
    <row r="41" spans="7:14" x14ac:dyDescent="0.3">
      <c r="G41" s="6" t="s">
        <v>309</v>
      </c>
      <c r="H41" s="26">
        <v>46084</v>
      </c>
      <c r="I41" s="6" t="s">
        <v>254</v>
      </c>
      <c r="J41" s="6" t="s">
        <v>277</v>
      </c>
      <c r="K41" s="6" t="s">
        <v>265</v>
      </c>
      <c r="L41" s="6">
        <v>3</v>
      </c>
      <c r="M41" s="27">
        <v>55000</v>
      </c>
      <c r="N41" s="27">
        <f t="shared" si="0"/>
        <v>165000</v>
      </c>
    </row>
    <row r="42" spans="7:14" x14ac:dyDescent="0.3">
      <c r="G42" s="6" t="s">
        <v>310</v>
      </c>
      <c r="H42" s="26">
        <v>46084</v>
      </c>
      <c r="I42" s="6" t="s">
        <v>251</v>
      </c>
      <c r="J42" s="6" t="s">
        <v>268</v>
      </c>
      <c r="K42" s="6" t="s">
        <v>265</v>
      </c>
      <c r="L42" s="6">
        <v>4</v>
      </c>
      <c r="M42" s="27">
        <v>12000</v>
      </c>
      <c r="N42" s="27">
        <f t="shared" si="0"/>
        <v>48000</v>
      </c>
    </row>
    <row r="43" spans="7:14" x14ac:dyDescent="0.3">
      <c r="G43" s="6" t="s">
        <v>311</v>
      </c>
      <c r="H43" s="26">
        <v>46085</v>
      </c>
      <c r="I43" s="6" t="s">
        <v>252</v>
      </c>
      <c r="J43" s="6" t="s">
        <v>268</v>
      </c>
      <c r="K43" s="6" t="s">
        <v>265</v>
      </c>
      <c r="L43" s="6">
        <v>1</v>
      </c>
      <c r="M43" s="27">
        <v>12000</v>
      </c>
      <c r="N43" s="27">
        <f t="shared" si="0"/>
        <v>12000</v>
      </c>
    </row>
    <row r="44" spans="7:14" x14ac:dyDescent="0.3">
      <c r="G44" s="6" t="s">
        <v>312</v>
      </c>
      <c r="H44" s="26">
        <v>46085</v>
      </c>
      <c r="I44" s="6" t="s">
        <v>252</v>
      </c>
      <c r="J44" s="6" t="s">
        <v>277</v>
      </c>
      <c r="K44" s="6" t="s">
        <v>265</v>
      </c>
      <c r="L44" s="6">
        <v>4</v>
      </c>
      <c r="M44" s="27">
        <v>55000</v>
      </c>
      <c r="N44" s="27">
        <f t="shared" si="0"/>
        <v>220000</v>
      </c>
    </row>
    <row r="45" spans="7:14" x14ac:dyDescent="0.3">
      <c r="G45" s="6" t="s">
        <v>313</v>
      </c>
      <c r="H45" s="26">
        <v>46086</v>
      </c>
      <c r="I45" s="6" t="s">
        <v>248</v>
      </c>
      <c r="J45" s="6" t="s">
        <v>274</v>
      </c>
      <c r="K45" s="6" t="s">
        <v>275</v>
      </c>
      <c r="L45" s="6">
        <v>17</v>
      </c>
      <c r="M45" s="27">
        <v>600</v>
      </c>
      <c r="N45" s="27">
        <f t="shared" si="0"/>
        <v>10200</v>
      </c>
    </row>
    <row r="46" spans="7:14" x14ac:dyDescent="0.3">
      <c r="G46" s="6" t="s">
        <v>314</v>
      </c>
      <c r="H46" s="26">
        <v>46089</v>
      </c>
      <c r="I46" s="6" t="s">
        <v>248</v>
      </c>
      <c r="J46" s="6" t="s">
        <v>264</v>
      </c>
      <c r="K46" s="6" t="s">
        <v>265</v>
      </c>
      <c r="L46" s="6">
        <v>2</v>
      </c>
      <c r="M46" s="27">
        <v>9000</v>
      </c>
      <c r="N46" s="27">
        <f t="shared" si="0"/>
        <v>18000</v>
      </c>
    </row>
    <row r="47" spans="7:14" x14ac:dyDescent="0.3">
      <c r="G47" s="6" t="s">
        <v>315</v>
      </c>
      <c r="H47" s="26">
        <v>46094</v>
      </c>
      <c r="I47" s="6" t="s">
        <v>250</v>
      </c>
      <c r="J47" s="6" t="s">
        <v>277</v>
      </c>
      <c r="K47" s="6" t="s">
        <v>265</v>
      </c>
      <c r="L47" s="6">
        <v>3</v>
      </c>
      <c r="M47" s="27">
        <v>55000</v>
      </c>
      <c r="N47" s="27">
        <f t="shared" si="0"/>
        <v>165000</v>
      </c>
    </row>
    <row r="48" spans="7:14" x14ac:dyDescent="0.3">
      <c r="G48" s="6" t="s">
        <v>316</v>
      </c>
      <c r="H48" s="26">
        <v>46097</v>
      </c>
      <c r="I48" s="6" t="s">
        <v>252</v>
      </c>
      <c r="J48" s="6" t="s">
        <v>287</v>
      </c>
      <c r="K48" s="6" t="s">
        <v>275</v>
      </c>
      <c r="L48" s="6">
        <v>3</v>
      </c>
      <c r="M48" s="27">
        <v>1500</v>
      </c>
      <c r="N48" s="27">
        <f t="shared" si="0"/>
        <v>4500</v>
      </c>
    </row>
    <row r="49" spans="7:14" x14ac:dyDescent="0.3">
      <c r="G49" s="6" t="s">
        <v>317</v>
      </c>
      <c r="H49" s="26">
        <v>46098</v>
      </c>
      <c r="I49" s="6" t="s">
        <v>251</v>
      </c>
      <c r="J49" s="6" t="s">
        <v>287</v>
      </c>
      <c r="K49" s="6" t="s">
        <v>275</v>
      </c>
      <c r="L49" s="6">
        <v>6</v>
      </c>
      <c r="M49" s="27">
        <v>1500</v>
      </c>
      <c r="N49" s="27">
        <f t="shared" si="0"/>
        <v>9000</v>
      </c>
    </row>
    <row r="50" spans="7:14" x14ac:dyDescent="0.3">
      <c r="G50" s="6" t="s">
        <v>318</v>
      </c>
      <c r="H50" s="26">
        <v>46100</v>
      </c>
      <c r="I50" s="6" t="s">
        <v>246</v>
      </c>
      <c r="J50" s="6" t="s">
        <v>264</v>
      </c>
      <c r="K50" s="6" t="s">
        <v>265</v>
      </c>
      <c r="L50" s="6">
        <v>1</v>
      </c>
      <c r="M50" s="27">
        <v>9000</v>
      </c>
      <c r="N50" s="27">
        <f t="shared" si="0"/>
        <v>9000</v>
      </c>
    </row>
    <row r="51" spans="7:14" x14ac:dyDescent="0.3">
      <c r="G51" s="6" t="s">
        <v>319</v>
      </c>
      <c r="H51" s="26">
        <v>46104</v>
      </c>
      <c r="I51" s="6" t="s">
        <v>252</v>
      </c>
      <c r="J51" s="6" t="s">
        <v>287</v>
      </c>
      <c r="K51" s="6" t="s">
        <v>275</v>
      </c>
      <c r="L51" s="6">
        <v>2</v>
      </c>
      <c r="M51" s="27">
        <v>1500</v>
      </c>
      <c r="N51" s="27">
        <f t="shared" si="0"/>
        <v>3000</v>
      </c>
    </row>
    <row r="52" spans="7:14" x14ac:dyDescent="0.3">
      <c r="G52" s="6" t="s">
        <v>320</v>
      </c>
      <c r="H52" s="26">
        <v>46104</v>
      </c>
      <c r="I52" s="6" t="s">
        <v>248</v>
      </c>
      <c r="J52" s="6" t="s">
        <v>268</v>
      </c>
      <c r="K52" s="6" t="s">
        <v>265</v>
      </c>
      <c r="L52" s="6">
        <v>3</v>
      </c>
      <c r="M52" s="27">
        <v>12000</v>
      </c>
      <c r="N52" s="27">
        <f t="shared" si="0"/>
        <v>36000</v>
      </c>
    </row>
    <row r="53" spans="7:14" x14ac:dyDescent="0.3">
      <c r="G53" s="6" t="s">
        <v>321</v>
      </c>
      <c r="H53" s="26">
        <v>46107</v>
      </c>
      <c r="I53" s="6" t="s">
        <v>251</v>
      </c>
      <c r="J53" s="6" t="s">
        <v>268</v>
      </c>
      <c r="K53" s="6" t="s">
        <v>265</v>
      </c>
      <c r="L53" s="6">
        <v>1</v>
      </c>
      <c r="M53" s="27">
        <v>12000</v>
      </c>
      <c r="N53" s="27">
        <f t="shared" si="0"/>
        <v>12000</v>
      </c>
    </row>
    <row r="54" spans="7:14" x14ac:dyDescent="0.3">
      <c r="G54" s="6" t="s">
        <v>322</v>
      </c>
      <c r="H54" s="26">
        <v>46107</v>
      </c>
      <c r="I54" s="6" t="s">
        <v>246</v>
      </c>
      <c r="J54" s="6" t="s">
        <v>277</v>
      </c>
      <c r="K54" s="6" t="s">
        <v>265</v>
      </c>
      <c r="L54" s="6">
        <v>4</v>
      </c>
      <c r="M54" s="27">
        <v>55000</v>
      </c>
      <c r="N54" s="27">
        <f t="shared" si="0"/>
        <v>220000</v>
      </c>
    </row>
    <row r="55" spans="7:14" x14ac:dyDescent="0.3">
      <c r="G55" s="6" t="s">
        <v>323</v>
      </c>
      <c r="H55" s="26">
        <v>46110</v>
      </c>
      <c r="I55" s="6" t="s">
        <v>250</v>
      </c>
      <c r="J55" s="6" t="s">
        <v>287</v>
      </c>
      <c r="K55" s="6" t="s">
        <v>275</v>
      </c>
      <c r="L55" s="6">
        <v>8</v>
      </c>
      <c r="M55" s="27">
        <v>1500</v>
      </c>
      <c r="N55" s="27">
        <f t="shared" si="0"/>
        <v>12000</v>
      </c>
    </row>
    <row r="56" spans="7:14" x14ac:dyDescent="0.3">
      <c r="G56" s="6" t="s">
        <v>324</v>
      </c>
      <c r="H56" s="26">
        <v>46110</v>
      </c>
      <c r="I56" s="6" t="s">
        <v>252</v>
      </c>
      <c r="J56" s="6" t="s">
        <v>264</v>
      </c>
      <c r="K56" s="6" t="s">
        <v>265</v>
      </c>
      <c r="L56" s="6">
        <v>2</v>
      </c>
      <c r="M56" s="27">
        <v>9000</v>
      </c>
      <c r="N56" s="27">
        <f t="shared" si="0"/>
        <v>18000</v>
      </c>
    </row>
    <row r="57" spans="7:14" x14ac:dyDescent="0.3">
      <c r="G57" s="6" t="s">
        <v>325</v>
      </c>
      <c r="H57" s="26">
        <v>46111</v>
      </c>
      <c r="I57" s="6" t="s">
        <v>248</v>
      </c>
      <c r="J57" s="6" t="s">
        <v>264</v>
      </c>
      <c r="K57" s="6" t="s">
        <v>265</v>
      </c>
      <c r="L57" s="6">
        <v>5</v>
      </c>
      <c r="M57" s="27">
        <v>9000</v>
      </c>
      <c r="N57" s="27">
        <f t="shared" si="0"/>
        <v>45000</v>
      </c>
    </row>
    <row r="58" spans="7:14" x14ac:dyDescent="0.3">
      <c r="G58" s="6" t="s">
        <v>326</v>
      </c>
      <c r="H58" s="26">
        <v>46111</v>
      </c>
      <c r="I58" s="6" t="s">
        <v>250</v>
      </c>
      <c r="J58" s="6" t="s">
        <v>268</v>
      </c>
      <c r="K58" s="6" t="s">
        <v>265</v>
      </c>
      <c r="L58" s="6">
        <v>5</v>
      </c>
      <c r="M58" s="27">
        <v>12000</v>
      </c>
      <c r="N58" s="27">
        <f t="shared" si="0"/>
        <v>60000</v>
      </c>
    </row>
    <row r="59" spans="7:14" x14ac:dyDescent="0.3">
      <c r="G59" s="6" t="s">
        <v>327</v>
      </c>
      <c r="H59" s="26">
        <v>46111</v>
      </c>
      <c r="I59" s="6" t="s">
        <v>251</v>
      </c>
      <c r="J59" s="6" t="s">
        <v>287</v>
      </c>
      <c r="K59" s="6" t="s">
        <v>275</v>
      </c>
      <c r="L59" s="6">
        <v>10</v>
      </c>
      <c r="M59" s="27">
        <v>1500</v>
      </c>
      <c r="N59" s="27">
        <f t="shared" si="0"/>
        <v>15000</v>
      </c>
    </row>
    <row r="60" spans="7:14" x14ac:dyDescent="0.3">
      <c r="G60" s="6" t="s">
        <v>328</v>
      </c>
      <c r="H60" s="26">
        <v>46111</v>
      </c>
      <c r="I60" s="6" t="s">
        <v>250</v>
      </c>
      <c r="J60" s="6" t="s">
        <v>268</v>
      </c>
      <c r="K60" s="6" t="s">
        <v>265</v>
      </c>
      <c r="L60" s="6">
        <v>1</v>
      </c>
      <c r="M60" s="27">
        <v>12000</v>
      </c>
      <c r="N60" s="27">
        <f t="shared" si="0"/>
        <v>12000</v>
      </c>
    </row>
    <row r="61" spans="7:14" x14ac:dyDescent="0.3">
      <c r="G61" s="6" t="s">
        <v>329</v>
      </c>
      <c r="H61" s="26">
        <v>46112</v>
      </c>
      <c r="I61" s="6" t="s">
        <v>248</v>
      </c>
      <c r="J61" s="6" t="s">
        <v>277</v>
      </c>
      <c r="K61" s="6" t="s">
        <v>265</v>
      </c>
      <c r="L61" s="6">
        <v>4</v>
      </c>
      <c r="M61" s="27">
        <v>55000</v>
      </c>
      <c r="N61" s="27">
        <f t="shared" si="0"/>
        <v>220000</v>
      </c>
    </row>
  </sheetData>
  <conditionalFormatting sqref="E5:E13">
    <cfRule type="expression" dxfId="14" priority="2">
      <formula>LEFT(E5,1)="✓"</formula>
    </cfRule>
    <cfRule type="expression" dxfId="13" priority="3">
      <formula>LEFT(E5,1)="✗"</formula>
    </cfRule>
  </conditionalFormatting>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M15"/>
  <sheetViews>
    <sheetView zoomScaleNormal="100" workbookViewId="0">
      <pane xSplit="3" ySplit="5" topLeftCell="D6" activePane="bottomRight" state="frozen"/>
      <selection pane="topRight" activeCell="D1" sqref="D1"/>
      <selection pane="bottomLeft" activeCell="A6" sqref="A6"/>
      <selection pane="bottomRight" activeCell="L6" sqref="L6:L15"/>
    </sheetView>
  </sheetViews>
  <sheetFormatPr defaultColWidth="8.6640625" defaultRowHeight="14.4" x14ac:dyDescent="0.3"/>
  <cols>
    <col min="1" max="2" width="13.6640625" customWidth="1"/>
    <col min="3" max="3" width="11.77734375" bestFit="1" customWidth="1"/>
    <col min="4" max="13" width="13.6640625" customWidth="1"/>
    <col min="14" max="14" width="11.44140625" customWidth="1"/>
    <col min="15" max="15" width="5.21875" customWidth="1"/>
    <col min="16" max="16" width="14.6640625" customWidth="1"/>
    <col min="17" max="17" width="9.77734375" bestFit="1" customWidth="1"/>
    <col min="18" max="18" width="10.6640625" bestFit="1" customWidth="1"/>
    <col min="19" max="19" width="11.109375" customWidth="1"/>
    <col min="20" max="20" width="11.77734375" bestFit="1" customWidth="1"/>
    <col min="21" max="21" width="8.109375" customWidth="1"/>
    <col min="22" max="22" width="5" bestFit="1" customWidth="1"/>
  </cols>
  <sheetData>
    <row r="1" spans="1:13" ht="17.399999999999999" x14ac:dyDescent="0.3">
      <c r="A1" s="1" t="s">
        <v>199</v>
      </c>
    </row>
    <row r="2" spans="1:13" x14ac:dyDescent="0.3">
      <c r="A2" s="2"/>
    </row>
    <row r="3" spans="1:13" x14ac:dyDescent="0.3">
      <c r="B3" s="22" t="s">
        <v>200</v>
      </c>
      <c r="C3" s="23">
        <v>46112</v>
      </c>
    </row>
    <row r="5" spans="1:13" ht="42" customHeight="1" x14ac:dyDescent="0.3">
      <c r="A5" s="5" t="s">
        <v>91</v>
      </c>
      <c r="B5" s="5" t="s">
        <v>92</v>
      </c>
      <c r="C5" s="5" t="s">
        <v>201</v>
      </c>
      <c r="D5" s="5" t="s">
        <v>202</v>
      </c>
      <c r="E5" s="5" t="s">
        <v>28</v>
      </c>
      <c r="F5" s="5" t="s">
        <v>203</v>
      </c>
      <c r="G5" s="5" t="s">
        <v>28</v>
      </c>
      <c r="H5" s="5" t="s">
        <v>204</v>
      </c>
      <c r="I5" s="5" t="s">
        <v>28</v>
      </c>
      <c r="J5" s="5" t="s">
        <v>205</v>
      </c>
      <c r="K5" s="5" t="s">
        <v>28</v>
      </c>
      <c r="L5" s="5" t="s">
        <v>206</v>
      </c>
      <c r="M5" s="5" t="s">
        <v>28</v>
      </c>
    </row>
    <row r="6" spans="1:13" x14ac:dyDescent="0.3">
      <c r="A6" s="13" t="s">
        <v>101</v>
      </c>
      <c r="B6" s="13" t="s">
        <v>102</v>
      </c>
      <c r="C6" s="24">
        <v>44262</v>
      </c>
      <c r="D6" s="14">
        <f>YEAR(C6)</f>
        <v>2021</v>
      </c>
      <c r="E6" s="6" t="str">
        <f>IFERROR(IF(D6="","",IF(ABS(D6-k_7!D6)&lt;=IF(ABS(k_7!D6)&lt;1,0.001,0.01),"✓ Correct","✗ Try again")),"✗ Try again")</f>
        <v>✓ Correct</v>
      </c>
      <c r="F6" s="14" t="str">
        <f>TEXT(C6,"mmmm")</f>
        <v>March</v>
      </c>
      <c r="G6" s="6" t="str">
        <f>IFERROR(IF(F6="","",IF(UPPER(TRIM(F6&amp;""))=UPPER(k_7!F6&amp;""),"✓ Correct","✗ Try again")),"✗ Try again")</f>
        <v>✓ Correct</v>
      </c>
      <c r="H6" s="11">
        <f>DATEDIF(C6,$C$3,"Y")</f>
        <v>5</v>
      </c>
      <c r="I6" s="6" t="str">
        <f>IFERROR(IF(H6="","",IF(ABS(H6-k_7!H6)&lt;=IF(ABS(k_7!H6)&lt;1,0.001,0.01),"✓ Correct","✗ Try again")),"✗ Try again")</f>
        <v>✓ Correct</v>
      </c>
      <c r="J6" s="25">
        <f>EOMONTH(C6,0)</f>
        <v>44286</v>
      </c>
      <c r="K6" s="6" t="str">
        <f>IFERROR(IF(J6="","",IF(ABS(J6-k_7!J6)&lt;=IF(ABS(k_7!J6)&lt;1,0.001,0.01),"✓ Correct","✗ Try again")),"✗ Try again")</f>
        <v>✓ Correct</v>
      </c>
      <c r="L6" s="14" t="str">
        <f>TEXT(C6,"DDDD")</f>
        <v>Sunday</v>
      </c>
      <c r="M6" s="6" t="str">
        <f>IFERROR(IF(L6="","",IF(UPPER(TRIM(L6&amp;""))=UPPER(k_7!L6&amp;""),"✓ Correct","✗ Try again")),"✗ Try again")</f>
        <v>✓ Correct</v>
      </c>
    </row>
    <row r="7" spans="1:13" x14ac:dyDescent="0.3">
      <c r="A7" s="13" t="s">
        <v>104</v>
      </c>
      <c r="B7" s="13" t="s">
        <v>105</v>
      </c>
      <c r="C7" s="24">
        <v>42247</v>
      </c>
      <c r="D7" s="14">
        <f t="shared" ref="D7:D15" si="0">YEAR(C7)</f>
        <v>2015</v>
      </c>
      <c r="E7" s="6" t="str">
        <f>IFERROR(IF(D7="","",IF(ABS(D7-k_7!D7)&lt;=IF(ABS(k_7!D7)&lt;1,0.001,0.01),"✓ Correct","✗ Try again")),"✗ Try again")</f>
        <v>✓ Correct</v>
      </c>
      <c r="F7" s="14" t="str">
        <f t="shared" ref="F7:F15" si="1">TEXT(C7,"mmmm")</f>
        <v>August</v>
      </c>
      <c r="G7" s="6" t="str">
        <f>IFERROR(IF(F7="","",IF(UPPER(TRIM(F7&amp;""))=UPPER(k_7!F7&amp;""),"✓ Correct","✗ Try again")),"✗ Try again")</f>
        <v>✓ Correct</v>
      </c>
      <c r="H7" s="11">
        <f t="shared" ref="H7:H15" si="2">DATEDIF(C7,$C$3,"Y")</f>
        <v>10</v>
      </c>
      <c r="I7" s="6" t="str">
        <f>IFERROR(IF(H7="","",IF(ABS(H7-k_7!H7)&lt;=IF(ABS(k_7!H7)&lt;1,0.001,0.01),"✓ Correct","✗ Try again")),"✗ Try again")</f>
        <v>✓ Correct</v>
      </c>
      <c r="J7" s="25">
        <f t="shared" ref="J7:J15" si="3">EOMONTH(C7,0)</f>
        <v>42247</v>
      </c>
      <c r="K7" s="6" t="str">
        <f>IFERROR(IF(J7="","",IF(ABS(J7-k_7!J7)&lt;=IF(ABS(k_7!J7)&lt;1,0.001,0.01),"✓ Correct","✗ Try again")),"✗ Try again")</f>
        <v>✓ Correct</v>
      </c>
      <c r="L7" s="14" t="str">
        <f t="shared" ref="L7:L15" si="4">TEXT(C7,"DDDD")</f>
        <v>Monday</v>
      </c>
      <c r="M7" s="6" t="str">
        <f>IFERROR(IF(L7="","",IF(UPPER(TRIM(L7&amp;""))=UPPER(k_7!L7&amp;""),"✓ Correct","✗ Try again")),"✗ Try again")</f>
        <v>✓ Correct</v>
      </c>
    </row>
    <row r="8" spans="1:13" x14ac:dyDescent="0.3">
      <c r="A8" s="13" t="s">
        <v>107</v>
      </c>
      <c r="B8" s="13" t="s">
        <v>108</v>
      </c>
      <c r="C8" s="24">
        <v>42512</v>
      </c>
      <c r="D8" s="14">
        <f t="shared" si="0"/>
        <v>2016</v>
      </c>
      <c r="E8" s="6" t="str">
        <f>IFERROR(IF(D8="","",IF(ABS(D8-k_7!D8)&lt;=IF(ABS(k_7!D8)&lt;1,0.001,0.01),"✓ Correct","✗ Try again")),"✗ Try again")</f>
        <v>✓ Correct</v>
      </c>
      <c r="F8" s="14" t="str">
        <f t="shared" si="1"/>
        <v>May</v>
      </c>
      <c r="G8" s="6" t="str">
        <f>IFERROR(IF(F8="","",IF(UPPER(TRIM(F8&amp;""))=UPPER(k_7!F8&amp;""),"✓ Correct","✗ Try again")),"✗ Try again")</f>
        <v>✓ Correct</v>
      </c>
      <c r="H8" s="11">
        <f t="shared" si="2"/>
        <v>9</v>
      </c>
      <c r="I8" s="6" t="str">
        <f>IFERROR(IF(H8="","",IF(ABS(H8-k_7!H8)&lt;=IF(ABS(k_7!H8)&lt;1,0.001,0.01),"✓ Correct","✗ Try again")),"✗ Try again")</f>
        <v>✓ Correct</v>
      </c>
      <c r="J8" s="25">
        <f t="shared" si="3"/>
        <v>42521</v>
      </c>
      <c r="K8" s="6" t="str">
        <f>IFERROR(IF(J8="","",IF(ABS(J8-k_7!J8)&lt;=IF(ABS(k_7!J8)&lt;1,0.001,0.01),"✓ Correct","✗ Try again")),"✗ Try again")</f>
        <v>✓ Correct</v>
      </c>
      <c r="L8" s="14" t="str">
        <f t="shared" si="4"/>
        <v>Sunday</v>
      </c>
      <c r="M8" s="6" t="str">
        <f>IFERROR(IF(L8="","",IF(UPPER(TRIM(L8&amp;""))=UPPER(k_7!L8&amp;""),"✓ Correct","✗ Try again")),"✗ Try again")</f>
        <v>✓ Correct</v>
      </c>
    </row>
    <row r="9" spans="1:13" x14ac:dyDescent="0.3">
      <c r="A9" s="13" t="s">
        <v>110</v>
      </c>
      <c r="B9" s="13" t="s">
        <v>111</v>
      </c>
      <c r="C9" s="24">
        <v>44588</v>
      </c>
      <c r="D9" s="14">
        <f t="shared" si="0"/>
        <v>2022</v>
      </c>
      <c r="E9" s="6" t="str">
        <f>IFERROR(IF(D9="","",IF(ABS(D9-k_7!D9)&lt;=IF(ABS(k_7!D9)&lt;1,0.001,0.01),"✓ Correct","✗ Try again")),"✗ Try again")</f>
        <v>✓ Correct</v>
      </c>
      <c r="F9" s="14" t="str">
        <f t="shared" si="1"/>
        <v>January</v>
      </c>
      <c r="G9" s="6" t="str">
        <f>IFERROR(IF(F9="","",IF(UPPER(TRIM(F9&amp;""))=UPPER(k_7!F9&amp;""),"✓ Correct","✗ Try again")),"✗ Try again")</f>
        <v>✓ Correct</v>
      </c>
      <c r="H9" s="11">
        <f t="shared" si="2"/>
        <v>4</v>
      </c>
      <c r="I9" s="6" t="str">
        <f>IFERROR(IF(H9="","",IF(ABS(H9-k_7!H9)&lt;=IF(ABS(k_7!H9)&lt;1,0.001,0.01),"✓ Correct","✗ Try again")),"✗ Try again")</f>
        <v>✓ Correct</v>
      </c>
      <c r="J9" s="25">
        <f t="shared" si="3"/>
        <v>44592</v>
      </c>
      <c r="K9" s="6" t="str">
        <f>IFERROR(IF(J9="","",IF(ABS(J9-k_7!J9)&lt;=IF(ABS(k_7!J9)&lt;1,0.001,0.01),"✓ Correct","✗ Try again")),"✗ Try again")</f>
        <v>✓ Correct</v>
      </c>
      <c r="L9" s="14" t="str">
        <f t="shared" si="4"/>
        <v>Thursday</v>
      </c>
      <c r="M9" s="6" t="str">
        <f>IFERROR(IF(L9="","",IF(UPPER(TRIM(L9&amp;""))=UPPER(k_7!L9&amp;""),"✓ Correct","✗ Try again")),"✗ Try again")</f>
        <v>✓ Correct</v>
      </c>
    </row>
    <row r="10" spans="1:13" x14ac:dyDescent="0.3">
      <c r="A10" s="13" t="s">
        <v>113</v>
      </c>
      <c r="B10" s="13" t="s">
        <v>114</v>
      </c>
      <c r="C10" s="24">
        <v>45886</v>
      </c>
      <c r="D10" s="14">
        <f t="shared" si="0"/>
        <v>2025</v>
      </c>
      <c r="E10" s="6" t="str">
        <f>IFERROR(IF(D10="","",IF(ABS(D10-k_7!D10)&lt;=IF(ABS(k_7!D10)&lt;1,0.001,0.01),"✓ Correct","✗ Try again")),"✗ Try again")</f>
        <v>✓ Correct</v>
      </c>
      <c r="F10" s="14" t="str">
        <f t="shared" si="1"/>
        <v>August</v>
      </c>
      <c r="G10" s="6" t="str">
        <f>IFERROR(IF(F10="","",IF(UPPER(TRIM(F10&amp;""))=UPPER(k_7!F10&amp;""),"✓ Correct","✗ Try again")),"✗ Try again")</f>
        <v>✓ Correct</v>
      </c>
      <c r="H10" s="11">
        <f t="shared" si="2"/>
        <v>0</v>
      </c>
      <c r="I10" s="6" t="str">
        <f>IFERROR(IF(H10="","",IF(ABS(H10-k_7!H10)&lt;=IF(ABS(k_7!H10)&lt;1,0.001,0.01),"✓ Correct","✗ Try again")),"✗ Try again")</f>
        <v>✓ Correct</v>
      </c>
      <c r="J10" s="25">
        <f t="shared" si="3"/>
        <v>45900</v>
      </c>
      <c r="K10" s="6" t="str">
        <f>IFERROR(IF(J10="","",IF(ABS(J10-k_7!J10)&lt;=IF(ABS(k_7!J10)&lt;1,0.001,0.01),"✓ Correct","✗ Try again")),"✗ Try again")</f>
        <v>✓ Correct</v>
      </c>
      <c r="L10" s="14" t="str">
        <f t="shared" si="4"/>
        <v>Sunday</v>
      </c>
      <c r="M10" s="6" t="str">
        <f>IFERROR(IF(L10="","",IF(UPPER(TRIM(L10&amp;""))=UPPER(k_7!L10&amp;""),"✓ Correct","✗ Try again")),"✗ Try again")</f>
        <v>✓ Correct</v>
      </c>
    </row>
    <row r="11" spans="1:13" x14ac:dyDescent="0.3">
      <c r="A11" s="13" t="s">
        <v>115</v>
      </c>
      <c r="B11" s="13" t="s">
        <v>116</v>
      </c>
      <c r="C11" s="24">
        <v>44368</v>
      </c>
      <c r="D11" s="14">
        <f t="shared" si="0"/>
        <v>2021</v>
      </c>
      <c r="E11" s="6" t="str">
        <f>IFERROR(IF(D11="","",IF(ABS(D11-k_7!D11)&lt;=IF(ABS(k_7!D11)&lt;1,0.001,0.01),"✓ Correct","✗ Try again")),"✗ Try again")</f>
        <v>✓ Correct</v>
      </c>
      <c r="F11" s="14" t="str">
        <f t="shared" si="1"/>
        <v>June</v>
      </c>
      <c r="G11" s="6" t="str">
        <f>IFERROR(IF(F11="","",IF(UPPER(TRIM(F11&amp;""))=UPPER(k_7!F11&amp;""),"✓ Correct","✗ Try again")),"✗ Try again")</f>
        <v>✓ Correct</v>
      </c>
      <c r="H11" s="11">
        <f t="shared" si="2"/>
        <v>4</v>
      </c>
      <c r="I11" s="6" t="str">
        <f>IFERROR(IF(H11="","",IF(ABS(H11-k_7!H11)&lt;=IF(ABS(k_7!H11)&lt;1,0.001,0.01),"✓ Correct","✗ Try again")),"✗ Try again")</f>
        <v>✓ Correct</v>
      </c>
      <c r="J11" s="25">
        <f t="shared" si="3"/>
        <v>44377</v>
      </c>
      <c r="K11" s="6" t="str">
        <f>IFERROR(IF(J11="","",IF(ABS(J11-k_7!J11)&lt;=IF(ABS(k_7!J11)&lt;1,0.001,0.01),"✓ Correct","✗ Try again")),"✗ Try again")</f>
        <v>✓ Correct</v>
      </c>
      <c r="L11" s="14" t="str">
        <f t="shared" si="4"/>
        <v>Monday</v>
      </c>
      <c r="M11" s="6" t="str">
        <f>IFERROR(IF(L11="","",IF(UPPER(TRIM(L11&amp;""))=UPPER(k_7!L11&amp;""),"✓ Correct","✗ Try again")),"✗ Try again")</f>
        <v>✓ Correct</v>
      </c>
    </row>
    <row r="12" spans="1:13" x14ac:dyDescent="0.3">
      <c r="A12" s="13" t="s">
        <v>118</v>
      </c>
      <c r="B12" s="13" t="s">
        <v>119</v>
      </c>
      <c r="C12" s="24">
        <v>43629</v>
      </c>
      <c r="D12" s="14">
        <f t="shared" si="0"/>
        <v>2019</v>
      </c>
      <c r="E12" s="6" t="str">
        <f>IFERROR(IF(D12="","",IF(ABS(D12-k_7!D12)&lt;=IF(ABS(k_7!D12)&lt;1,0.001,0.01),"✓ Correct","✗ Try again")),"✗ Try again")</f>
        <v>✓ Correct</v>
      </c>
      <c r="F12" s="14" t="str">
        <f t="shared" si="1"/>
        <v>June</v>
      </c>
      <c r="G12" s="6" t="str">
        <f>IFERROR(IF(F12="","",IF(UPPER(TRIM(F12&amp;""))=UPPER(k_7!F12&amp;""),"✓ Correct","✗ Try again")),"✗ Try again")</f>
        <v>✓ Correct</v>
      </c>
      <c r="H12" s="11">
        <f t="shared" si="2"/>
        <v>6</v>
      </c>
      <c r="I12" s="6" t="str">
        <f>IFERROR(IF(H12="","",IF(ABS(H12-k_7!H12)&lt;=IF(ABS(k_7!H12)&lt;1,0.001,0.01),"✓ Correct","✗ Try again")),"✗ Try again")</f>
        <v>✓ Correct</v>
      </c>
      <c r="J12" s="25">
        <f t="shared" si="3"/>
        <v>43646</v>
      </c>
      <c r="K12" s="6" t="str">
        <f>IFERROR(IF(J12="","",IF(ABS(J12-k_7!J12)&lt;=IF(ABS(k_7!J12)&lt;1,0.001,0.01),"✓ Correct","✗ Try again")),"✗ Try again")</f>
        <v>✓ Correct</v>
      </c>
      <c r="L12" s="14" t="str">
        <f t="shared" si="4"/>
        <v>Thursday</v>
      </c>
      <c r="M12" s="6" t="str">
        <f>IFERROR(IF(L12="","",IF(UPPER(TRIM(L12&amp;""))=UPPER(k_7!L12&amp;""),"✓ Correct","✗ Try again")),"✗ Try again")</f>
        <v>✓ Correct</v>
      </c>
    </row>
    <row r="13" spans="1:13" x14ac:dyDescent="0.3">
      <c r="A13" s="13" t="s">
        <v>120</v>
      </c>
      <c r="B13" s="13" t="s">
        <v>121</v>
      </c>
      <c r="C13" s="24">
        <v>42910</v>
      </c>
      <c r="D13" s="14">
        <f t="shared" si="0"/>
        <v>2017</v>
      </c>
      <c r="E13" s="6" t="str">
        <f>IFERROR(IF(D13="","",IF(ABS(D13-k_7!D13)&lt;=IF(ABS(k_7!D13)&lt;1,0.001,0.01),"✓ Correct","✗ Try again")),"✗ Try again")</f>
        <v>✓ Correct</v>
      </c>
      <c r="F13" s="14" t="str">
        <f t="shared" si="1"/>
        <v>June</v>
      </c>
      <c r="G13" s="6" t="str">
        <f>IFERROR(IF(F13="","",IF(UPPER(TRIM(F13&amp;""))=UPPER(k_7!F13&amp;""),"✓ Correct","✗ Try again")),"✗ Try again")</f>
        <v>✓ Correct</v>
      </c>
      <c r="H13" s="11">
        <f t="shared" si="2"/>
        <v>8</v>
      </c>
      <c r="I13" s="6" t="str">
        <f>IFERROR(IF(H13="","",IF(ABS(H13-k_7!H13)&lt;=IF(ABS(k_7!H13)&lt;1,0.001,0.01),"✓ Correct","✗ Try again")),"✗ Try again")</f>
        <v>✓ Correct</v>
      </c>
      <c r="J13" s="25">
        <f t="shared" si="3"/>
        <v>42916</v>
      </c>
      <c r="K13" s="6" t="str">
        <f>IFERROR(IF(J13="","",IF(ABS(J13-k_7!J13)&lt;=IF(ABS(k_7!J13)&lt;1,0.001,0.01),"✓ Correct","✗ Try again")),"✗ Try again")</f>
        <v>✓ Correct</v>
      </c>
      <c r="L13" s="14" t="str">
        <f t="shared" si="4"/>
        <v>Saturday</v>
      </c>
      <c r="M13" s="6" t="str">
        <f>IFERROR(IF(L13="","",IF(UPPER(TRIM(L13&amp;""))=UPPER(k_7!L13&amp;""),"✓ Correct","✗ Try again")),"✗ Try again")</f>
        <v>✓ Correct</v>
      </c>
    </row>
    <row r="14" spans="1:13" x14ac:dyDescent="0.3">
      <c r="A14" s="13" t="s">
        <v>122</v>
      </c>
      <c r="B14" s="13" t="s">
        <v>123</v>
      </c>
      <c r="C14" s="24">
        <v>44285</v>
      </c>
      <c r="D14" s="14">
        <f t="shared" si="0"/>
        <v>2021</v>
      </c>
      <c r="E14" s="6" t="str">
        <f>IFERROR(IF(D14="","",IF(ABS(D14-k_7!D14)&lt;=IF(ABS(k_7!D14)&lt;1,0.001,0.01),"✓ Correct","✗ Try again")),"✗ Try again")</f>
        <v>✓ Correct</v>
      </c>
      <c r="F14" s="14" t="str">
        <f t="shared" si="1"/>
        <v>March</v>
      </c>
      <c r="G14" s="6" t="str">
        <f>IFERROR(IF(F14="","",IF(UPPER(TRIM(F14&amp;""))=UPPER(k_7!F14&amp;""),"✓ Correct","✗ Try again")),"✗ Try again")</f>
        <v>✓ Correct</v>
      </c>
      <c r="H14" s="11">
        <f t="shared" si="2"/>
        <v>5</v>
      </c>
      <c r="I14" s="6" t="str">
        <f>IFERROR(IF(H14="","",IF(ABS(H14-k_7!H14)&lt;=IF(ABS(k_7!H14)&lt;1,0.001,0.01),"✓ Correct","✗ Try again")),"✗ Try again")</f>
        <v>✓ Correct</v>
      </c>
      <c r="J14" s="25">
        <f t="shared" si="3"/>
        <v>44286</v>
      </c>
      <c r="K14" s="6" t="str">
        <f>IFERROR(IF(J14="","",IF(ABS(J14-k_7!J14)&lt;=IF(ABS(k_7!J14)&lt;1,0.001,0.01),"✓ Correct","✗ Try again")),"✗ Try again")</f>
        <v>✓ Correct</v>
      </c>
      <c r="L14" s="14" t="str">
        <f t="shared" si="4"/>
        <v>Tuesday</v>
      </c>
      <c r="M14" s="6" t="str">
        <f>IFERROR(IF(L14="","",IF(UPPER(TRIM(L14&amp;""))=UPPER(k_7!L14&amp;""),"✓ Correct","✗ Try again")),"✗ Try again")</f>
        <v>✓ Correct</v>
      </c>
    </row>
    <row r="15" spans="1:13" x14ac:dyDescent="0.3">
      <c r="A15" s="13" t="s">
        <v>124</v>
      </c>
      <c r="B15" s="13" t="s">
        <v>125</v>
      </c>
      <c r="C15" s="24">
        <v>43191</v>
      </c>
      <c r="D15" s="14">
        <f t="shared" si="0"/>
        <v>2018</v>
      </c>
      <c r="E15" s="6" t="str">
        <f>IFERROR(IF(D15="","",IF(ABS(D15-k_7!D15)&lt;=IF(ABS(k_7!D15)&lt;1,0.001,0.01),"✓ Correct","✗ Try again")),"✗ Try again")</f>
        <v>✓ Correct</v>
      </c>
      <c r="F15" s="14" t="str">
        <f t="shared" si="1"/>
        <v>April</v>
      </c>
      <c r="G15" s="6" t="str">
        <f>IFERROR(IF(F15="","",IF(UPPER(TRIM(F15&amp;""))=UPPER(k_7!F15&amp;""),"✓ Correct","✗ Try again")),"✗ Try again")</f>
        <v>✓ Correct</v>
      </c>
      <c r="H15" s="11">
        <f t="shared" si="2"/>
        <v>7</v>
      </c>
      <c r="I15" s="6" t="str">
        <f>IFERROR(IF(H15="","",IF(ABS(H15-k_7!H15)&lt;=IF(ABS(k_7!H15)&lt;1,0.001,0.01),"✓ Correct","✗ Try again")),"✗ Try again")</f>
        <v>✓ Correct</v>
      </c>
      <c r="J15" s="25">
        <f t="shared" si="3"/>
        <v>43220</v>
      </c>
      <c r="K15" s="6" t="str">
        <f>IFERROR(IF(J15="","",IF(ABS(J15-k_7!J15)&lt;=IF(ABS(k_7!J15)&lt;1,0.001,0.01),"✓ Correct","✗ Try again")),"✗ Try again")</f>
        <v>✓ Correct</v>
      </c>
      <c r="L15" s="14" t="str">
        <f t="shared" si="4"/>
        <v>Sunday</v>
      </c>
      <c r="M15" s="6" t="str">
        <f>IFERROR(IF(L15="","",IF(UPPER(TRIM(L15&amp;""))=UPPER(k_7!L15&amp;""),"✓ Correct","✗ Try again")),"✗ Try again")</f>
        <v>✓ Correct</v>
      </c>
    </row>
  </sheetData>
  <conditionalFormatting sqref="E6:E15">
    <cfRule type="expression" dxfId="12" priority="2">
      <formula>LEFT(E6,1)="✓"</formula>
    </cfRule>
    <cfRule type="expression" dxfId="11" priority="3">
      <formula>LEFT(E6,1)="✗"</formula>
    </cfRule>
  </conditionalFormatting>
  <conditionalFormatting sqref="G6:G15">
    <cfRule type="expression" dxfId="10" priority="4">
      <formula>LEFT(G6,1)="✓"</formula>
    </cfRule>
    <cfRule type="expression" dxfId="9" priority="5">
      <formula>LEFT(G6,1)="✗"</formula>
    </cfRule>
  </conditionalFormatting>
  <conditionalFormatting sqref="I6:I15">
    <cfRule type="expression" dxfId="8" priority="6">
      <formula>LEFT(I6,1)="✓"</formula>
    </cfRule>
    <cfRule type="expression" dxfId="7" priority="7">
      <formula>LEFT(I6,1)="✗"</formula>
    </cfRule>
  </conditionalFormatting>
  <conditionalFormatting sqref="K6:K15">
    <cfRule type="expression" dxfId="6" priority="8">
      <formula>LEFT(K6,1)="✓"</formula>
    </cfRule>
    <cfRule type="expression" dxfId="5" priority="9">
      <formula>LEFT(K6,1)="✗"</formula>
    </cfRule>
  </conditionalFormatting>
  <conditionalFormatting sqref="M6:M15">
    <cfRule type="expression" dxfId="4" priority="10">
      <formula>LEFT(M6,1)="✓"</formula>
    </cfRule>
    <cfRule type="expression" dxfId="3" priority="11">
      <formula>LEFT(M6,1)="✗"</formula>
    </cfRule>
  </conditionalFormatting>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4"/>
  <sheetViews>
    <sheetView zoomScaleNormal="100" workbookViewId="0">
      <pane ySplit="4" topLeftCell="A5" activePane="bottomLeft" state="frozen"/>
      <selection pane="bottomLeft" activeCell="D14" sqref="D14"/>
    </sheetView>
  </sheetViews>
  <sheetFormatPr defaultColWidth="8.6640625" defaultRowHeight="14.4" x14ac:dyDescent="0.3"/>
  <cols>
    <col min="1" max="1" width="4" customWidth="1"/>
    <col min="2" max="2" width="60" customWidth="1"/>
    <col min="3" max="3" width="34" customWidth="1"/>
    <col min="4" max="4" width="18" customWidth="1"/>
    <col min="5" max="5" width="14" customWidth="1"/>
  </cols>
  <sheetData>
    <row r="1" spans="1:5" ht="17.399999999999999" x14ac:dyDescent="0.3">
      <c r="A1" s="1" t="s">
        <v>207</v>
      </c>
    </row>
    <row r="2" spans="1:5" x14ac:dyDescent="0.3">
      <c r="A2" s="2" t="s">
        <v>208</v>
      </c>
    </row>
    <row r="4" spans="1:5" x14ac:dyDescent="0.3">
      <c r="A4" s="5" t="s">
        <v>24</v>
      </c>
      <c r="B4" s="5" t="s">
        <v>25</v>
      </c>
      <c r="C4" s="5" t="s">
        <v>26</v>
      </c>
      <c r="D4" s="5" t="s">
        <v>27</v>
      </c>
      <c r="E4" s="5" t="s">
        <v>28</v>
      </c>
    </row>
    <row r="5" spans="1:5" x14ac:dyDescent="0.3">
      <c r="A5" s="11">
        <v>1</v>
      </c>
      <c r="B5" s="11" t="s">
        <v>209</v>
      </c>
      <c r="C5" s="11" t="s">
        <v>210</v>
      </c>
      <c r="D5" s="34">
        <v>3343700</v>
      </c>
      <c r="E5" s="11" t="str">
        <f>IFERROR(IF(D5="","",IF(ABS(D5-k_8!D5)&lt;=IF(ABS(k_8!D5)&lt;1,0.001,0.01),"✓ Correct","✗ Try again")),"✗ Try again")</f>
        <v>✓ Correct</v>
      </c>
    </row>
    <row r="6" spans="1:5" x14ac:dyDescent="0.3">
      <c r="A6" s="11">
        <v>2</v>
      </c>
      <c r="B6" s="11" t="s">
        <v>211</v>
      </c>
      <c r="C6" s="11" t="s">
        <v>212</v>
      </c>
      <c r="D6" s="32" t="s">
        <v>250</v>
      </c>
      <c r="E6" s="11" t="str">
        <f>IFERROR(IF(D6="","",IF(UPPER(TRIM(D6&amp;""))=UPPER(k_8!D6&amp;""),"✓ Correct","✗ Try again")),"✗ Try again")</f>
        <v>✓ Correct</v>
      </c>
    </row>
    <row r="7" spans="1:5" x14ac:dyDescent="0.3">
      <c r="A7" s="11">
        <v>3</v>
      </c>
      <c r="B7" s="11" t="s">
        <v>213</v>
      </c>
      <c r="C7" s="11" t="s">
        <v>214</v>
      </c>
      <c r="D7" s="33">
        <v>501000</v>
      </c>
      <c r="E7" s="11" t="str">
        <f>IFERROR(IF(D7="","",IF(ABS(D7-k_8!D7)&lt;=IF(ABS(k_8!D7)&lt;1,0.001,0.01),"✓ Correct","✗ Try again")),"✗ Try again")</f>
        <v>✓ Correct</v>
      </c>
    </row>
    <row r="8" spans="1:5" ht="26.4" x14ac:dyDescent="0.3">
      <c r="A8" s="11">
        <v>4</v>
      </c>
      <c r="B8" s="11" t="s">
        <v>215</v>
      </c>
      <c r="C8" s="11" t="s">
        <v>216</v>
      </c>
      <c r="D8" s="32" t="s">
        <v>274</v>
      </c>
      <c r="E8" s="11" t="str">
        <f>IFERROR(IF(D8="","",IF(UPPER(TRIM(D8&amp;""))=UPPER(k_8!D8&amp;""),"✓ Correct","✗ Try again")),"✗ Try again")</f>
        <v>✓ Correct</v>
      </c>
    </row>
    <row r="9" spans="1:5" ht="26.4" x14ac:dyDescent="0.3">
      <c r="A9" s="11">
        <v>5</v>
      </c>
      <c r="B9" s="11" t="s">
        <v>217</v>
      </c>
      <c r="C9" s="11" t="s">
        <v>218</v>
      </c>
      <c r="D9" s="12">
        <v>0</v>
      </c>
      <c r="E9" s="11" t="str">
        <f>IFERROR(IF(D9="","",IF(ABS(D9-k_8!D9)&lt;=IF(ABS(k_8!D9)&lt;1,0.001,0.01),"✓ Correct","✗ Try again")),"✗ Try again")</f>
        <v>✓ Correct</v>
      </c>
    </row>
    <row r="10" spans="1:5" x14ac:dyDescent="0.3">
      <c r="A10" s="11">
        <v>6</v>
      </c>
      <c r="B10" s="11" t="s">
        <v>219</v>
      </c>
      <c r="C10" s="11" t="s">
        <v>220</v>
      </c>
      <c r="D10" s="33">
        <v>690800</v>
      </c>
      <c r="E10" s="11" t="str">
        <f>IFERROR(IF(D10="","",IF(ABS(D10-k_8!D10)&lt;=IF(ABS(k_8!D10)&lt;1,0.001,0.01),"✓ Correct","✗ Try again")),"✗ Try again")</f>
        <v>✓ Correct</v>
      </c>
    </row>
    <row r="11" spans="1:5" ht="26.4" x14ac:dyDescent="0.3">
      <c r="A11" s="11">
        <v>7</v>
      </c>
      <c r="B11" s="11" t="s">
        <v>221</v>
      </c>
      <c r="C11" s="11" t="s">
        <v>222</v>
      </c>
      <c r="D11" s="35">
        <v>0.11125400005981398</v>
      </c>
      <c r="E11" s="11" t="str">
        <f>IFERROR(IF(D11="","",IF(ABS(D11-k_8!D11)&lt;=IF(ABS(k_8!D11)&lt;1,0.001,0.01),"✓ Correct","✗ Try again")),"✗ Try again")</f>
        <v>✓ Correct</v>
      </c>
    </row>
    <row r="12" spans="1:5" ht="26.4" x14ac:dyDescent="0.3">
      <c r="A12" s="11">
        <v>8</v>
      </c>
      <c r="B12" s="11" t="s">
        <v>223</v>
      </c>
      <c r="C12" s="11" t="s">
        <v>224</v>
      </c>
      <c r="D12" s="33">
        <v>152700</v>
      </c>
      <c r="E12" s="11" t="str">
        <f>IFERROR(IF(D12="","",IF(ABS(D12-k_8!D12)&lt;=IF(ABS(k_8!D12)&lt;1,0.001,0.01),"✓ Correct","✗ Try again")),"✗ Try again")</f>
        <v>✓ Correct</v>
      </c>
    </row>
    <row r="13" spans="1:5" x14ac:dyDescent="0.3">
      <c r="A13" s="11">
        <v>9</v>
      </c>
      <c r="B13" s="11" t="s">
        <v>225</v>
      </c>
      <c r="C13" s="11" t="s">
        <v>226</v>
      </c>
      <c r="D13">
        <v>12</v>
      </c>
      <c r="E13" s="11" t="str">
        <f>IFERROR(IF(D13="","",IF(ABS(D13-k_8!D13)&lt;=IF(ABS(k_8!D13)&lt;1,0.001,0.01),"✓ Correct","✗ Try again")),"✗ Try again")</f>
        <v>✓ Correct</v>
      </c>
    </row>
    <row r="14" spans="1:5" ht="26.4" x14ac:dyDescent="0.3">
      <c r="A14" s="11">
        <v>10</v>
      </c>
      <c r="B14" s="11" t="s">
        <v>227</v>
      </c>
      <c r="C14" s="11" t="s">
        <v>228</v>
      </c>
      <c r="D14" s="32" t="s">
        <v>252</v>
      </c>
      <c r="E14" s="11" t="str">
        <f>IFERROR(IF(D14="","",IF(UPPER(TRIM(D14&amp;""))=UPPER(k_8!D14&amp;""),"✓ Correct","✗ Try again")),"✗ Try again")</f>
        <v>✓ Correct</v>
      </c>
    </row>
  </sheetData>
  <conditionalFormatting sqref="E5:E14">
    <cfRule type="expression" dxfId="2" priority="2">
      <formula>LEFT(E5,1)="✓"</formula>
    </cfRule>
    <cfRule type="expression" dxfId="1" priority="3">
      <formula>LEFT(E5,1)="✗"</formula>
    </cfRule>
  </conditionalFormatting>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14"/>
  <sheetViews>
    <sheetView zoomScale="145" zoomScaleNormal="145" workbookViewId="0">
      <selection activeCell="C14" sqref="C14"/>
    </sheetView>
  </sheetViews>
  <sheetFormatPr defaultColWidth="8.6640625" defaultRowHeight="14.4" x14ac:dyDescent="0.3"/>
  <cols>
    <col min="1" max="1" width="4" customWidth="1"/>
    <col min="2" max="2" width="80" customWidth="1"/>
    <col min="3" max="3" width="12" customWidth="1"/>
  </cols>
  <sheetData>
    <row r="1" spans="1:3" ht="17.399999999999999" x14ac:dyDescent="0.3">
      <c r="A1" s="1" t="s">
        <v>229</v>
      </c>
    </row>
    <row r="2" spans="1:3" x14ac:dyDescent="0.3">
      <c r="A2" s="2" t="s">
        <v>230</v>
      </c>
    </row>
    <row r="4" spans="1:3" x14ac:dyDescent="0.3">
      <c r="A4" s="5" t="s">
        <v>24</v>
      </c>
      <c r="B4" s="5" t="s">
        <v>231</v>
      </c>
      <c r="C4" s="5" t="s">
        <v>232</v>
      </c>
    </row>
    <row r="5" spans="1:3" x14ac:dyDescent="0.3">
      <c r="A5" s="11">
        <v>1</v>
      </c>
      <c r="B5" s="11" t="s">
        <v>233</v>
      </c>
      <c r="C5" s="12" t="s">
        <v>418</v>
      </c>
    </row>
    <row r="6" spans="1:3" x14ac:dyDescent="0.3">
      <c r="A6" s="11">
        <v>2</v>
      </c>
      <c r="B6" s="11" t="s">
        <v>234</v>
      </c>
      <c r="C6" s="12" t="s">
        <v>418</v>
      </c>
    </row>
    <row r="7" spans="1:3" x14ac:dyDescent="0.3">
      <c r="A7" s="11">
        <v>3</v>
      </c>
      <c r="B7" s="11" t="s">
        <v>235</v>
      </c>
      <c r="C7" s="12" t="s">
        <v>418</v>
      </c>
    </row>
    <row r="8" spans="1:3" x14ac:dyDescent="0.3">
      <c r="A8" s="11">
        <v>4</v>
      </c>
      <c r="B8" s="11" t="s">
        <v>236</v>
      </c>
      <c r="C8" s="12" t="s">
        <v>418</v>
      </c>
    </row>
    <row r="9" spans="1:3" x14ac:dyDescent="0.3">
      <c r="A9" s="11">
        <v>5</v>
      </c>
      <c r="B9" s="11" t="s">
        <v>237</v>
      </c>
      <c r="C9" s="12" t="s">
        <v>418</v>
      </c>
    </row>
    <row r="10" spans="1:3" x14ac:dyDescent="0.3">
      <c r="A10" s="11">
        <v>6</v>
      </c>
      <c r="B10" s="11" t="s">
        <v>238</v>
      </c>
      <c r="C10" s="12" t="s">
        <v>418</v>
      </c>
    </row>
    <row r="11" spans="1:3" x14ac:dyDescent="0.3">
      <c r="A11" s="11">
        <v>7</v>
      </c>
      <c r="B11" s="11" t="s">
        <v>239</v>
      </c>
      <c r="C11" s="12" t="s">
        <v>418</v>
      </c>
    </row>
    <row r="12" spans="1:3" ht="26.4" x14ac:dyDescent="0.3">
      <c r="A12" s="11">
        <v>8</v>
      </c>
      <c r="B12" s="11" t="s">
        <v>240</v>
      </c>
      <c r="C12" s="12" t="s">
        <v>418</v>
      </c>
    </row>
    <row r="13" spans="1:3" x14ac:dyDescent="0.3">
      <c r="A13" s="11">
        <v>9</v>
      </c>
      <c r="B13" s="11" t="s">
        <v>241</v>
      </c>
      <c r="C13" s="12" t="s">
        <v>418</v>
      </c>
    </row>
    <row r="14" spans="1:3" x14ac:dyDescent="0.3">
      <c r="A14" s="11">
        <v>10</v>
      </c>
      <c r="B14" s="11" t="s">
        <v>242</v>
      </c>
      <c r="C14" s="12" t="s">
        <v>418</v>
      </c>
    </row>
  </sheetData>
  <conditionalFormatting sqref="C5:C14">
    <cfRule type="expression" dxfId="0" priority="2">
      <formula>C5="Done"</formula>
    </cfRule>
  </conditionalFormatting>
  <dataValidations count="1">
    <dataValidation type="list" allowBlank="1" sqref="C5:C14" xr:uid="{00000000-0002-0000-0900-000000000000}">
      <formula1>"Done,Not yet"</formula1>
      <formula2>0</formula2>
    </dataValidation>
  </dataValidation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34197-69F6-429E-9772-CB06853EAE02}">
  <sheetPr codeName="Sheet12"/>
  <dimension ref="A1:N16"/>
  <sheetViews>
    <sheetView showGridLines="0" showRowColHeaders="0" tabSelected="1" zoomScaleNormal="100" workbookViewId="0">
      <selection activeCell="I39" sqref="I39"/>
    </sheetView>
  </sheetViews>
  <sheetFormatPr defaultRowHeight="14.4" x14ac:dyDescent="0.3"/>
  <cols>
    <col min="1" max="1" width="14.109375" customWidth="1"/>
    <col min="2" max="2" width="17.33203125" bestFit="1" customWidth="1"/>
    <col min="3" max="3" width="2.77734375" customWidth="1"/>
    <col min="4" max="4" width="12.5546875" bestFit="1" customWidth="1"/>
    <col min="5" max="5" width="17.33203125" bestFit="1" customWidth="1"/>
    <col min="6" max="6" width="2.44140625" customWidth="1"/>
    <col min="7" max="7" width="12.5546875" bestFit="1" customWidth="1"/>
    <col min="8" max="8" width="10.44140625" bestFit="1" customWidth="1"/>
    <col min="9" max="9" width="2.77734375" customWidth="1"/>
  </cols>
  <sheetData>
    <row r="1" spans="1:14" ht="33" customHeight="1" x14ac:dyDescent="0.3"/>
    <row r="3" spans="1:14" x14ac:dyDescent="0.3">
      <c r="A3" s="31" t="s">
        <v>415</v>
      </c>
      <c r="B3" t="s">
        <v>417</v>
      </c>
      <c r="D3" s="31" t="s">
        <v>415</v>
      </c>
      <c r="E3" t="s">
        <v>417</v>
      </c>
      <c r="G3" s="31" t="s">
        <v>415</v>
      </c>
      <c r="H3" t="s">
        <v>422</v>
      </c>
    </row>
    <row r="4" spans="1:14" x14ac:dyDescent="0.3">
      <c r="A4" s="32" t="s">
        <v>252</v>
      </c>
      <c r="B4" s="33">
        <v>599400</v>
      </c>
      <c r="D4" s="32" t="s">
        <v>419</v>
      </c>
      <c r="E4" s="33">
        <v>1097200</v>
      </c>
      <c r="G4" s="32" t="s">
        <v>287</v>
      </c>
      <c r="H4">
        <v>49</v>
      </c>
    </row>
    <row r="5" spans="1:14" x14ac:dyDescent="0.3">
      <c r="A5" s="32" t="s">
        <v>248</v>
      </c>
      <c r="B5" s="33">
        <v>501000</v>
      </c>
      <c r="D5" s="32" t="s">
        <v>420</v>
      </c>
      <c r="E5" s="33">
        <v>690800</v>
      </c>
      <c r="G5" s="32" t="s">
        <v>277</v>
      </c>
      <c r="H5">
        <v>41</v>
      </c>
    </row>
    <row r="6" spans="1:14" x14ac:dyDescent="0.3">
      <c r="A6" s="32" t="s">
        <v>254</v>
      </c>
      <c r="B6" s="33">
        <v>631600</v>
      </c>
      <c r="D6" s="32" t="s">
        <v>421</v>
      </c>
      <c r="E6" s="33">
        <v>1555700</v>
      </c>
      <c r="G6" s="32" t="s">
        <v>268</v>
      </c>
      <c r="H6">
        <v>51</v>
      </c>
    </row>
    <row r="7" spans="1:14" x14ac:dyDescent="0.3">
      <c r="A7" s="32" t="s">
        <v>250</v>
      </c>
      <c r="B7" s="33">
        <v>866800</v>
      </c>
      <c r="D7" s="32" t="s">
        <v>416</v>
      </c>
      <c r="E7" s="33">
        <v>3343700</v>
      </c>
      <c r="G7" s="32" t="s">
        <v>274</v>
      </c>
      <c r="H7">
        <v>132</v>
      </c>
    </row>
    <row r="8" spans="1:14" x14ac:dyDescent="0.3">
      <c r="A8" s="32" t="s">
        <v>246</v>
      </c>
      <c r="B8" s="33">
        <v>372000</v>
      </c>
      <c r="G8" s="32" t="s">
        <v>264</v>
      </c>
      <c r="H8">
        <v>36</v>
      </c>
      <c r="J8" s="38" t="s">
        <v>423</v>
      </c>
      <c r="K8" s="39"/>
      <c r="L8" s="39"/>
      <c r="M8" s="39"/>
      <c r="N8" s="39"/>
    </row>
    <row r="9" spans="1:14" x14ac:dyDescent="0.3">
      <c r="A9" s="32" t="s">
        <v>251</v>
      </c>
      <c r="B9" s="33">
        <v>372900</v>
      </c>
      <c r="G9" s="32" t="s">
        <v>416</v>
      </c>
      <c r="H9">
        <v>309</v>
      </c>
      <c r="J9" s="39"/>
      <c r="K9" s="39"/>
      <c r="L9" s="39"/>
      <c r="M9" s="39"/>
      <c r="N9" s="39"/>
    </row>
    <row r="10" spans="1:14" x14ac:dyDescent="0.3">
      <c r="A10" s="32" t="s">
        <v>416</v>
      </c>
      <c r="B10" s="33">
        <v>3343700</v>
      </c>
      <c r="J10" s="39"/>
      <c r="K10" s="39"/>
      <c r="L10" s="39"/>
      <c r="M10" s="39"/>
      <c r="N10" s="39"/>
    </row>
    <row r="11" spans="1:14" ht="7.2" customHeight="1" x14ac:dyDescent="0.3"/>
    <row r="12" spans="1:14" ht="3.6" hidden="1" customHeight="1" x14ac:dyDescent="0.3">
      <c r="J12" s="40">
        <f>GETPIVOTDATA("Amount (₹)",$A$3)</f>
        <v>3343700</v>
      </c>
      <c r="K12" s="40"/>
      <c r="L12" s="40"/>
      <c r="M12" s="40"/>
      <c r="N12" s="40"/>
    </row>
    <row r="13" spans="1:14" ht="0.6" hidden="1" customHeight="1" x14ac:dyDescent="0.3">
      <c r="J13" s="40"/>
      <c r="K13" s="40"/>
      <c r="L13" s="40"/>
      <c r="M13" s="40"/>
      <c r="N13" s="40"/>
    </row>
    <row r="14" spans="1:14" x14ac:dyDescent="0.3">
      <c r="J14" s="40"/>
      <c r="K14" s="40"/>
      <c r="L14" s="40"/>
      <c r="M14" s="40"/>
      <c r="N14" s="40"/>
    </row>
    <row r="15" spans="1:14" x14ac:dyDescent="0.3">
      <c r="J15" s="40"/>
      <c r="K15" s="40"/>
      <c r="L15" s="40"/>
      <c r="M15" s="40"/>
      <c r="N15" s="40"/>
    </row>
    <row r="16" spans="1:14" x14ac:dyDescent="0.3">
      <c r="J16" s="40"/>
      <c r="K16" s="40"/>
      <c r="L16" s="40"/>
      <c r="M16" s="40"/>
      <c r="N16" s="40"/>
    </row>
  </sheetData>
  <mergeCells count="2">
    <mergeCell ref="J8:N10"/>
    <mergeCell ref="J12:N16"/>
  </mergeCells>
  <pageMargins left="0.7" right="0.7" top="0.75" bottom="0.75" header="0.3" footer="0.3"/>
  <drawing r:id="rId4"/>
  <picture r:id="rId5"/>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H21"/>
  <sheetViews>
    <sheetView zoomScaleNormal="100" workbookViewId="0">
      <pane ySplit="1" topLeftCell="A2" activePane="bottomLeft" state="frozen"/>
      <selection pane="bottomLeft" activeCell="B1" sqref="B1"/>
    </sheetView>
  </sheetViews>
  <sheetFormatPr defaultColWidth="8.6640625" defaultRowHeight="14.4" x14ac:dyDescent="0.3"/>
  <cols>
    <col min="1" max="1" width="9" customWidth="1"/>
    <col min="2" max="2" width="18" customWidth="1"/>
    <col min="3" max="3" width="13" customWidth="1"/>
    <col min="4" max="4" width="12" customWidth="1"/>
    <col min="5" max="6" width="13" customWidth="1"/>
    <col min="7" max="7" width="15" customWidth="1"/>
    <col min="8" max="8" width="12" customWidth="1"/>
  </cols>
  <sheetData>
    <row r="1" spans="1:8" ht="26.4" x14ac:dyDescent="0.3">
      <c r="A1" s="5" t="s">
        <v>91</v>
      </c>
      <c r="B1" s="5" t="s">
        <v>92</v>
      </c>
      <c r="C1" s="5" t="s">
        <v>174</v>
      </c>
      <c r="D1" s="5" t="s">
        <v>172</v>
      </c>
      <c r="E1" s="5" t="s">
        <v>243</v>
      </c>
      <c r="F1" s="5" t="s">
        <v>201</v>
      </c>
      <c r="G1" s="5" t="s">
        <v>244</v>
      </c>
      <c r="H1" s="5" t="s">
        <v>245</v>
      </c>
    </row>
    <row r="2" spans="1:8" x14ac:dyDescent="0.3">
      <c r="A2" s="6" t="s">
        <v>101</v>
      </c>
      <c r="B2" s="6" t="s">
        <v>102</v>
      </c>
      <c r="C2" s="6" t="s">
        <v>103</v>
      </c>
      <c r="D2" s="6" t="s">
        <v>246</v>
      </c>
      <c r="E2" s="6" t="s">
        <v>247</v>
      </c>
      <c r="F2" s="26">
        <v>44262</v>
      </c>
      <c r="G2" s="27">
        <v>69000</v>
      </c>
      <c r="H2" s="6">
        <v>4</v>
      </c>
    </row>
    <row r="3" spans="1:8" x14ac:dyDescent="0.3">
      <c r="A3" s="6" t="s">
        <v>104</v>
      </c>
      <c r="B3" s="6" t="s">
        <v>105</v>
      </c>
      <c r="C3" s="6" t="s">
        <v>106</v>
      </c>
      <c r="D3" s="6" t="s">
        <v>248</v>
      </c>
      <c r="E3" s="6" t="s">
        <v>249</v>
      </c>
      <c r="F3" s="26">
        <v>42247</v>
      </c>
      <c r="G3" s="27">
        <v>47000</v>
      </c>
      <c r="H3" s="6">
        <v>5</v>
      </c>
    </row>
    <row r="4" spans="1:8" x14ac:dyDescent="0.3">
      <c r="A4" s="6" t="s">
        <v>107</v>
      </c>
      <c r="B4" s="6" t="s">
        <v>108</v>
      </c>
      <c r="C4" s="6" t="s">
        <v>109</v>
      </c>
      <c r="D4" s="6" t="s">
        <v>250</v>
      </c>
      <c r="E4" s="6" t="s">
        <v>250</v>
      </c>
      <c r="F4" s="26">
        <v>42512</v>
      </c>
      <c r="G4" s="27">
        <v>78500</v>
      </c>
      <c r="H4" s="6">
        <v>2</v>
      </c>
    </row>
    <row r="5" spans="1:8" x14ac:dyDescent="0.3">
      <c r="A5" s="6" t="s">
        <v>110</v>
      </c>
      <c r="B5" s="6" t="s">
        <v>111</v>
      </c>
      <c r="C5" s="6" t="s">
        <v>112</v>
      </c>
      <c r="D5" s="6" t="s">
        <v>251</v>
      </c>
      <c r="E5" s="6" t="s">
        <v>247</v>
      </c>
      <c r="F5" s="26">
        <v>44588</v>
      </c>
      <c r="G5" s="27">
        <v>111000</v>
      </c>
      <c r="H5" s="6">
        <v>5</v>
      </c>
    </row>
    <row r="6" spans="1:8" x14ac:dyDescent="0.3">
      <c r="A6" s="6" t="s">
        <v>113</v>
      </c>
      <c r="B6" s="6" t="s">
        <v>114</v>
      </c>
      <c r="C6" s="6" t="s">
        <v>103</v>
      </c>
      <c r="D6" s="6" t="s">
        <v>252</v>
      </c>
      <c r="E6" s="6" t="s">
        <v>253</v>
      </c>
      <c r="F6" s="26">
        <v>45886</v>
      </c>
      <c r="G6" s="27">
        <v>34000</v>
      </c>
      <c r="H6" s="6">
        <v>1</v>
      </c>
    </row>
    <row r="7" spans="1:8" x14ac:dyDescent="0.3">
      <c r="A7" s="6" t="s">
        <v>115</v>
      </c>
      <c r="B7" s="6" t="s">
        <v>116</v>
      </c>
      <c r="C7" s="6" t="s">
        <v>117</v>
      </c>
      <c r="D7" s="6" t="s">
        <v>254</v>
      </c>
      <c r="E7" s="6" t="s">
        <v>255</v>
      </c>
      <c r="F7" s="26">
        <v>44368</v>
      </c>
      <c r="G7" s="27">
        <v>37000</v>
      </c>
      <c r="H7" s="6"/>
    </row>
    <row r="8" spans="1:8" x14ac:dyDescent="0.3">
      <c r="A8" s="6" t="s">
        <v>118</v>
      </c>
      <c r="B8" s="6" t="s">
        <v>119</v>
      </c>
      <c r="C8" s="6" t="s">
        <v>103</v>
      </c>
      <c r="D8" s="6" t="s">
        <v>246</v>
      </c>
      <c r="E8" s="6" t="s">
        <v>247</v>
      </c>
      <c r="F8" s="26">
        <v>43629</v>
      </c>
      <c r="G8" s="27">
        <v>75000</v>
      </c>
      <c r="H8" s="6">
        <v>1</v>
      </c>
    </row>
    <row r="9" spans="1:8" x14ac:dyDescent="0.3">
      <c r="A9" s="6" t="s">
        <v>120</v>
      </c>
      <c r="B9" s="6" t="s">
        <v>121</v>
      </c>
      <c r="C9" s="6" t="s">
        <v>106</v>
      </c>
      <c r="D9" s="6" t="s">
        <v>248</v>
      </c>
      <c r="E9" s="6" t="s">
        <v>249</v>
      </c>
      <c r="F9" s="26">
        <v>42910</v>
      </c>
      <c r="G9" s="27">
        <v>40000</v>
      </c>
      <c r="H9" s="6">
        <v>1</v>
      </c>
    </row>
    <row r="10" spans="1:8" x14ac:dyDescent="0.3">
      <c r="A10" s="6" t="s">
        <v>122</v>
      </c>
      <c r="B10" s="6" t="s">
        <v>123</v>
      </c>
      <c r="C10" s="6" t="s">
        <v>112</v>
      </c>
      <c r="D10" s="6" t="s">
        <v>251</v>
      </c>
      <c r="E10" s="6" t="s">
        <v>247</v>
      </c>
      <c r="F10" s="26">
        <v>44285</v>
      </c>
      <c r="G10" s="27">
        <v>74500</v>
      </c>
      <c r="H10" s="6">
        <v>2</v>
      </c>
    </row>
    <row r="11" spans="1:8" x14ac:dyDescent="0.3">
      <c r="A11" s="6" t="s">
        <v>124</v>
      </c>
      <c r="B11" s="6" t="s">
        <v>125</v>
      </c>
      <c r="C11" s="6" t="s">
        <v>109</v>
      </c>
      <c r="D11" s="6" t="s">
        <v>250</v>
      </c>
      <c r="E11" s="6" t="s">
        <v>250</v>
      </c>
      <c r="F11" s="26">
        <v>43191</v>
      </c>
      <c r="G11" s="27">
        <v>102500</v>
      </c>
      <c r="H11" s="6">
        <v>4</v>
      </c>
    </row>
    <row r="12" spans="1:8" x14ac:dyDescent="0.3">
      <c r="A12" s="6" t="s">
        <v>126</v>
      </c>
      <c r="B12" s="6" t="s">
        <v>127</v>
      </c>
      <c r="C12" s="6" t="s">
        <v>106</v>
      </c>
      <c r="D12" s="6" t="s">
        <v>246</v>
      </c>
      <c r="E12" s="6" t="s">
        <v>247</v>
      </c>
      <c r="F12" s="26">
        <v>42595</v>
      </c>
      <c r="G12" s="27">
        <v>35000</v>
      </c>
      <c r="H12" s="6">
        <v>5</v>
      </c>
    </row>
    <row r="13" spans="1:8" x14ac:dyDescent="0.3">
      <c r="A13" s="6" t="s">
        <v>128</v>
      </c>
      <c r="B13" s="6" t="s">
        <v>129</v>
      </c>
      <c r="C13" s="6" t="s">
        <v>103</v>
      </c>
      <c r="D13" s="6" t="s">
        <v>254</v>
      </c>
      <c r="E13" s="6" t="s">
        <v>255</v>
      </c>
      <c r="F13" s="26">
        <v>42487</v>
      </c>
      <c r="G13" s="27">
        <v>92500</v>
      </c>
      <c r="H13" s="6">
        <v>5</v>
      </c>
    </row>
    <row r="14" spans="1:8" x14ac:dyDescent="0.3">
      <c r="A14" s="6" t="s">
        <v>130</v>
      </c>
      <c r="B14" s="6" t="s">
        <v>131</v>
      </c>
      <c r="C14" s="6" t="s">
        <v>117</v>
      </c>
      <c r="D14" s="6" t="s">
        <v>248</v>
      </c>
      <c r="E14" s="6" t="s">
        <v>249</v>
      </c>
      <c r="F14" s="26">
        <v>43268</v>
      </c>
      <c r="G14" s="27">
        <v>55000</v>
      </c>
      <c r="H14" s="6">
        <v>5</v>
      </c>
    </row>
    <row r="15" spans="1:8" x14ac:dyDescent="0.3">
      <c r="A15" s="6" t="s">
        <v>132</v>
      </c>
      <c r="B15" s="6" t="s">
        <v>133</v>
      </c>
      <c r="C15" s="6" t="s">
        <v>112</v>
      </c>
      <c r="D15" s="6" t="s">
        <v>252</v>
      </c>
      <c r="E15" s="6" t="s">
        <v>253</v>
      </c>
      <c r="F15" s="26">
        <v>45347</v>
      </c>
      <c r="G15" s="27">
        <v>32500</v>
      </c>
      <c r="H15" s="6"/>
    </row>
    <row r="16" spans="1:8" x14ac:dyDescent="0.3">
      <c r="A16" s="6" t="s">
        <v>134</v>
      </c>
      <c r="B16" s="6" t="s">
        <v>135</v>
      </c>
      <c r="C16" s="6" t="s">
        <v>103</v>
      </c>
      <c r="D16" s="6" t="s">
        <v>246</v>
      </c>
      <c r="E16" s="6" t="s">
        <v>247</v>
      </c>
      <c r="F16" s="26">
        <v>42427</v>
      </c>
      <c r="G16" s="27">
        <v>39000</v>
      </c>
      <c r="H16" s="6">
        <v>5</v>
      </c>
    </row>
    <row r="17" spans="1:8" x14ac:dyDescent="0.3">
      <c r="A17" s="6" t="s">
        <v>136</v>
      </c>
      <c r="B17" s="6" t="s">
        <v>137</v>
      </c>
      <c r="C17" s="6" t="s">
        <v>106</v>
      </c>
      <c r="D17" s="6" t="s">
        <v>250</v>
      </c>
      <c r="E17" s="6" t="s">
        <v>250</v>
      </c>
      <c r="F17" s="26">
        <v>44344</v>
      </c>
      <c r="G17" s="27">
        <v>83500</v>
      </c>
      <c r="H17" s="6">
        <v>2</v>
      </c>
    </row>
    <row r="18" spans="1:8" x14ac:dyDescent="0.3">
      <c r="A18" s="6" t="s">
        <v>138</v>
      </c>
      <c r="B18" s="6" t="s">
        <v>139</v>
      </c>
      <c r="C18" s="6" t="s">
        <v>109</v>
      </c>
      <c r="D18" s="6" t="s">
        <v>248</v>
      </c>
      <c r="E18" s="6" t="s">
        <v>249</v>
      </c>
      <c r="F18" s="26">
        <v>43530</v>
      </c>
      <c r="G18" s="27">
        <v>81500</v>
      </c>
      <c r="H18" s="6">
        <v>1</v>
      </c>
    </row>
    <row r="19" spans="1:8" x14ac:dyDescent="0.3">
      <c r="A19" s="6" t="s">
        <v>140</v>
      </c>
      <c r="B19" s="6" t="s">
        <v>141</v>
      </c>
      <c r="C19" s="6" t="s">
        <v>117</v>
      </c>
      <c r="D19" s="6" t="s">
        <v>254</v>
      </c>
      <c r="E19" s="6" t="s">
        <v>255</v>
      </c>
      <c r="F19" s="26">
        <v>44248</v>
      </c>
      <c r="G19" s="27">
        <v>36500</v>
      </c>
      <c r="H19" s="6">
        <v>1</v>
      </c>
    </row>
    <row r="20" spans="1:8" x14ac:dyDescent="0.3">
      <c r="A20" s="6" t="s">
        <v>142</v>
      </c>
      <c r="B20" s="6" t="s">
        <v>143</v>
      </c>
      <c r="C20" s="6" t="s">
        <v>103</v>
      </c>
      <c r="D20" s="6" t="s">
        <v>246</v>
      </c>
      <c r="E20" s="6" t="s">
        <v>247</v>
      </c>
      <c r="F20" s="26">
        <v>44316</v>
      </c>
      <c r="G20" s="27">
        <v>58500</v>
      </c>
      <c r="H20" s="6">
        <v>1</v>
      </c>
    </row>
    <row r="21" spans="1:8" x14ac:dyDescent="0.3">
      <c r="A21" s="6" t="s">
        <v>144</v>
      </c>
      <c r="B21" s="6" t="s">
        <v>145</v>
      </c>
      <c r="C21" s="6" t="s">
        <v>106</v>
      </c>
      <c r="D21" s="6" t="s">
        <v>251</v>
      </c>
      <c r="E21" s="6" t="s">
        <v>247</v>
      </c>
      <c r="F21" s="26">
        <v>44540</v>
      </c>
      <c r="G21" s="27">
        <v>39500</v>
      </c>
      <c r="H21" s="6">
        <v>2</v>
      </c>
    </row>
  </sheetData>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H61"/>
  <sheetViews>
    <sheetView zoomScaleNormal="100" workbookViewId="0">
      <pane ySplit="1" topLeftCell="A2" activePane="bottomLeft" state="frozen"/>
      <selection pane="bottomLeft" sqref="A1:H1"/>
    </sheetView>
  </sheetViews>
  <sheetFormatPr defaultColWidth="8.6640625" defaultRowHeight="14.4" x14ac:dyDescent="0.3"/>
  <cols>
    <col min="1" max="1" width="10" customWidth="1"/>
    <col min="2" max="2" width="13" customWidth="1"/>
    <col min="3" max="3" width="12" customWidth="1"/>
    <col min="4" max="4" width="11" customWidth="1"/>
    <col min="5" max="5" width="13" customWidth="1"/>
    <col min="6" max="6" width="6" customWidth="1"/>
    <col min="7" max="7" width="14" customWidth="1"/>
    <col min="8" max="8" width="13" customWidth="1"/>
  </cols>
  <sheetData>
    <row r="1" spans="1:8" x14ac:dyDescent="0.3">
      <c r="A1" s="36" t="s">
        <v>256</v>
      </c>
      <c r="B1" s="36" t="s">
        <v>257</v>
      </c>
      <c r="C1" s="36" t="s">
        <v>172</v>
      </c>
      <c r="D1" s="36" t="s">
        <v>258</v>
      </c>
      <c r="E1" s="36" t="s">
        <v>259</v>
      </c>
      <c r="F1" s="36" t="s">
        <v>260</v>
      </c>
      <c r="G1" s="36" t="s">
        <v>261</v>
      </c>
      <c r="H1" s="36" t="s">
        <v>262</v>
      </c>
    </row>
    <row r="2" spans="1:8" x14ac:dyDescent="0.3">
      <c r="A2" s="6" t="s">
        <v>263</v>
      </c>
      <c r="B2" s="26">
        <v>46023</v>
      </c>
      <c r="C2" s="6" t="s">
        <v>251</v>
      </c>
      <c r="D2" s="6" t="s">
        <v>264</v>
      </c>
      <c r="E2" s="6" t="s">
        <v>265</v>
      </c>
      <c r="F2" s="6">
        <v>4</v>
      </c>
      <c r="G2" s="27">
        <v>9000</v>
      </c>
      <c r="H2" s="27">
        <f t="shared" ref="H2:H33" si="0">F2*G2</f>
        <v>36000</v>
      </c>
    </row>
    <row r="3" spans="1:8" x14ac:dyDescent="0.3">
      <c r="A3" s="6" t="s">
        <v>266</v>
      </c>
      <c r="B3" s="26">
        <v>46026</v>
      </c>
      <c r="C3" s="6" t="s">
        <v>246</v>
      </c>
      <c r="D3" s="6" t="s">
        <v>264</v>
      </c>
      <c r="E3" s="6" t="s">
        <v>265</v>
      </c>
      <c r="F3" s="6">
        <v>3</v>
      </c>
      <c r="G3" s="27">
        <v>9000</v>
      </c>
      <c r="H3" s="27">
        <f t="shared" si="0"/>
        <v>27000</v>
      </c>
    </row>
    <row r="4" spans="1:8" x14ac:dyDescent="0.3">
      <c r="A4" s="6" t="s">
        <v>267</v>
      </c>
      <c r="B4" s="26">
        <v>46031</v>
      </c>
      <c r="C4" s="6" t="s">
        <v>251</v>
      </c>
      <c r="D4" s="6" t="s">
        <v>268</v>
      </c>
      <c r="E4" s="6" t="s">
        <v>265</v>
      </c>
      <c r="F4" s="6">
        <v>4</v>
      </c>
      <c r="G4" s="27">
        <v>12000</v>
      </c>
      <c r="H4" s="27">
        <f t="shared" si="0"/>
        <v>48000</v>
      </c>
    </row>
    <row r="5" spans="1:8" x14ac:dyDescent="0.3">
      <c r="A5" s="6" t="s">
        <v>269</v>
      </c>
      <c r="B5" s="26">
        <v>46033</v>
      </c>
      <c r="C5" s="6" t="s">
        <v>250</v>
      </c>
      <c r="D5" s="6" t="s">
        <v>268</v>
      </c>
      <c r="E5" s="6" t="s">
        <v>265</v>
      </c>
      <c r="F5" s="6">
        <v>3</v>
      </c>
      <c r="G5" s="27">
        <v>12000</v>
      </c>
      <c r="H5" s="27">
        <f t="shared" si="0"/>
        <v>36000</v>
      </c>
    </row>
    <row r="6" spans="1:8" x14ac:dyDescent="0.3">
      <c r="A6" s="6" t="s">
        <v>270</v>
      </c>
      <c r="B6" s="26">
        <v>46033</v>
      </c>
      <c r="C6" s="6" t="s">
        <v>251</v>
      </c>
      <c r="D6" s="6" t="s">
        <v>268</v>
      </c>
      <c r="E6" s="6" t="s">
        <v>265</v>
      </c>
      <c r="F6" s="6">
        <v>2</v>
      </c>
      <c r="G6" s="27">
        <v>12000</v>
      </c>
      <c r="H6" s="27">
        <f t="shared" si="0"/>
        <v>24000</v>
      </c>
    </row>
    <row r="7" spans="1:8" x14ac:dyDescent="0.3">
      <c r="A7" s="6" t="s">
        <v>271</v>
      </c>
      <c r="B7" s="26">
        <v>46033</v>
      </c>
      <c r="C7" s="6" t="s">
        <v>251</v>
      </c>
      <c r="D7" s="6" t="s">
        <v>264</v>
      </c>
      <c r="E7" s="6" t="s">
        <v>265</v>
      </c>
      <c r="F7" s="6">
        <v>1</v>
      </c>
      <c r="G7" s="27">
        <v>9000</v>
      </c>
      <c r="H7" s="27">
        <f t="shared" si="0"/>
        <v>9000</v>
      </c>
    </row>
    <row r="8" spans="1:8" x14ac:dyDescent="0.3">
      <c r="A8" s="6" t="s">
        <v>272</v>
      </c>
      <c r="B8" s="26">
        <v>46034</v>
      </c>
      <c r="C8" s="6" t="s">
        <v>254</v>
      </c>
      <c r="D8" s="6" t="s">
        <v>264</v>
      </c>
      <c r="E8" s="6" t="s">
        <v>265</v>
      </c>
      <c r="F8" s="6">
        <v>4</v>
      </c>
      <c r="G8" s="27">
        <v>9000</v>
      </c>
      <c r="H8" s="27">
        <f t="shared" si="0"/>
        <v>36000</v>
      </c>
    </row>
    <row r="9" spans="1:8" x14ac:dyDescent="0.3">
      <c r="A9" s="6" t="s">
        <v>273</v>
      </c>
      <c r="B9" s="26">
        <v>46035</v>
      </c>
      <c r="C9" s="6" t="s">
        <v>248</v>
      </c>
      <c r="D9" s="6" t="s">
        <v>274</v>
      </c>
      <c r="E9" s="6" t="s">
        <v>275</v>
      </c>
      <c r="F9" s="6">
        <v>3</v>
      </c>
      <c r="G9" s="27">
        <v>600</v>
      </c>
      <c r="H9" s="27">
        <f t="shared" si="0"/>
        <v>1800</v>
      </c>
    </row>
    <row r="10" spans="1:8" x14ac:dyDescent="0.3">
      <c r="A10" s="6" t="s">
        <v>276</v>
      </c>
      <c r="B10" s="26">
        <v>46036</v>
      </c>
      <c r="C10" s="6" t="s">
        <v>246</v>
      </c>
      <c r="D10" s="6" t="s">
        <v>277</v>
      </c>
      <c r="E10" s="6" t="s">
        <v>265</v>
      </c>
      <c r="F10" s="6">
        <v>2</v>
      </c>
      <c r="G10" s="27">
        <v>55000</v>
      </c>
      <c r="H10" s="27">
        <f t="shared" si="0"/>
        <v>110000</v>
      </c>
    </row>
    <row r="11" spans="1:8" x14ac:dyDescent="0.3">
      <c r="A11" s="6" t="s">
        <v>278</v>
      </c>
      <c r="B11" s="26">
        <v>46037</v>
      </c>
      <c r="C11" s="6" t="s">
        <v>252</v>
      </c>
      <c r="D11" s="6" t="s">
        <v>274</v>
      </c>
      <c r="E11" s="6" t="s">
        <v>275</v>
      </c>
      <c r="F11" s="6">
        <v>4</v>
      </c>
      <c r="G11" s="27">
        <v>600</v>
      </c>
      <c r="H11" s="27">
        <f t="shared" si="0"/>
        <v>2400</v>
      </c>
    </row>
    <row r="12" spans="1:8" x14ac:dyDescent="0.3">
      <c r="A12" s="6" t="s">
        <v>279</v>
      </c>
      <c r="B12" s="26">
        <v>46037</v>
      </c>
      <c r="C12" s="6" t="s">
        <v>248</v>
      </c>
      <c r="D12" s="6" t="s">
        <v>268</v>
      </c>
      <c r="E12" s="6" t="s">
        <v>265</v>
      </c>
      <c r="F12" s="6">
        <v>5</v>
      </c>
      <c r="G12" s="27">
        <v>12000</v>
      </c>
      <c r="H12" s="27">
        <f t="shared" si="0"/>
        <v>60000</v>
      </c>
    </row>
    <row r="13" spans="1:8" x14ac:dyDescent="0.3">
      <c r="A13" s="6" t="s">
        <v>280</v>
      </c>
      <c r="B13" s="26">
        <v>46044</v>
      </c>
      <c r="C13" s="6" t="s">
        <v>252</v>
      </c>
      <c r="D13" s="6" t="s">
        <v>277</v>
      </c>
      <c r="E13" s="6" t="s">
        <v>265</v>
      </c>
      <c r="F13" s="6">
        <v>4</v>
      </c>
      <c r="G13" s="27">
        <v>55000</v>
      </c>
      <c r="H13" s="27">
        <f t="shared" si="0"/>
        <v>220000</v>
      </c>
    </row>
    <row r="14" spans="1:8" x14ac:dyDescent="0.3">
      <c r="A14" s="6" t="s">
        <v>281</v>
      </c>
      <c r="B14" s="26">
        <v>46047</v>
      </c>
      <c r="C14" s="6" t="s">
        <v>251</v>
      </c>
      <c r="D14" s="6" t="s">
        <v>274</v>
      </c>
      <c r="E14" s="6" t="s">
        <v>275</v>
      </c>
      <c r="F14" s="6">
        <v>15</v>
      </c>
      <c r="G14" s="27">
        <v>600</v>
      </c>
      <c r="H14" s="27">
        <f t="shared" si="0"/>
        <v>9000</v>
      </c>
    </row>
    <row r="15" spans="1:8" x14ac:dyDescent="0.3">
      <c r="A15" s="6" t="s">
        <v>282</v>
      </c>
      <c r="B15" s="26">
        <v>46048</v>
      </c>
      <c r="C15" s="6" t="s">
        <v>250</v>
      </c>
      <c r="D15" s="6" t="s">
        <v>268</v>
      </c>
      <c r="E15" s="6" t="s">
        <v>265</v>
      </c>
      <c r="F15" s="6">
        <v>4</v>
      </c>
      <c r="G15" s="27">
        <v>12000</v>
      </c>
      <c r="H15" s="27">
        <f t="shared" si="0"/>
        <v>48000</v>
      </c>
    </row>
    <row r="16" spans="1:8" x14ac:dyDescent="0.3">
      <c r="A16" s="6" t="s">
        <v>283</v>
      </c>
      <c r="B16" s="26">
        <v>46049</v>
      </c>
      <c r="C16" s="6" t="s">
        <v>250</v>
      </c>
      <c r="D16" s="6" t="s">
        <v>277</v>
      </c>
      <c r="E16" s="6" t="s">
        <v>265</v>
      </c>
      <c r="F16" s="6">
        <v>4</v>
      </c>
      <c r="G16" s="27">
        <v>55000</v>
      </c>
      <c r="H16" s="27">
        <f t="shared" si="0"/>
        <v>220000</v>
      </c>
    </row>
    <row r="17" spans="1:8" x14ac:dyDescent="0.3">
      <c r="A17" s="6" t="s">
        <v>284</v>
      </c>
      <c r="B17" s="26">
        <v>46049</v>
      </c>
      <c r="C17" s="6" t="s">
        <v>250</v>
      </c>
      <c r="D17" s="6" t="s">
        <v>277</v>
      </c>
      <c r="E17" s="6" t="s">
        <v>265</v>
      </c>
      <c r="F17" s="6">
        <v>3</v>
      </c>
      <c r="G17" s="27">
        <v>55000</v>
      </c>
      <c r="H17" s="27">
        <f t="shared" si="0"/>
        <v>165000</v>
      </c>
    </row>
    <row r="18" spans="1:8" x14ac:dyDescent="0.3">
      <c r="A18" s="6" t="s">
        <v>285</v>
      </c>
      <c r="B18" s="26">
        <v>46051</v>
      </c>
      <c r="C18" s="6" t="s">
        <v>250</v>
      </c>
      <c r="D18" s="6" t="s">
        <v>264</v>
      </c>
      <c r="E18" s="6" t="s">
        <v>265</v>
      </c>
      <c r="F18" s="6">
        <v>5</v>
      </c>
      <c r="G18" s="27">
        <v>9000</v>
      </c>
      <c r="H18" s="27">
        <f t="shared" si="0"/>
        <v>45000</v>
      </c>
    </row>
    <row r="19" spans="1:8" x14ac:dyDescent="0.3">
      <c r="A19" s="6" t="s">
        <v>286</v>
      </c>
      <c r="B19" s="26">
        <v>46056</v>
      </c>
      <c r="C19" s="6" t="s">
        <v>251</v>
      </c>
      <c r="D19" s="6" t="s">
        <v>287</v>
      </c>
      <c r="E19" s="6" t="s">
        <v>275</v>
      </c>
      <c r="F19" s="6">
        <v>13</v>
      </c>
      <c r="G19" s="27">
        <v>1500</v>
      </c>
      <c r="H19" s="27">
        <f t="shared" si="0"/>
        <v>19500</v>
      </c>
    </row>
    <row r="20" spans="1:8" x14ac:dyDescent="0.3">
      <c r="A20" s="6" t="s">
        <v>288</v>
      </c>
      <c r="B20" s="26">
        <v>46057</v>
      </c>
      <c r="C20" s="6" t="s">
        <v>252</v>
      </c>
      <c r="D20" s="6" t="s">
        <v>277</v>
      </c>
      <c r="E20" s="6" t="s">
        <v>265</v>
      </c>
      <c r="F20" s="6">
        <v>1</v>
      </c>
      <c r="G20" s="27">
        <v>55000</v>
      </c>
      <c r="H20" s="27">
        <f t="shared" si="0"/>
        <v>55000</v>
      </c>
    </row>
    <row r="21" spans="1:8" x14ac:dyDescent="0.3">
      <c r="A21" s="6" t="s">
        <v>289</v>
      </c>
      <c r="B21" s="26">
        <v>46058</v>
      </c>
      <c r="C21" s="6" t="s">
        <v>251</v>
      </c>
      <c r="D21" s="6" t="s">
        <v>274</v>
      </c>
      <c r="E21" s="6" t="s">
        <v>275</v>
      </c>
      <c r="F21" s="6">
        <v>16</v>
      </c>
      <c r="G21" s="27">
        <v>600</v>
      </c>
      <c r="H21" s="27">
        <f t="shared" si="0"/>
        <v>9600</v>
      </c>
    </row>
    <row r="22" spans="1:8" x14ac:dyDescent="0.3">
      <c r="A22" s="6" t="s">
        <v>290</v>
      </c>
      <c r="B22" s="26">
        <v>46058</v>
      </c>
      <c r="C22" s="6" t="s">
        <v>254</v>
      </c>
      <c r="D22" s="6" t="s">
        <v>274</v>
      </c>
      <c r="E22" s="6" t="s">
        <v>275</v>
      </c>
      <c r="F22" s="6">
        <v>16</v>
      </c>
      <c r="G22" s="27">
        <v>600</v>
      </c>
      <c r="H22" s="27">
        <f t="shared" si="0"/>
        <v>9600</v>
      </c>
    </row>
    <row r="23" spans="1:8" x14ac:dyDescent="0.3">
      <c r="A23" s="6" t="s">
        <v>291</v>
      </c>
      <c r="B23" s="26">
        <v>46059</v>
      </c>
      <c r="C23" s="6" t="s">
        <v>251</v>
      </c>
      <c r="D23" s="6" t="s">
        <v>268</v>
      </c>
      <c r="E23" s="6" t="s">
        <v>265</v>
      </c>
      <c r="F23" s="6">
        <v>6</v>
      </c>
      <c r="G23" s="27">
        <v>12000</v>
      </c>
      <c r="H23" s="27">
        <f t="shared" si="0"/>
        <v>72000</v>
      </c>
    </row>
    <row r="24" spans="1:8" x14ac:dyDescent="0.3">
      <c r="A24" s="6" t="s">
        <v>292</v>
      </c>
      <c r="B24" s="26">
        <v>46061</v>
      </c>
      <c r="C24" s="6" t="s">
        <v>251</v>
      </c>
      <c r="D24" s="6" t="s">
        <v>264</v>
      </c>
      <c r="E24" s="6" t="s">
        <v>265</v>
      </c>
      <c r="F24" s="6">
        <v>2</v>
      </c>
      <c r="G24" s="27">
        <v>9000</v>
      </c>
      <c r="H24" s="27">
        <f t="shared" si="0"/>
        <v>18000</v>
      </c>
    </row>
    <row r="25" spans="1:8" x14ac:dyDescent="0.3">
      <c r="A25" s="6" t="s">
        <v>293</v>
      </c>
      <c r="B25" s="26">
        <v>46061</v>
      </c>
      <c r="C25" s="6" t="s">
        <v>254</v>
      </c>
      <c r="D25" s="6" t="s">
        <v>274</v>
      </c>
      <c r="E25" s="6" t="s">
        <v>275</v>
      </c>
      <c r="F25" s="6">
        <v>5</v>
      </c>
      <c r="G25" s="27">
        <v>600</v>
      </c>
      <c r="H25" s="27">
        <f t="shared" si="0"/>
        <v>3000</v>
      </c>
    </row>
    <row r="26" spans="1:8" x14ac:dyDescent="0.3">
      <c r="A26" s="6" t="s">
        <v>294</v>
      </c>
      <c r="B26" s="26">
        <v>46062</v>
      </c>
      <c r="C26" s="6" t="s">
        <v>246</v>
      </c>
      <c r="D26" s="6" t="s">
        <v>287</v>
      </c>
      <c r="E26" s="6" t="s">
        <v>275</v>
      </c>
      <c r="F26" s="6">
        <v>4</v>
      </c>
      <c r="G26" s="27">
        <v>1500</v>
      </c>
      <c r="H26" s="27">
        <f t="shared" si="0"/>
        <v>6000</v>
      </c>
    </row>
    <row r="27" spans="1:8" x14ac:dyDescent="0.3">
      <c r="A27" s="6" t="s">
        <v>295</v>
      </c>
      <c r="B27" s="26">
        <v>46065</v>
      </c>
      <c r="C27" s="6" t="s">
        <v>254</v>
      </c>
      <c r="D27" s="6" t="s">
        <v>274</v>
      </c>
      <c r="E27" s="6" t="s">
        <v>275</v>
      </c>
      <c r="F27" s="6">
        <v>10</v>
      </c>
      <c r="G27" s="27">
        <v>600</v>
      </c>
      <c r="H27" s="27">
        <f t="shared" si="0"/>
        <v>6000</v>
      </c>
    </row>
    <row r="28" spans="1:8" x14ac:dyDescent="0.3">
      <c r="A28" s="6" t="s">
        <v>296</v>
      </c>
      <c r="B28" s="26">
        <v>46066</v>
      </c>
      <c r="C28" s="6" t="s">
        <v>254</v>
      </c>
      <c r="D28" s="6" t="s">
        <v>277</v>
      </c>
      <c r="E28" s="6" t="s">
        <v>265</v>
      </c>
      <c r="F28" s="6">
        <v>3</v>
      </c>
      <c r="G28" s="27">
        <v>55000</v>
      </c>
      <c r="H28" s="27">
        <f t="shared" si="0"/>
        <v>165000</v>
      </c>
    </row>
    <row r="29" spans="1:8" x14ac:dyDescent="0.3">
      <c r="A29" s="6" t="s">
        <v>297</v>
      </c>
      <c r="B29" s="26">
        <v>46067</v>
      </c>
      <c r="C29" s="6" t="s">
        <v>252</v>
      </c>
      <c r="D29" s="6" t="s">
        <v>274</v>
      </c>
      <c r="E29" s="6" t="s">
        <v>275</v>
      </c>
      <c r="F29" s="6">
        <v>14</v>
      </c>
      <c r="G29" s="27">
        <v>600</v>
      </c>
      <c r="H29" s="27">
        <f t="shared" si="0"/>
        <v>8400</v>
      </c>
    </row>
    <row r="30" spans="1:8" x14ac:dyDescent="0.3">
      <c r="A30" s="6" t="s">
        <v>298</v>
      </c>
      <c r="B30" s="26">
        <v>46069</v>
      </c>
      <c r="C30" s="6" t="s">
        <v>252</v>
      </c>
      <c r="D30" s="6" t="s">
        <v>274</v>
      </c>
      <c r="E30" s="6" t="s">
        <v>275</v>
      </c>
      <c r="F30" s="6">
        <v>6</v>
      </c>
      <c r="G30" s="27">
        <v>600</v>
      </c>
      <c r="H30" s="27">
        <f t="shared" si="0"/>
        <v>3600</v>
      </c>
    </row>
    <row r="31" spans="1:8" x14ac:dyDescent="0.3">
      <c r="A31" s="6" t="s">
        <v>299</v>
      </c>
      <c r="B31" s="26">
        <v>46070</v>
      </c>
      <c r="C31" s="6" t="s">
        <v>250</v>
      </c>
      <c r="D31" s="6" t="s">
        <v>274</v>
      </c>
      <c r="E31" s="6" t="s">
        <v>275</v>
      </c>
      <c r="F31" s="6">
        <v>13</v>
      </c>
      <c r="G31" s="27">
        <v>600</v>
      </c>
      <c r="H31" s="27">
        <f t="shared" si="0"/>
        <v>7800</v>
      </c>
    </row>
    <row r="32" spans="1:8" x14ac:dyDescent="0.3">
      <c r="A32" s="6" t="s">
        <v>300</v>
      </c>
      <c r="B32" s="26">
        <v>46072</v>
      </c>
      <c r="C32" s="6" t="s">
        <v>254</v>
      </c>
      <c r="D32" s="6" t="s">
        <v>264</v>
      </c>
      <c r="E32" s="6" t="s">
        <v>265</v>
      </c>
      <c r="F32" s="6">
        <v>3</v>
      </c>
      <c r="G32" s="27">
        <v>9000</v>
      </c>
      <c r="H32" s="27">
        <f t="shared" si="0"/>
        <v>27000</v>
      </c>
    </row>
    <row r="33" spans="1:8" x14ac:dyDescent="0.3">
      <c r="A33" s="6" t="s">
        <v>301</v>
      </c>
      <c r="B33" s="26">
        <v>46073</v>
      </c>
      <c r="C33" s="6" t="s">
        <v>252</v>
      </c>
      <c r="D33" s="6" t="s">
        <v>268</v>
      </c>
      <c r="E33" s="6" t="s">
        <v>265</v>
      </c>
      <c r="F33" s="6">
        <v>4</v>
      </c>
      <c r="G33" s="27">
        <v>12000</v>
      </c>
      <c r="H33" s="27">
        <f t="shared" si="0"/>
        <v>48000</v>
      </c>
    </row>
    <row r="34" spans="1:8" x14ac:dyDescent="0.3">
      <c r="A34" s="6" t="s">
        <v>302</v>
      </c>
      <c r="B34" s="26">
        <v>46074</v>
      </c>
      <c r="C34" s="6" t="s">
        <v>252</v>
      </c>
      <c r="D34" s="6" t="s">
        <v>287</v>
      </c>
      <c r="E34" s="6" t="s">
        <v>275</v>
      </c>
      <c r="F34" s="6">
        <v>3</v>
      </c>
      <c r="G34" s="27">
        <v>1500</v>
      </c>
      <c r="H34" s="27">
        <f t="shared" ref="H34:H61" si="1">F34*G34</f>
        <v>4500</v>
      </c>
    </row>
    <row r="35" spans="1:8" x14ac:dyDescent="0.3">
      <c r="A35" s="6" t="s">
        <v>303</v>
      </c>
      <c r="B35" s="26">
        <v>46076</v>
      </c>
      <c r="C35" s="6" t="s">
        <v>251</v>
      </c>
      <c r="D35" s="6" t="s">
        <v>274</v>
      </c>
      <c r="E35" s="6" t="s">
        <v>275</v>
      </c>
      <c r="F35" s="6">
        <v>13</v>
      </c>
      <c r="G35" s="27">
        <v>600</v>
      </c>
      <c r="H35" s="27">
        <f t="shared" si="1"/>
        <v>7800</v>
      </c>
    </row>
    <row r="36" spans="1:8" x14ac:dyDescent="0.3">
      <c r="A36" s="6" t="s">
        <v>304</v>
      </c>
      <c r="B36" s="26">
        <v>46081</v>
      </c>
      <c r="C36" s="6" t="s">
        <v>254</v>
      </c>
      <c r="D36" s="6" t="s">
        <v>277</v>
      </c>
      <c r="E36" s="6" t="s">
        <v>265</v>
      </c>
      <c r="F36" s="6">
        <v>4</v>
      </c>
      <c r="G36" s="27">
        <v>55000</v>
      </c>
      <c r="H36" s="27">
        <f t="shared" si="1"/>
        <v>220000</v>
      </c>
    </row>
    <row r="37" spans="1:8" x14ac:dyDescent="0.3">
      <c r="A37" s="6" t="s">
        <v>305</v>
      </c>
      <c r="B37" s="26">
        <v>46082</v>
      </c>
      <c r="C37" s="6" t="s">
        <v>250</v>
      </c>
      <c r="D37" s="6" t="s">
        <v>264</v>
      </c>
      <c r="E37" s="6" t="s">
        <v>265</v>
      </c>
      <c r="F37" s="6">
        <v>4</v>
      </c>
      <c r="G37" s="27">
        <v>9000</v>
      </c>
      <c r="H37" s="27">
        <f t="shared" si="1"/>
        <v>36000</v>
      </c>
    </row>
    <row r="38" spans="1:8" x14ac:dyDescent="0.3">
      <c r="A38" s="6" t="s">
        <v>306</v>
      </c>
      <c r="B38" s="26">
        <v>46082</v>
      </c>
      <c r="C38" s="6" t="s">
        <v>248</v>
      </c>
      <c r="D38" s="6" t="s">
        <v>277</v>
      </c>
      <c r="E38" s="6" t="s">
        <v>265</v>
      </c>
      <c r="F38" s="6">
        <v>2</v>
      </c>
      <c r="G38" s="27">
        <v>55000</v>
      </c>
      <c r="H38" s="27">
        <f t="shared" si="1"/>
        <v>110000</v>
      </c>
    </row>
    <row r="39" spans="1:8" x14ac:dyDescent="0.3">
      <c r="A39" s="6" t="s">
        <v>307</v>
      </c>
      <c r="B39" s="26">
        <v>46083</v>
      </c>
      <c r="C39" s="6" t="s">
        <v>251</v>
      </c>
      <c r="D39" s="6" t="s">
        <v>268</v>
      </c>
      <c r="E39" s="6" t="s">
        <v>265</v>
      </c>
      <c r="F39" s="6">
        <v>3</v>
      </c>
      <c r="G39" s="27">
        <v>12000</v>
      </c>
      <c r="H39" s="27">
        <f t="shared" si="1"/>
        <v>36000</v>
      </c>
    </row>
    <row r="40" spans="1:8" x14ac:dyDescent="0.3">
      <c r="A40" s="6" t="s">
        <v>308</v>
      </c>
      <c r="B40" s="26">
        <v>46084</v>
      </c>
      <c r="C40" s="6" t="s">
        <v>250</v>
      </c>
      <c r="D40" s="6" t="s">
        <v>268</v>
      </c>
      <c r="E40" s="6" t="s">
        <v>265</v>
      </c>
      <c r="F40" s="6">
        <v>5</v>
      </c>
      <c r="G40" s="27">
        <v>12000</v>
      </c>
      <c r="H40" s="27">
        <f t="shared" si="1"/>
        <v>60000</v>
      </c>
    </row>
    <row r="41" spans="1:8" x14ac:dyDescent="0.3">
      <c r="A41" s="6" t="s">
        <v>309</v>
      </c>
      <c r="B41" s="26">
        <v>46084</v>
      </c>
      <c r="C41" s="6" t="s">
        <v>254</v>
      </c>
      <c r="D41" s="6" t="s">
        <v>277</v>
      </c>
      <c r="E41" s="6" t="s">
        <v>265</v>
      </c>
      <c r="F41" s="6">
        <v>3</v>
      </c>
      <c r="G41" s="27">
        <v>55000</v>
      </c>
      <c r="H41" s="27">
        <f t="shared" si="1"/>
        <v>165000</v>
      </c>
    </row>
    <row r="42" spans="1:8" x14ac:dyDescent="0.3">
      <c r="A42" s="6" t="s">
        <v>310</v>
      </c>
      <c r="B42" s="26">
        <v>46084</v>
      </c>
      <c r="C42" s="6" t="s">
        <v>251</v>
      </c>
      <c r="D42" s="6" t="s">
        <v>268</v>
      </c>
      <c r="E42" s="6" t="s">
        <v>265</v>
      </c>
      <c r="F42" s="6">
        <v>4</v>
      </c>
      <c r="G42" s="27">
        <v>12000</v>
      </c>
      <c r="H42" s="27">
        <f t="shared" si="1"/>
        <v>48000</v>
      </c>
    </row>
    <row r="43" spans="1:8" x14ac:dyDescent="0.3">
      <c r="A43" s="6" t="s">
        <v>311</v>
      </c>
      <c r="B43" s="26">
        <v>46085</v>
      </c>
      <c r="C43" s="6" t="s">
        <v>252</v>
      </c>
      <c r="D43" s="6" t="s">
        <v>268</v>
      </c>
      <c r="E43" s="6" t="s">
        <v>265</v>
      </c>
      <c r="F43" s="6">
        <v>1</v>
      </c>
      <c r="G43" s="27">
        <v>12000</v>
      </c>
      <c r="H43" s="27">
        <f t="shared" si="1"/>
        <v>12000</v>
      </c>
    </row>
    <row r="44" spans="1:8" x14ac:dyDescent="0.3">
      <c r="A44" s="6" t="s">
        <v>312</v>
      </c>
      <c r="B44" s="26">
        <v>46085</v>
      </c>
      <c r="C44" s="6" t="s">
        <v>252</v>
      </c>
      <c r="D44" s="6" t="s">
        <v>277</v>
      </c>
      <c r="E44" s="6" t="s">
        <v>265</v>
      </c>
      <c r="F44" s="6">
        <v>4</v>
      </c>
      <c r="G44" s="27">
        <v>55000</v>
      </c>
      <c r="H44" s="27">
        <f t="shared" si="1"/>
        <v>220000</v>
      </c>
    </row>
    <row r="45" spans="1:8" x14ac:dyDescent="0.3">
      <c r="A45" s="6" t="s">
        <v>313</v>
      </c>
      <c r="B45" s="26">
        <v>46086</v>
      </c>
      <c r="C45" s="6" t="s">
        <v>248</v>
      </c>
      <c r="D45" s="6" t="s">
        <v>274</v>
      </c>
      <c r="E45" s="6" t="s">
        <v>275</v>
      </c>
      <c r="F45" s="6">
        <v>17</v>
      </c>
      <c r="G45" s="27">
        <v>600</v>
      </c>
      <c r="H45" s="27">
        <f t="shared" si="1"/>
        <v>10200</v>
      </c>
    </row>
    <row r="46" spans="1:8" x14ac:dyDescent="0.3">
      <c r="A46" s="6" t="s">
        <v>314</v>
      </c>
      <c r="B46" s="26">
        <v>46089</v>
      </c>
      <c r="C46" s="6" t="s">
        <v>248</v>
      </c>
      <c r="D46" s="6" t="s">
        <v>264</v>
      </c>
      <c r="E46" s="6" t="s">
        <v>265</v>
      </c>
      <c r="F46" s="6">
        <v>2</v>
      </c>
      <c r="G46" s="27">
        <v>9000</v>
      </c>
      <c r="H46" s="27">
        <f t="shared" si="1"/>
        <v>18000</v>
      </c>
    </row>
    <row r="47" spans="1:8" x14ac:dyDescent="0.3">
      <c r="A47" s="6" t="s">
        <v>315</v>
      </c>
      <c r="B47" s="26">
        <v>46094</v>
      </c>
      <c r="C47" s="6" t="s">
        <v>250</v>
      </c>
      <c r="D47" s="6" t="s">
        <v>277</v>
      </c>
      <c r="E47" s="6" t="s">
        <v>265</v>
      </c>
      <c r="F47" s="6">
        <v>3</v>
      </c>
      <c r="G47" s="27">
        <v>55000</v>
      </c>
      <c r="H47" s="27">
        <f t="shared" si="1"/>
        <v>165000</v>
      </c>
    </row>
    <row r="48" spans="1:8" x14ac:dyDescent="0.3">
      <c r="A48" s="6" t="s">
        <v>316</v>
      </c>
      <c r="B48" s="26">
        <v>46097</v>
      </c>
      <c r="C48" s="6" t="s">
        <v>252</v>
      </c>
      <c r="D48" s="6" t="s">
        <v>287</v>
      </c>
      <c r="E48" s="6" t="s">
        <v>275</v>
      </c>
      <c r="F48" s="6">
        <v>3</v>
      </c>
      <c r="G48" s="27">
        <v>1500</v>
      </c>
      <c r="H48" s="27">
        <f t="shared" si="1"/>
        <v>4500</v>
      </c>
    </row>
    <row r="49" spans="1:8" x14ac:dyDescent="0.3">
      <c r="A49" s="6" t="s">
        <v>317</v>
      </c>
      <c r="B49" s="26">
        <v>46098</v>
      </c>
      <c r="C49" s="6" t="s">
        <v>251</v>
      </c>
      <c r="D49" s="6" t="s">
        <v>287</v>
      </c>
      <c r="E49" s="6" t="s">
        <v>275</v>
      </c>
      <c r="F49" s="6">
        <v>6</v>
      </c>
      <c r="G49" s="27">
        <v>1500</v>
      </c>
      <c r="H49" s="27">
        <f t="shared" si="1"/>
        <v>9000</v>
      </c>
    </row>
    <row r="50" spans="1:8" x14ac:dyDescent="0.3">
      <c r="A50" s="6" t="s">
        <v>318</v>
      </c>
      <c r="B50" s="26">
        <v>46100</v>
      </c>
      <c r="C50" s="6" t="s">
        <v>246</v>
      </c>
      <c r="D50" s="6" t="s">
        <v>264</v>
      </c>
      <c r="E50" s="6" t="s">
        <v>265</v>
      </c>
      <c r="F50" s="6">
        <v>1</v>
      </c>
      <c r="G50" s="27">
        <v>9000</v>
      </c>
      <c r="H50" s="27">
        <f t="shared" si="1"/>
        <v>9000</v>
      </c>
    </row>
    <row r="51" spans="1:8" x14ac:dyDescent="0.3">
      <c r="A51" s="6" t="s">
        <v>319</v>
      </c>
      <c r="B51" s="26">
        <v>46104</v>
      </c>
      <c r="C51" s="6" t="s">
        <v>252</v>
      </c>
      <c r="D51" s="6" t="s">
        <v>287</v>
      </c>
      <c r="E51" s="6" t="s">
        <v>275</v>
      </c>
      <c r="F51" s="6">
        <v>2</v>
      </c>
      <c r="G51" s="27">
        <v>1500</v>
      </c>
      <c r="H51" s="27">
        <f t="shared" si="1"/>
        <v>3000</v>
      </c>
    </row>
    <row r="52" spans="1:8" x14ac:dyDescent="0.3">
      <c r="A52" s="6" t="s">
        <v>320</v>
      </c>
      <c r="B52" s="26">
        <v>46104</v>
      </c>
      <c r="C52" s="6" t="s">
        <v>248</v>
      </c>
      <c r="D52" s="6" t="s">
        <v>268</v>
      </c>
      <c r="E52" s="6" t="s">
        <v>265</v>
      </c>
      <c r="F52" s="6">
        <v>3</v>
      </c>
      <c r="G52" s="27">
        <v>12000</v>
      </c>
      <c r="H52" s="27">
        <f t="shared" si="1"/>
        <v>36000</v>
      </c>
    </row>
    <row r="53" spans="1:8" x14ac:dyDescent="0.3">
      <c r="A53" s="6" t="s">
        <v>321</v>
      </c>
      <c r="B53" s="26">
        <v>46107</v>
      </c>
      <c r="C53" s="6" t="s">
        <v>251</v>
      </c>
      <c r="D53" s="6" t="s">
        <v>268</v>
      </c>
      <c r="E53" s="6" t="s">
        <v>265</v>
      </c>
      <c r="F53" s="6">
        <v>1</v>
      </c>
      <c r="G53" s="27">
        <v>12000</v>
      </c>
      <c r="H53" s="27">
        <f t="shared" si="1"/>
        <v>12000</v>
      </c>
    </row>
    <row r="54" spans="1:8" x14ac:dyDescent="0.3">
      <c r="A54" s="6" t="s">
        <v>322</v>
      </c>
      <c r="B54" s="26">
        <v>46107</v>
      </c>
      <c r="C54" s="6" t="s">
        <v>246</v>
      </c>
      <c r="D54" s="6" t="s">
        <v>277</v>
      </c>
      <c r="E54" s="6" t="s">
        <v>265</v>
      </c>
      <c r="F54" s="6">
        <v>4</v>
      </c>
      <c r="G54" s="27">
        <v>55000</v>
      </c>
      <c r="H54" s="27">
        <f t="shared" si="1"/>
        <v>220000</v>
      </c>
    </row>
    <row r="55" spans="1:8" x14ac:dyDescent="0.3">
      <c r="A55" s="6" t="s">
        <v>323</v>
      </c>
      <c r="B55" s="26">
        <v>46110</v>
      </c>
      <c r="C55" s="6" t="s">
        <v>250</v>
      </c>
      <c r="D55" s="6" t="s">
        <v>287</v>
      </c>
      <c r="E55" s="6" t="s">
        <v>275</v>
      </c>
      <c r="F55" s="6">
        <v>8</v>
      </c>
      <c r="G55" s="27">
        <v>1500</v>
      </c>
      <c r="H55" s="27">
        <f t="shared" si="1"/>
        <v>12000</v>
      </c>
    </row>
    <row r="56" spans="1:8" x14ac:dyDescent="0.3">
      <c r="A56" s="6" t="s">
        <v>324</v>
      </c>
      <c r="B56" s="26">
        <v>46110</v>
      </c>
      <c r="C56" s="6" t="s">
        <v>252</v>
      </c>
      <c r="D56" s="6" t="s">
        <v>264</v>
      </c>
      <c r="E56" s="6" t="s">
        <v>265</v>
      </c>
      <c r="F56" s="6">
        <v>2</v>
      </c>
      <c r="G56" s="27">
        <v>9000</v>
      </c>
      <c r="H56" s="27">
        <f t="shared" si="1"/>
        <v>18000</v>
      </c>
    </row>
    <row r="57" spans="1:8" x14ac:dyDescent="0.3">
      <c r="A57" s="6" t="s">
        <v>325</v>
      </c>
      <c r="B57" s="26">
        <v>46111</v>
      </c>
      <c r="C57" s="6" t="s">
        <v>248</v>
      </c>
      <c r="D57" s="6" t="s">
        <v>264</v>
      </c>
      <c r="E57" s="6" t="s">
        <v>265</v>
      </c>
      <c r="F57" s="6">
        <v>5</v>
      </c>
      <c r="G57" s="27">
        <v>9000</v>
      </c>
      <c r="H57" s="27">
        <f t="shared" si="1"/>
        <v>45000</v>
      </c>
    </row>
    <row r="58" spans="1:8" x14ac:dyDescent="0.3">
      <c r="A58" s="6" t="s">
        <v>326</v>
      </c>
      <c r="B58" s="26">
        <v>46111</v>
      </c>
      <c r="C58" s="6" t="s">
        <v>250</v>
      </c>
      <c r="D58" s="6" t="s">
        <v>268</v>
      </c>
      <c r="E58" s="6" t="s">
        <v>265</v>
      </c>
      <c r="F58" s="6">
        <v>5</v>
      </c>
      <c r="G58" s="27">
        <v>12000</v>
      </c>
      <c r="H58" s="27">
        <f t="shared" si="1"/>
        <v>60000</v>
      </c>
    </row>
    <row r="59" spans="1:8" x14ac:dyDescent="0.3">
      <c r="A59" s="6" t="s">
        <v>327</v>
      </c>
      <c r="B59" s="26">
        <v>46111</v>
      </c>
      <c r="C59" s="6" t="s">
        <v>251</v>
      </c>
      <c r="D59" s="6" t="s">
        <v>287</v>
      </c>
      <c r="E59" s="6" t="s">
        <v>275</v>
      </c>
      <c r="F59" s="6">
        <v>10</v>
      </c>
      <c r="G59" s="27">
        <v>1500</v>
      </c>
      <c r="H59" s="27">
        <f t="shared" si="1"/>
        <v>15000</v>
      </c>
    </row>
    <row r="60" spans="1:8" x14ac:dyDescent="0.3">
      <c r="A60" s="6" t="s">
        <v>328</v>
      </c>
      <c r="B60" s="26">
        <v>46111</v>
      </c>
      <c r="C60" s="6" t="s">
        <v>250</v>
      </c>
      <c r="D60" s="6" t="s">
        <v>268</v>
      </c>
      <c r="E60" s="6" t="s">
        <v>265</v>
      </c>
      <c r="F60" s="6">
        <v>1</v>
      </c>
      <c r="G60" s="27">
        <v>12000</v>
      </c>
      <c r="H60" s="27">
        <f t="shared" si="1"/>
        <v>12000</v>
      </c>
    </row>
    <row r="61" spans="1:8" x14ac:dyDescent="0.3">
      <c r="A61" s="6" t="s">
        <v>329</v>
      </c>
      <c r="B61" s="26">
        <v>46112</v>
      </c>
      <c r="C61" s="6" t="s">
        <v>248</v>
      </c>
      <c r="D61" s="6" t="s">
        <v>277</v>
      </c>
      <c r="E61" s="6" t="s">
        <v>265</v>
      </c>
      <c r="F61" s="6">
        <v>4</v>
      </c>
      <c r="G61" s="27">
        <v>55000</v>
      </c>
      <c r="H61" s="27">
        <f t="shared" si="1"/>
        <v>220000</v>
      </c>
    </row>
  </sheetData>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36ADD-9B50-44A3-8F20-CB4967396448}">
  <sheetPr codeName="Sheet24"/>
  <dimension ref="A1:H61"/>
  <sheetViews>
    <sheetView zoomScaleNormal="100" workbookViewId="0">
      <pane ySplit="1" topLeftCell="A2" activePane="bottomLeft" state="frozen"/>
      <selection pane="bottomLeft" sqref="A1:H1"/>
    </sheetView>
  </sheetViews>
  <sheetFormatPr defaultColWidth="8.6640625" defaultRowHeight="14.4" x14ac:dyDescent="0.3"/>
  <cols>
    <col min="1" max="1" width="10" customWidth="1"/>
    <col min="2" max="2" width="13" customWidth="1"/>
    <col min="3" max="3" width="12" customWidth="1"/>
    <col min="4" max="4" width="11" customWidth="1"/>
    <col min="5" max="5" width="13" customWidth="1"/>
    <col min="6" max="6" width="6" customWidth="1"/>
    <col min="7" max="7" width="14" customWidth="1"/>
    <col min="8" max="8" width="13" customWidth="1"/>
  </cols>
  <sheetData>
    <row r="1" spans="1:8" x14ac:dyDescent="0.3">
      <c r="A1" s="37" t="s">
        <v>256</v>
      </c>
      <c r="B1" s="37" t="s">
        <v>257</v>
      </c>
      <c r="C1" s="37" t="s">
        <v>172</v>
      </c>
      <c r="D1" s="37" t="s">
        <v>258</v>
      </c>
      <c r="E1" s="37" t="s">
        <v>259</v>
      </c>
      <c r="F1" s="37" t="s">
        <v>260</v>
      </c>
      <c r="G1" s="37" t="s">
        <v>261</v>
      </c>
      <c r="H1" s="37" t="s">
        <v>262</v>
      </c>
    </row>
    <row r="2" spans="1:8" x14ac:dyDescent="0.3">
      <c r="A2" s="6" t="s">
        <v>263</v>
      </c>
      <c r="B2" s="26">
        <v>46023</v>
      </c>
      <c r="C2" s="6" t="s">
        <v>251</v>
      </c>
      <c r="D2" s="6" t="s">
        <v>264</v>
      </c>
      <c r="E2" s="6" t="s">
        <v>265</v>
      </c>
      <c r="F2" s="6">
        <v>4</v>
      </c>
      <c r="G2" s="27">
        <v>9000</v>
      </c>
      <c r="H2" s="27">
        <f t="shared" ref="H2:H61" si="0">F2*G2</f>
        <v>36000</v>
      </c>
    </row>
    <row r="3" spans="1:8" x14ac:dyDescent="0.3">
      <c r="A3" s="6" t="s">
        <v>266</v>
      </c>
      <c r="B3" s="26">
        <v>46026</v>
      </c>
      <c r="C3" s="6" t="s">
        <v>246</v>
      </c>
      <c r="D3" s="6" t="s">
        <v>264</v>
      </c>
      <c r="E3" s="6" t="s">
        <v>265</v>
      </c>
      <c r="F3" s="6">
        <v>3</v>
      </c>
      <c r="G3" s="27">
        <v>9000</v>
      </c>
      <c r="H3" s="27">
        <f t="shared" si="0"/>
        <v>27000</v>
      </c>
    </row>
    <row r="4" spans="1:8" x14ac:dyDescent="0.3">
      <c r="A4" s="6" t="s">
        <v>267</v>
      </c>
      <c r="B4" s="26">
        <v>46031</v>
      </c>
      <c r="C4" s="6" t="s">
        <v>251</v>
      </c>
      <c r="D4" s="6" t="s">
        <v>268</v>
      </c>
      <c r="E4" s="6" t="s">
        <v>265</v>
      </c>
      <c r="F4" s="6">
        <v>4</v>
      </c>
      <c r="G4" s="27">
        <v>12000</v>
      </c>
      <c r="H4" s="27">
        <f t="shared" si="0"/>
        <v>48000</v>
      </c>
    </row>
    <row r="5" spans="1:8" x14ac:dyDescent="0.3">
      <c r="A5" s="6" t="s">
        <v>269</v>
      </c>
      <c r="B5" s="26">
        <v>46033</v>
      </c>
      <c r="C5" s="6" t="s">
        <v>250</v>
      </c>
      <c r="D5" s="6" t="s">
        <v>268</v>
      </c>
      <c r="E5" s="6" t="s">
        <v>265</v>
      </c>
      <c r="F5" s="6">
        <v>3</v>
      </c>
      <c r="G5" s="27">
        <v>12000</v>
      </c>
      <c r="H5" s="27">
        <f t="shared" si="0"/>
        <v>36000</v>
      </c>
    </row>
    <row r="6" spans="1:8" x14ac:dyDescent="0.3">
      <c r="A6" s="6" t="s">
        <v>270</v>
      </c>
      <c r="B6" s="26">
        <v>46033</v>
      </c>
      <c r="C6" s="6" t="s">
        <v>251</v>
      </c>
      <c r="D6" s="6" t="s">
        <v>268</v>
      </c>
      <c r="E6" s="6" t="s">
        <v>265</v>
      </c>
      <c r="F6" s="6">
        <v>2</v>
      </c>
      <c r="G6" s="27">
        <v>12000</v>
      </c>
      <c r="H6" s="27">
        <f t="shared" si="0"/>
        <v>24000</v>
      </c>
    </row>
    <row r="7" spans="1:8" x14ac:dyDescent="0.3">
      <c r="A7" s="6" t="s">
        <v>271</v>
      </c>
      <c r="B7" s="26">
        <v>46033</v>
      </c>
      <c r="C7" s="6" t="s">
        <v>251</v>
      </c>
      <c r="D7" s="6" t="s">
        <v>264</v>
      </c>
      <c r="E7" s="6" t="s">
        <v>265</v>
      </c>
      <c r="F7" s="6">
        <v>1</v>
      </c>
      <c r="G7" s="27">
        <v>9000</v>
      </c>
      <c r="H7" s="27">
        <f t="shared" si="0"/>
        <v>9000</v>
      </c>
    </row>
    <row r="8" spans="1:8" x14ac:dyDescent="0.3">
      <c r="A8" s="6" t="s">
        <v>272</v>
      </c>
      <c r="B8" s="26">
        <v>46034</v>
      </c>
      <c r="C8" s="6" t="s">
        <v>254</v>
      </c>
      <c r="D8" s="6" t="s">
        <v>264</v>
      </c>
      <c r="E8" s="6" t="s">
        <v>265</v>
      </c>
      <c r="F8" s="6">
        <v>4</v>
      </c>
      <c r="G8" s="27">
        <v>9000</v>
      </c>
      <c r="H8" s="27">
        <f t="shared" si="0"/>
        <v>36000</v>
      </c>
    </row>
    <row r="9" spans="1:8" x14ac:dyDescent="0.3">
      <c r="A9" s="6" t="s">
        <v>273</v>
      </c>
      <c r="B9" s="26">
        <v>46035</v>
      </c>
      <c r="C9" s="6" t="s">
        <v>248</v>
      </c>
      <c r="D9" s="6" t="s">
        <v>274</v>
      </c>
      <c r="E9" s="6" t="s">
        <v>275</v>
      </c>
      <c r="F9" s="6">
        <v>3</v>
      </c>
      <c r="G9" s="27">
        <v>600</v>
      </c>
      <c r="H9" s="27">
        <f t="shared" si="0"/>
        <v>1800</v>
      </c>
    </row>
    <row r="10" spans="1:8" x14ac:dyDescent="0.3">
      <c r="A10" s="6" t="s">
        <v>276</v>
      </c>
      <c r="B10" s="26">
        <v>46036</v>
      </c>
      <c r="C10" s="6" t="s">
        <v>246</v>
      </c>
      <c r="D10" s="6" t="s">
        <v>277</v>
      </c>
      <c r="E10" s="6" t="s">
        <v>265</v>
      </c>
      <c r="F10" s="6">
        <v>2</v>
      </c>
      <c r="G10" s="27">
        <v>55000</v>
      </c>
      <c r="H10" s="27">
        <f t="shared" si="0"/>
        <v>110000</v>
      </c>
    </row>
    <row r="11" spans="1:8" x14ac:dyDescent="0.3">
      <c r="A11" s="6" t="s">
        <v>278</v>
      </c>
      <c r="B11" s="26">
        <v>46037</v>
      </c>
      <c r="C11" s="6" t="s">
        <v>252</v>
      </c>
      <c r="D11" s="6" t="s">
        <v>274</v>
      </c>
      <c r="E11" s="6" t="s">
        <v>275</v>
      </c>
      <c r="F11" s="6">
        <v>4</v>
      </c>
      <c r="G11" s="27">
        <v>600</v>
      </c>
      <c r="H11" s="27">
        <f t="shared" si="0"/>
        <v>2400</v>
      </c>
    </row>
    <row r="12" spans="1:8" x14ac:dyDescent="0.3">
      <c r="A12" s="6" t="s">
        <v>279</v>
      </c>
      <c r="B12" s="26">
        <v>46037</v>
      </c>
      <c r="C12" s="6" t="s">
        <v>248</v>
      </c>
      <c r="D12" s="6" t="s">
        <v>268</v>
      </c>
      <c r="E12" s="6" t="s">
        <v>265</v>
      </c>
      <c r="F12" s="6">
        <v>5</v>
      </c>
      <c r="G12" s="27">
        <v>12000</v>
      </c>
      <c r="H12" s="27">
        <f t="shared" si="0"/>
        <v>60000</v>
      </c>
    </row>
    <row r="13" spans="1:8" x14ac:dyDescent="0.3">
      <c r="A13" s="6" t="s">
        <v>280</v>
      </c>
      <c r="B13" s="26">
        <v>46044</v>
      </c>
      <c r="C13" s="6" t="s">
        <v>252</v>
      </c>
      <c r="D13" s="6" t="s">
        <v>277</v>
      </c>
      <c r="E13" s="6" t="s">
        <v>265</v>
      </c>
      <c r="F13" s="6">
        <v>4</v>
      </c>
      <c r="G13" s="27">
        <v>55000</v>
      </c>
      <c r="H13" s="27">
        <f t="shared" si="0"/>
        <v>220000</v>
      </c>
    </row>
    <row r="14" spans="1:8" x14ac:dyDescent="0.3">
      <c r="A14" s="6" t="s">
        <v>281</v>
      </c>
      <c r="B14" s="26">
        <v>46047</v>
      </c>
      <c r="C14" s="6" t="s">
        <v>251</v>
      </c>
      <c r="D14" s="6" t="s">
        <v>274</v>
      </c>
      <c r="E14" s="6" t="s">
        <v>275</v>
      </c>
      <c r="F14" s="6">
        <v>15</v>
      </c>
      <c r="G14" s="27">
        <v>600</v>
      </c>
      <c r="H14" s="27">
        <f t="shared" si="0"/>
        <v>9000</v>
      </c>
    </row>
    <row r="15" spans="1:8" x14ac:dyDescent="0.3">
      <c r="A15" s="6" t="s">
        <v>282</v>
      </c>
      <c r="B15" s="26">
        <v>46048</v>
      </c>
      <c r="C15" s="6" t="s">
        <v>250</v>
      </c>
      <c r="D15" s="6" t="s">
        <v>268</v>
      </c>
      <c r="E15" s="6" t="s">
        <v>265</v>
      </c>
      <c r="F15" s="6">
        <v>4</v>
      </c>
      <c r="G15" s="27">
        <v>12000</v>
      </c>
      <c r="H15" s="27">
        <f t="shared" si="0"/>
        <v>48000</v>
      </c>
    </row>
    <row r="16" spans="1:8" x14ac:dyDescent="0.3">
      <c r="A16" s="6" t="s">
        <v>283</v>
      </c>
      <c r="B16" s="26">
        <v>46049</v>
      </c>
      <c r="C16" s="6" t="s">
        <v>250</v>
      </c>
      <c r="D16" s="6" t="s">
        <v>277</v>
      </c>
      <c r="E16" s="6" t="s">
        <v>265</v>
      </c>
      <c r="F16" s="6">
        <v>4</v>
      </c>
      <c r="G16" s="27">
        <v>55000</v>
      </c>
      <c r="H16" s="27">
        <f t="shared" si="0"/>
        <v>220000</v>
      </c>
    </row>
    <row r="17" spans="1:8" x14ac:dyDescent="0.3">
      <c r="A17" s="6" t="s">
        <v>284</v>
      </c>
      <c r="B17" s="26">
        <v>46049</v>
      </c>
      <c r="C17" s="6" t="s">
        <v>250</v>
      </c>
      <c r="D17" s="6" t="s">
        <v>277</v>
      </c>
      <c r="E17" s="6" t="s">
        <v>265</v>
      </c>
      <c r="F17" s="6">
        <v>3</v>
      </c>
      <c r="G17" s="27">
        <v>55000</v>
      </c>
      <c r="H17" s="27">
        <f t="shared" si="0"/>
        <v>165000</v>
      </c>
    </row>
    <row r="18" spans="1:8" x14ac:dyDescent="0.3">
      <c r="A18" s="6" t="s">
        <v>285</v>
      </c>
      <c r="B18" s="26">
        <v>46051</v>
      </c>
      <c r="C18" s="6" t="s">
        <v>250</v>
      </c>
      <c r="D18" s="6" t="s">
        <v>264</v>
      </c>
      <c r="E18" s="6" t="s">
        <v>265</v>
      </c>
      <c r="F18" s="6">
        <v>5</v>
      </c>
      <c r="G18" s="27">
        <v>9000</v>
      </c>
      <c r="H18" s="27">
        <f t="shared" si="0"/>
        <v>45000</v>
      </c>
    </row>
    <row r="19" spans="1:8" x14ac:dyDescent="0.3">
      <c r="A19" s="6" t="s">
        <v>286</v>
      </c>
      <c r="B19" s="26">
        <v>46056</v>
      </c>
      <c r="C19" s="6" t="s">
        <v>251</v>
      </c>
      <c r="D19" s="6" t="s">
        <v>287</v>
      </c>
      <c r="E19" s="6" t="s">
        <v>275</v>
      </c>
      <c r="F19" s="6">
        <v>13</v>
      </c>
      <c r="G19" s="27">
        <v>1500</v>
      </c>
      <c r="H19" s="27">
        <f t="shared" si="0"/>
        <v>19500</v>
      </c>
    </row>
    <row r="20" spans="1:8" x14ac:dyDescent="0.3">
      <c r="A20" s="6" t="s">
        <v>288</v>
      </c>
      <c r="B20" s="26">
        <v>46057</v>
      </c>
      <c r="C20" s="6" t="s">
        <v>252</v>
      </c>
      <c r="D20" s="6" t="s">
        <v>277</v>
      </c>
      <c r="E20" s="6" t="s">
        <v>265</v>
      </c>
      <c r="F20" s="6">
        <v>1</v>
      </c>
      <c r="G20" s="27">
        <v>55000</v>
      </c>
      <c r="H20" s="27">
        <f t="shared" si="0"/>
        <v>55000</v>
      </c>
    </row>
    <row r="21" spans="1:8" x14ac:dyDescent="0.3">
      <c r="A21" s="6" t="s">
        <v>289</v>
      </c>
      <c r="B21" s="26">
        <v>46058</v>
      </c>
      <c r="C21" s="6" t="s">
        <v>251</v>
      </c>
      <c r="D21" s="6" t="s">
        <v>274</v>
      </c>
      <c r="E21" s="6" t="s">
        <v>275</v>
      </c>
      <c r="F21" s="6">
        <v>16</v>
      </c>
      <c r="G21" s="27">
        <v>600</v>
      </c>
      <c r="H21" s="27">
        <f t="shared" si="0"/>
        <v>9600</v>
      </c>
    </row>
    <row r="22" spans="1:8" x14ac:dyDescent="0.3">
      <c r="A22" s="6" t="s">
        <v>290</v>
      </c>
      <c r="B22" s="26">
        <v>46058</v>
      </c>
      <c r="C22" s="6" t="s">
        <v>254</v>
      </c>
      <c r="D22" s="6" t="s">
        <v>274</v>
      </c>
      <c r="E22" s="6" t="s">
        <v>275</v>
      </c>
      <c r="F22" s="6">
        <v>16</v>
      </c>
      <c r="G22" s="27">
        <v>600</v>
      </c>
      <c r="H22" s="27">
        <f t="shared" si="0"/>
        <v>9600</v>
      </c>
    </row>
    <row r="23" spans="1:8" x14ac:dyDescent="0.3">
      <c r="A23" s="6" t="s">
        <v>291</v>
      </c>
      <c r="B23" s="26">
        <v>46059</v>
      </c>
      <c r="C23" s="6" t="s">
        <v>251</v>
      </c>
      <c r="D23" s="6" t="s">
        <v>268</v>
      </c>
      <c r="E23" s="6" t="s">
        <v>265</v>
      </c>
      <c r="F23" s="6">
        <v>6</v>
      </c>
      <c r="G23" s="27">
        <v>12000</v>
      </c>
      <c r="H23" s="27">
        <f t="shared" si="0"/>
        <v>72000</v>
      </c>
    </row>
    <row r="24" spans="1:8" x14ac:dyDescent="0.3">
      <c r="A24" s="6" t="s">
        <v>292</v>
      </c>
      <c r="B24" s="26">
        <v>46061</v>
      </c>
      <c r="C24" s="6" t="s">
        <v>251</v>
      </c>
      <c r="D24" s="6" t="s">
        <v>264</v>
      </c>
      <c r="E24" s="6" t="s">
        <v>265</v>
      </c>
      <c r="F24" s="6">
        <v>2</v>
      </c>
      <c r="G24" s="27">
        <v>9000</v>
      </c>
      <c r="H24" s="27">
        <f t="shared" si="0"/>
        <v>18000</v>
      </c>
    </row>
    <row r="25" spans="1:8" x14ac:dyDescent="0.3">
      <c r="A25" s="6" t="s">
        <v>293</v>
      </c>
      <c r="B25" s="26">
        <v>46061</v>
      </c>
      <c r="C25" s="6" t="s">
        <v>254</v>
      </c>
      <c r="D25" s="6" t="s">
        <v>274</v>
      </c>
      <c r="E25" s="6" t="s">
        <v>275</v>
      </c>
      <c r="F25" s="6">
        <v>5</v>
      </c>
      <c r="G25" s="27">
        <v>600</v>
      </c>
      <c r="H25" s="27">
        <f t="shared" si="0"/>
        <v>3000</v>
      </c>
    </row>
    <row r="26" spans="1:8" x14ac:dyDescent="0.3">
      <c r="A26" s="6" t="s">
        <v>294</v>
      </c>
      <c r="B26" s="26">
        <v>46062</v>
      </c>
      <c r="C26" s="6" t="s">
        <v>246</v>
      </c>
      <c r="D26" s="6" t="s">
        <v>287</v>
      </c>
      <c r="E26" s="6" t="s">
        <v>275</v>
      </c>
      <c r="F26" s="6">
        <v>4</v>
      </c>
      <c r="G26" s="27">
        <v>1500</v>
      </c>
      <c r="H26" s="27">
        <f t="shared" si="0"/>
        <v>6000</v>
      </c>
    </row>
    <row r="27" spans="1:8" x14ac:dyDescent="0.3">
      <c r="A27" s="6" t="s">
        <v>295</v>
      </c>
      <c r="B27" s="26">
        <v>46065</v>
      </c>
      <c r="C27" s="6" t="s">
        <v>254</v>
      </c>
      <c r="D27" s="6" t="s">
        <v>274</v>
      </c>
      <c r="E27" s="6" t="s">
        <v>275</v>
      </c>
      <c r="F27" s="6">
        <v>10</v>
      </c>
      <c r="G27" s="27">
        <v>600</v>
      </c>
      <c r="H27" s="27">
        <f t="shared" si="0"/>
        <v>6000</v>
      </c>
    </row>
    <row r="28" spans="1:8" x14ac:dyDescent="0.3">
      <c r="A28" s="6" t="s">
        <v>296</v>
      </c>
      <c r="B28" s="26">
        <v>46066</v>
      </c>
      <c r="C28" s="6" t="s">
        <v>254</v>
      </c>
      <c r="D28" s="6" t="s">
        <v>277</v>
      </c>
      <c r="E28" s="6" t="s">
        <v>265</v>
      </c>
      <c r="F28" s="6">
        <v>3</v>
      </c>
      <c r="G28" s="27">
        <v>55000</v>
      </c>
      <c r="H28" s="27">
        <f t="shared" si="0"/>
        <v>165000</v>
      </c>
    </row>
    <row r="29" spans="1:8" x14ac:dyDescent="0.3">
      <c r="A29" s="6" t="s">
        <v>297</v>
      </c>
      <c r="B29" s="26">
        <v>46067</v>
      </c>
      <c r="C29" s="6" t="s">
        <v>252</v>
      </c>
      <c r="D29" s="6" t="s">
        <v>274</v>
      </c>
      <c r="E29" s="6" t="s">
        <v>275</v>
      </c>
      <c r="F29" s="6">
        <v>14</v>
      </c>
      <c r="G29" s="27">
        <v>600</v>
      </c>
      <c r="H29" s="27">
        <f t="shared" si="0"/>
        <v>8400</v>
      </c>
    </row>
    <row r="30" spans="1:8" x14ac:dyDescent="0.3">
      <c r="A30" s="6" t="s">
        <v>298</v>
      </c>
      <c r="B30" s="26">
        <v>46069</v>
      </c>
      <c r="C30" s="6" t="s">
        <v>252</v>
      </c>
      <c r="D30" s="6" t="s">
        <v>274</v>
      </c>
      <c r="E30" s="6" t="s">
        <v>275</v>
      </c>
      <c r="F30" s="6">
        <v>6</v>
      </c>
      <c r="G30" s="27">
        <v>600</v>
      </c>
      <c r="H30" s="27">
        <f t="shared" si="0"/>
        <v>3600</v>
      </c>
    </row>
    <row r="31" spans="1:8" x14ac:dyDescent="0.3">
      <c r="A31" s="6" t="s">
        <v>299</v>
      </c>
      <c r="B31" s="26">
        <v>46070</v>
      </c>
      <c r="C31" s="6" t="s">
        <v>250</v>
      </c>
      <c r="D31" s="6" t="s">
        <v>274</v>
      </c>
      <c r="E31" s="6" t="s">
        <v>275</v>
      </c>
      <c r="F31" s="6">
        <v>13</v>
      </c>
      <c r="G31" s="27">
        <v>600</v>
      </c>
      <c r="H31" s="27">
        <f t="shared" si="0"/>
        <v>7800</v>
      </c>
    </row>
    <row r="32" spans="1:8" x14ac:dyDescent="0.3">
      <c r="A32" s="6" t="s">
        <v>300</v>
      </c>
      <c r="B32" s="26">
        <v>46072</v>
      </c>
      <c r="C32" s="6" t="s">
        <v>254</v>
      </c>
      <c r="D32" s="6" t="s">
        <v>264</v>
      </c>
      <c r="E32" s="6" t="s">
        <v>265</v>
      </c>
      <c r="F32" s="6">
        <v>3</v>
      </c>
      <c r="G32" s="27">
        <v>9000</v>
      </c>
      <c r="H32" s="27">
        <f t="shared" si="0"/>
        <v>27000</v>
      </c>
    </row>
    <row r="33" spans="1:8" x14ac:dyDescent="0.3">
      <c r="A33" s="6" t="s">
        <v>301</v>
      </c>
      <c r="B33" s="26">
        <v>46073</v>
      </c>
      <c r="C33" s="6" t="s">
        <v>252</v>
      </c>
      <c r="D33" s="6" t="s">
        <v>268</v>
      </c>
      <c r="E33" s="6" t="s">
        <v>265</v>
      </c>
      <c r="F33" s="6">
        <v>4</v>
      </c>
      <c r="G33" s="27">
        <v>12000</v>
      </c>
      <c r="H33" s="27">
        <f t="shared" si="0"/>
        <v>48000</v>
      </c>
    </row>
    <row r="34" spans="1:8" x14ac:dyDescent="0.3">
      <c r="A34" s="6" t="s">
        <v>302</v>
      </c>
      <c r="B34" s="26">
        <v>46074</v>
      </c>
      <c r="C34" s="6" t="s">
        <v>252</v>
      </c>
      <c r="D34" s="6" t="s">
        <v>287</v>
      </c>
      <c r="E34" s="6" t="s">
        <v>275</v>
      </c>
      <c r="F34" s="6">
        <v>3</v>
      </c>
      <c r="G34" s="27">
        <v>1500</v>
      </c>
      <c r="H34" s="27">
        <f t="shared" si="0"/>
        <v>4500</v>
      </c>
    </row>
    <row r="35" spans="1:8" x14ac:dyDescent="0.3">
      <c r="A35" s="6" t="s">
        <v>303</v>
      </c>
      <c r="B35" s="26">
        <v>46076</v>
      </c>
      <c r="C35" s="6" t="s">
        <v>251</v>
      </c>
      <c r="D35" s="6" t="s">
        <v>274</v>
      </c>
      <c r="E35" s="6" t="s">
        <v>275</v>
      </c>
      <c r="F35" s="6">
        <v>13</v>
      </c>
      <c r="G35" s="27">
        <v>600</v>
      </c>
      <c r="H35" s="27">
        <f t="shared" si="0"/>
        <v>7800</v>
      </c>
    </row>
    <row r="36" spans="1:8" x14ac:dyDescent="0.3">
      <c r="A36" s="6" t="s">
        <v>304</v>
      </c>
      <c r="B36" s="26">
        <v>46081</v>
      </c>
      <c r="C36" s="6" t="s">
        <v>254</v>
      </c>
      <c r="D36" s="6" t="s">
        <v>277</v>
      </c>
      <c r="E36" s="6" t="s">
        <v>265</v>
      </c>
      <c r="F36" s="6">
        <v>4</v>
      </c>
      <c r="G36" s="27">
        <v>55000</v>
      </c>
      <c r="H36" s="27">
        <f t="shared" si="0"/>
        <v>220000</v>
      </c>
    </row>
    <row r="37" spans="1:8" x14ac:dyDescent="0.3">
      <c r="A37" s="6" t="s">
        <v>305</v>
      </c>
      <c r="B37" s="26">
        <v>46082</v>
      </c>
      <c r="C37" s="6" t="s">
        <v>250</v>
      </c>
      <c r="D37" s="6" t="s">
        <v>264</v>
      </c>
      <c r="E37" s="6" t="s">
        <v>265</v>
      </c>
      <c r="F37" s="6">
        <v>4</v>
      </c>
      <c r="G37" s="27">
        <v>9000</v>
      </c>
      <c r="H37" s="27">
        <f t="shared" si="0"/>
        <v>36000</v>
      </c>
    </row>
    <row r="38" spans="1:8" x14ac:dyDescent="0.3">
      <c r="A38" s="6" t="s">
        <v>306</v>
      </c>
      <c r="B38" s="26">
        <v>46082</v>
      </c>
      <c r="C38" s="6" t="s">
        <v>248</v>
      </c>
      <c r="D38" s="6" t="s">
        <v>277</v>
      </c>
      <c r="E38" s="6" t="s">
        <v>265</v>
      </c>
      <c r="F38" s="6">
        <v>2</v>
      </c>
      <c r="G38" s="27">
        <v>55000</v>
      </c>
      <c r="H38" s="27">
        <f t="shared" si="0"/>
        <v>110000</v>
      </c>
    </row>
    <row r="39" spans="1:8" x14ac:dyDescent="0.3">
      <c r="A39" s="6" t="s">
        <v>307</v>
      </c>
      <c r="B39" s="26">
        <v>46083</v>
      </c>
      <c r="C39" s="6" t="s">
        <v>251</v>
      </c>
      <c r="D39" s="6" t="s">
        <v>268</v>
      </c>
      <c r="E39" s="6" t="s">
        <v>265</v>
      </c>
      <c r="F39" s="6">
        <v>3</v>
      </c>
      <c r="G39" s="27">
        <v>12000</v>
      </c>
      <c r="H39" s="27">
        <f t="shared" si="0"/>
        <v>36000</v>
      </c>
    </row>
    <row r="40" spans="1:8" x14ac:dyDescent="0.3">
      <c r="A40" s="6" t="s">
        <v>308</v>
      </c>
      <c r="B40" s="26">
        <v>46084</v>
      </c>
      <c r="C40" s="6" t="s">
        <v>250</v>
      </c>
      <c r="D40" s="6" t="s">
        <v>268</v>
      </c>
      <c r="E40" s="6" t="s">
        <v>265</v>
      </c>
      <c r="F40" s="6">
        <v>5</v>
      </c>
      <c r="G40" s="27">
        <v>12000</v>
      </c>
      <c r="H40" s="27">
        <f t="shared" si="0"/>
        <v>60000</v>
      </c>
    </row>
    <row r="41" spans="1:8" x14ac:dyDescent="0.3">
      <c r="A41" s="6" t="s">
        <v>309</v>
      </c>
      <c r="B41" s="26">
        <v>46084</v>
      </c>
      <c r="C41" s="6" t="s">
        <v>254</v>
      </c>
      <c r="D41" s="6" t="s">
        <v>277</v>
      </c>
      <c r="E41" s="6" t="s">
        <v>265</v>
      </c>
      <c r="F41" s="6">
        <v>3</v>
      </c>
      <c r="G41" s="27">
        <v>55000</v>
      </c>
      <c r="H41" s="27">
        <f t="shared" si="0"/>
        <v>165000</v>
      </c>
    </row>
    <row r="42" spans="1:8" x14ac:dyDescent="0.3">
      <c r="A42" s="6" t="s">
        <v>310</v>
      </c>
      <c r="B42" s="26">
        <v>46084</v>
      </c>
      <c r="C42" s="6" t="s">
        <v>251</v>
      </c>
      <c r="D42" s="6" t="s">
        <v>268</v>
      </c>
      <c r="E42" s="6" t="s">
        <v>265</v>
      </c>
      <c r="F42" s="6">
        <v>4</v>
      </c>
      <c r="G42" s="27">
        <v>12000</v>
      </c>
      <c r="H42" s="27">
        <f t="shared" si="0"/>
        <v>48000</v>
      </c>
    </row>
    <row r="43" spans="1:8" x14ac:dyDescent="0.3">
      <c r="A43" s="6" t="s">
        <v>311</v>
      </c>
      <c r="B43" s="26">
        <v>46085</v>
      </c>
      <c r="C43" s="6" t="s">
        <v>252</v>
      </c>
      <c r="D43" s="6" t="s">
        <v>268</v>
      </c>
      <c r="E43" s="6" t="s">
        <v>265</v>
      </c>
      <c r="F43" s="6">
        <v>1</v>
      </c>
      <c r="G43" s="27">
        <v>12000</v>
      </c>
      <c r="H43" s="27">
        <f t="shared" si="0"/>
        <v>12000</v>
      </c>
    </row>
    <row r="44" spans="1:8" x14ac:dyDescent="0.3">
      <c r="A44" s="6" t="s">
        <v>312</v>
      </c>
      <c r="B44" s="26">
        <v>46085</v>
      </c>
      <c r="C44" s="6" t="s">
        <v>252</v>
      </c>
      <c r="D44" s="6" t="s">
        <v>277</v>
      </c>
      <c r="E44" s="6" t="s">
        <v>265</v>
      </c>
      <c r="F44" s="6">
        <v>4</v>
      </c>
      <c r="G44" s="27">
        <v>55000</v>
      </c>
      <c r="H44" s="27">
        <f t="shared" si="0"/>
        <v>220000</v>
      </c>
    </row>
    <row r="45" spans="1:8" x14ac:dyDescent="0.3">
      <c r="A45" s="6" t="s">
        <v>313</v>
      </c>
      <c r="B45" s="26">
        <v>46086</v>
      </c>
      <c r="C45" s="6" t="s">
        <v>248</v>
      </c>
      <c r="D45" s="6" t="s">
        <v>274</v>
      </c>
      <c r="E45" s="6" t="s">
        <v>275</v>
      </c>
      <c r="F45" s="6">
        <v>17</v>
      </c>
      <c r="G45" s="27">
        <v>600</v>
      </c>
      <c r="H45" s="27">
        <f t="shared" si="0"/>
        <v>10200</v>
      </c>
    </row>
    <row r="46" spans="1:8" x14ac:dyDescent="0.3">
      <c r="A46" s="6" t="s">
        <v>314</v>
      </c>
      <c r="B46" s="26">
        <v>46089</v>
      </c>
      <c r="C46" s="6" t="s">
        <v>248</v>
      </c>
      <c r="D46" s="6" t="s">
        <v>264</v>
      </c>
      <c r="E46" s="6" t="s">
        <v>265</v>
      </c>
      <c r="F46" s="6">
        <v>2</v>
      </c>
      <c r="G46" s="27">
        <v>9000</v>
      </c>
      <c r="H46" s="27">
        <f t="shared" si="0"/>
        <v>18000</v>
      </c>
    </row>
    <row r="47" spans="1:8" x14ac:dyDescent="0.3">
      <c r="A47" s="6" t="s">
        <v>315</v>
      </c>
      <c r="B47" s="26">
        <v>46094</v>
      </c>
      <c r="C47" s="6" t="s">
        <v>250</v>
      </c>
      <c r="D47" s="6" t="s">
        <v>277</v>
      </c>
      <c r="E47" s="6" t="s">
        <v>265</v>
      </c>
      <c r="F47" s="6">
        <v>3</v>
      </c>
      <c r="G47" s="27">
        <v>55000</v>
      </c>
      <c r="H47" s="27">
        <f t="shared" si="0"/>
        <v>165000</v>
      </c>
    </row>
    <row r="48" spans="1:8" x14ac:dyDescent="0.3">
      <c r="A48" s="6" t="s">
        <v>316</v>
      </c>
      <c r="B48" s="26">
        <v>46097</v>
      </c>
      <c r="C48" s="6" t="s">
        <v>252</v>
      </c>
      <c r="D48" s="6" t="s">
        <v>287</v>
      </c>
      <c r="E48" s="6" t="s">
        <v>275</v>
      </c>
      <c r="F48" s="6">
        <v>3</v>
      </c>
      <c r="G48" s="27">
        <v>1500</v>
      </c>
      <c r="H48" s="27">
        <f t="shared" si="0"/>
        <v>4500</v>
      </c>
    </row>
    <row r="49" spans="1:8" x14ac:dyDescent="0.3">
      <c r="A49" s="6" t="s">
        <v>317</v>
      </c>
      <c r="B49" s="26">
        <v>46098</v>
      </c>
      <c r="C49" s="6" t="s">
        <v>251</v>
      </c>
      <c r="D49" s="6" t="s">
        <v>287</v>
      </c>
      <c r="E49" s="6" t="s">
        <v>275</v>
      </c>
      <c r="F49" s="6">
        <v>6</v>
      </c>
      <c r="G49" s="27">
        <v>1500</v>
      </c>
      <c r="H49" s="27">
        <f t="shared" si="0"/>
        <v>9000</v>
      </c>
    </row>
    <row r="50" spans="1:8" x14ac:dyDescent="0.3">
      <c r="A50" s="6" t="s">
        <v>318</v>
      </c>
      <c r="B50" s="26">
        <v>46100</v>
      </c>
      <c r="C50" s="6" t="s">
        <v>246</v>
      </c>
      <c r="D50" s="6" t="s">
        <v>264</v>
      </c>
      <c r="E50" s="6" t="s">
        <v>265</v>
      </c>
      <c r="F50" s="6">
        <v>1</v>
      </c>
      <c r="G50" s="27">
        <v>9000</v>
      </c>
      <c r="H50" s="27">
        <f t="shared" si="0"/>
        <v>9000</v>
      </c>
    </row>
    <row r="51" spans="1:8" x14ac:dyDescent="0.3">
      <c r="A51" s="6" t="s">
        <v>319</v>
      </c>
      <c r="B51" s="26">
        <v>46104</v>
      </c>
      <c r="C51" s="6" t="s">
        <v>252</v>
      </c>
      <c r="D51" s="6" t="s">
        <v>287</v>
      </c>
      <c r="E51" s="6" t="s">
        <v>275</v>
      </c>
      <c r="F51" s="6">
        <v>2</v>
      </c>
      <c r="G51" s="27">
        <v>1500</v>
      </c>
      <c r="H51" s="27">
        <f t="shared" si="0"/>
        <v>3000</v>
      </c>
    </row>
    <row r="52" spans="1:8" x14ac:dyDescent="0.3">
      <c r="A52" s="6" t="s">
        <v>320</v>
      </c>
      <c r="B52" s="26">
        <v>46104</v>
      </c>
      <c r="C52" s="6" t="s">
        <v>248</v>
      </c>
      <c r="D52" s="6" t="s">
        <v>268</v>
      </c>
      <c r="E52" s="6" t="s">
        <v>265</v>
      </c>
      <c r="F52" s="6">
        <v>3</v>
      </c>
      <c r="G52" s="27">
        <v>12000</v>
      </c>
      <c r="H52" s="27">
        <f t="shared" si="0"/>
        <v>36000</v>
      </c>
    </row>
    <row r="53" spans="1:8" x14ac:dyDescent="0.3">
      <c r="A53" s="6" t="s">
        <v>321</v>
      </c>
      <c r="B53" s="26">
        <v>46107</v>
      </c>
      <c r="C53" s="6" t="s">
        <v>251</v>
      </c>
      <c r="D53" s="6" t="s">
        <v>268</v>
      </c>
      <c r="E53" s="6" t="s">
        <v>265</v>
      </c>
      <c r="F53" s="6">
        <v>1</v>
      </c>
      <c r="G53" s="27">
        <v>12000</v>
      </c>
      <c r="H53" s="27">
        <f t="shared" si="0"/>
        <v>12000</v>
      </c>
    </row>
    <row r="54" spans="1:8" x14ac:dyDescent="0.3">
      <c r="A54" s="6" t="s">
        <v>322</v>
      </c>
      <c r="B54" s="26">
        <v>46107</v>
      </c>
      <c r="C54" s="6" t="s">
        <v>246</v>
      </c>
      <c r="D54" s="6" t="s">
        <v>277</v>
      </c>
      <c r="E54" s="6" t="s">
        <v>265</v>
      </c>
      <c r="F54" s="6">
        <v>4</v>
      </c>
      <c r="G54" s="27">
        <v>55000</v>
      </c>
      <c r="H54" s="27">
        <f t="shared" si="0"/>
        <v>220000</v>
      </c>
    </row>
    <row r="55" spans="1:8" x14ac:dyDescent="0.3">
      <c r="A55" s="6" t="s">
        <v>323</v>
      </c>
      <c r="B55" s="26">
        <v>46110</v>
      </c>
      <c r="C55" s="6" t="s">
        <v>250</v>
      </c>
      <c r="D55" s="6" t="s">
        <v>287</v>
      </c>
      <c r="E55" s="6" t="s">
        <v>275</v>
      </c>
      <c r="F55" s="6">
        <v>8</v>
      </c>
      <c r="G55" s="27">
        <v>1500</v>
      </c>
      <c r="H55" s="27">
        <f t="shared" si="0"/>
        <v>12000</v>
      </c>
    </row>
    <row r="56" spans="1:8" x14ac:dyDescent="0.3">
      <c r="A56" s="6" t="s">
        <v>324</v>
      </c>
      <c r="B56" s="26">
        <v>46110</v>
      </c>
      <c r="C56" s="6" t="s">
        <v>252</v>
      </c>
      <c r="D56" s="6" t="s">
        <v>264</v>
      </c>
      <c r="E56" s="6" t="s">
        <v>265</v>
      </c>
      <c r="F56" s="6">
        <v>2</v>
      </c>
      <c r="G56" s="27">
        <v>9000</v>
      </c>
      <c r="H56" s="27">
        <f t="shared" si="0"/>
        <v>18000</v>
      </c>
    </row>
    <row r="57" spans="1:8" x14ac:dyDescent="0.3">
      <c r="A57" s="6" t="s">
        <v>325</v>
      </c>
      <c r="B57" s="26">
        <v>46111</v>
      </c>
      <c r="C57" s="6" t="s">
        <v>248</v>
      </c>
      <c r="D57" s="6" t="s">
        <v>264</v>
      </c>
      <c r="E57" s="6" t="s">
        <v>265</v>
      </c>
      <c r="F57" s="6">
        <v>5</v>
      </c>
      <c r="G57" s="27">
        <v>9000</v>
      </c>
      <c r="H57" s="27">
        <f t="shared" si="0"/>
        <v>45000</v>
      </c>
    </row>
    <row r="58" spans="1:8" x14ac:dyDescent="0.3">
      <c r="A58" s="6" t="s">
        <v>326</v>
      </c>
      <c r="B58" s="26">
        <v>46111</v>
      </c>
      <c r="C58" s="6" t="s">
        <v>250</v>
      </c>
      <c r="D58" s="6" t="s">
        <v>268</v>
      </c>
      <c r="E58" s="6" t="s">
        <v>265</v>
      </c>
      <c r="F58" s="6">
        <v>5</v>
      </c>
      <c r="G58" s="27">
        <v>12000</v>
      </c>
      <c r="H58" s="27">
        <f t="shared" si="0"/>
        <v>60000</v>
      </c>
    </row>
    <row r="59" spans="1:8" x14ac:dyDescent="0.3">
      <c r="A59" s="6" t="s">
        <v>327</v>
      </c>
      <c r="B59" s="26">
        <v>46111</v>
      </c>
      <c r="C59" s="6" t="s">
        <v>251</v>
      </c>
      <c r="D59" s="6" t="s">
        <v>287</v>
      </c>
      <c r="E59" s="6" t="s">
        <v>275</v>
      </c>
      <c r="F59" s="6">
        <v>10</v>
      </c>
      <c r="G59" s="27">
        <v>1500</v>
      </c>
      <c r="H59" s="27">
        <f t="shared" si="0"/>
        <v>15000</v>
      </c>
    </row>
    <row r="60" spans="1:8" x14ac:dyDescent="0.3">
      <c r="A60" s="6" t="s">
        <v>328</v>
      </c>
      <c r="B60" s="26">
        <v>46111</v>
      </c>
      <c r="C60" s="6" t="s">
        <v>250</v>
      </c>
      <c r="D60" s="6" t="s">
        <v>268</v>
      </c>
      <c r="E60" s="6" t="s">
        <v>265</v>
      </c>
      <c r="F60" s="6">
        <v>1</v>
      </c>
      <c r="G60" s="27">
        <v>12000</v>
      </c>
      <c r="H60" s="27">
        <f t="shared" si="0"/>
        <v>12000</v>
      </c>
    </row>
    <row r="61" spans="1:8" x14ac:dyDescent="0.3">
      <c r="A61" s="6" t="s">
        <v>329</v>
      </c>
      <c r="B61" s="26">
        <v>46112</v>
      </c>
      <c r="C61" s="6" t="s">
        <v>248</v>
      </c>
      <c r="D61" s="6" t="s">
        <v>277</v>
      </c>
      <c r="E61" s="6" t="s">
        <v>265</v>
      </c>
      <c r="F61" s="6">
        <v>4</v>
      </c>
      <c r="G61" s="27">
        <v>55000</v>
      </c>
      <c r="H61" s="27">
        <f t="shared" si="0"/>
        <v>220000</v>
      </c>
    </row>
  </sheetData>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rgb="FFC00000"/>
  </sheetPr>
  <dimension ref="A1:C63"/>
  <sheetViews>
    <sheetView topLeftCell="A40" zoomScaleNormal="100" workbookViewId="0">
      <selection activeCell="C51" sqref="C51"/>
    </sheetView>
  </sheetViews>
  <sheetFormatPr defaultColWidth="8.6640625" defaultRowHeight="14.4" x14ac:dyDescent="0.3"/>
  <cols>
    <col min="1" max="1" width="18" customWidth="1"/>
    <col min="2" max="2" width="55" customWidth="1"/>
    <col min="3" max="3" width="75" customWidth="1"/>
  </cols>
  <sheetData>
    <row r="1" spans="1:3" ht="17.399999999999999" x14ac:dyDescent="0.3">
      <c r="A1" s="1" t="s">
        <v>330</v>
      </c>
    </row>
    <row r="2" spans="1:3" x14ac:dyDescent="0.3">
      <c r="A2" s="2" t="s">
        <v>331</v>
      </c>
    </row>
    <row r="4" spans="1:3" x14ac:dyDescent="0.3">
      <c r="A4" s="5" t="s">
        <v>332</v>
      </c>
      <c r="B4" s="5" t="s">
        <v>25</v>
      </c>
      <c r="C4" s="5" t="s">
        <v>333</v>
      </c>
    </row>
    <row r="5" spans="1:3" x14ac:dyDescent="0.3">
      <c r="A5" s="11" t="s">
        <v>12</v>
      </c>
      <c r="B5" s="11" t="s">
        <v>29</v>
      </c>
      <c r="C5" s="11" t="s">
        <v>334</v>
      </c>
    </row>
    <row r="6" spans="1:3" x14ac:dyDescent="0.3">
      <c r="A6" s="11" t="s">
        <v>12</v>
      </c>
      <c r="B6" s="11" t="s">
        <v>31</v>
      </c>
      <c r="C6" s="11" t="s">
        <v>335</v>
      </c>
    </row>
    <row r="7" spans="1:3" x14ac:dyDescent="0.3">
      <c r="A7" s="11" t="s">
        <v>12</v>
      </c>
      <c r="B7" s="11" t="s">
        <v>33</v>
      </c>
      <c r="C7" s="11" t="s">
        <v>336</v>
      </c>
    </row>
    <row r="8" spans="1:3" x14ac:dyDescent="0.3">
      <c r="A8" s="11" t="s">
        <v>12</v>
      </c>
      <c r="B8" s="11" t="s">
        <v>35</v>
      </c>
      <c r="C8" s="11" t="s">
        <v>337</v>
      </c>
    </row>
    <row r="9" spans="1:3" x14ac:dyDescent="0.3">
      <c r="A9" s="11" t="s">
        <v>12</v>
      </c>
      <c r="B9" s="11" t="s">
        <v>37</v>
      </c>
      <c r="C9" s="11" t="s">
        <v>338</v>
      </c>
    </row>
    <row r="10" spans="1:3" x14ac:dyDescent="0.3">
      <c r="A10" s="11" t="s">
        <v>12</v>
      </c>
      <c r="B10" s="11" t="s">
        <v>39</v>
      </c>
      <c r="C10" s="11" t="s">
        <v>339</v>
      </c>
    </row>
    <row r="11" spans="1:3" x14ac:dyDescent="0.3">
      <c r="A11" s="11" t="s">
        <v>12</v>
      </c>
      <c r="B11" s="11" t="s">
        <v>41</v>
      </c>
      <c r="C11" s="11" t="s">
        <v>340</v>
      </c>
    </row>
    <row r="12" spans="1:3" x14ac:dyDescent="0.3">
      <c r="A12" s="11" t="s">
        <v>12</v>
      </c>
      <c r="B12" s="11" t="s">
        <v>43</v>
      </c>
      <c r="C12" s="11" t="s">
        <v>341</v>
      </c>
    </row>
    <row r="13" spans="1:3" x14ac:dyDescent="0.3">
      <c r="A13" s="11" t="s">
        <v>12</v>
      </c>
      <c r="B13" s="11" t="s">
        <v>45</v>
      </c>
      <c r="C13" s="11" t="s">
        <v>342</v>
      </c>
    </row>
    <row r="14" spans="1:3" x14ac:dyDescent="0.3">
      <c r="A14" s="11" t="s">
        <v>12</v>
      </c>
      <c r="B14" s="11" t="s">
        <v>47</v>
      </c>
      <c r="C14" s="11" t="s">
        <v>343</v>
      </c>
    </row>
    <row r="15" spans="1:3" x14ac:dyDescent="0.3">
      <c r="A15" s="11" t="s">
        <v>13</v>
      </c>
      <c r="B15" s="11" t="s">
        <v>344</v>
      </c>
      <c r="C15" s="11" t="s">
        <v>345</v>
      </c>
    </row>
    <row r="16" spans="1:3" x14ac:dyDescent="0.3">
      <c r="A16" s="11" t="s">
        <v>13</v>
      </c>
      <c r="B16" s="11" t="s">
        <v>346</v>
      </c>
      <c r="C16" s="11" t="s">
        <v>347</v>
      </c>
    </row>
    <row r="17" spans="1:3" x14ac:dyDescent="0.3">
      <c r="A17" s="11" t="s">
        <v>13</v>
      </c>
      <c r="B17" s="11" t="s">
        <v>348</v>
      </c>
      <c r="C17" s="11" t="s">
        <v>349</v>
      </c>
    </row>
    <row r="18" spans="1:3" x14ac:dyDescent="0.3">
      <c r="A18" s="11" t="s">
        <v>13</v>
      </c>
      <c r="B18" s="11" t="s">
        <v>350</v>
      </c>
      <c r="C18" s="11" t="s">
        <v>351</v>
      </c>
    </row>
    <row r="19" spans="1:3" x14ac:dyDescent="0.3">
      <c r="A19" s="11" t="s">
        <v>13</v>
      </c>
      <c r="B19" s="11" t="s">
        <v>352</v>
      </c>
      <c r="C19" s="11" t="s">
        <v>353</v>
      </c>
    </row>
    <row r="20" spans="1:3" x14ac:dyDescent="0.3">
      <c r="A20" s="11" t="s">
        <v>14</v>
      </c>
      <c r="B20" s="11" t="s">
        <v>354</v>
      </c>
      <c r="C20" s="11" t="s">
        <v>355</v>
      </c>
    </row>
    <row r="21" spans="1:3" x14ac:dyDescent="0.3">
      <c r="A21" s="11" t="s">
        <v>14</v>
      </c>
      <c r="B21" s="11" t="s">
        <v>356</v>
      </c>
      <c r="C21" s="11" t="s">
        <v>357</v>
      </c>
    </row>
    <row r="22" spans="1:3" x14ac:dyDescent="0.3">
      <c r="A22" s="11" t="s">
        <v>14</v>
      </c>
      <c r="B22" s="11" t="s">
        <v>358</v>
      </c>
      <c r="C22" s="11" t="s">
        <v>359</v>
      </c>
    </row>
    <row r="23" spans="1:3" x14ac:dyDescent="0.3">
      <c r="A23" s="11" t="s">
        <v>14</v>
      </c>
      <c r="B23" s="11" t="s">
        <v>360</v>
      </c>
      <c r="C23" s="11" t="s">
        <v>361</v>
      </c>
    </row>
    <row r="24" spans="1:3" x14ac:dyDescent="0.3">
      <c r="A24" s="11" t="s">
        <v>15</v>
      </c>
      <c r="B24" s="11" t="s">
        <v>148</v>
      </c>
      <c r="C24" s="11" t="s">
        <v>362</v>
      </c>
    </row>
    <row r="25" spans="1:3" x14ac:dyDescent="0.3">
      <c r="A25" s="11" t="s">
        <v>15</v>
      </c>
      <c r="B25" s="11" t="s">
        <v>150</v>
      </c>
      <c r="C25" s="11" t="s">
        <v>363</v>
      </c>
    </row>
    <row r="26" spans="1:3" x14ac:dyDescent="0.3">
      <c r="A26" s="11" t="s">
        <v>15</v>
      </c>
      <c r="B26" s="11" t="s">
        <v>152</v>
      </c>
      <c r="C26" s="11" t="s">
        <v>364</v>
      </c>
    </row>
    <row r="27" spans="1:3" ht="26.4" x14ac:dyDescent="0.3">
      <c r="A27" s="11" t="s">
        <v>15</v>
      </c>
      <c r="B27" s="11" t="s">
        <v>154</v>
      </c>
      <c r="C27" s="11" t="s">
        <v>365</v>
      </c>
    </row>
    <row r="28" spans="1:3" x14ac:dyDescent="0.3">
      <c r="A28" s="11" t="s">
        <v>15</v>
      </c>
      <c r="B28" s="11" t="s">
        <v>156</v>
      </c>
      <c r="C28" s="11" t="s">
        <v>366</v>
      </c>
    </row>
    <row r="29" spans="1:3" x14ac:dyDescent="0.3">
      <c r="A29" s="11" t="s">
        <v>15</v>
      </c>
      <c r="B29" s="11" t="s">
        <v>158</v>
      </c>
      <c r="C29" s="11" t="s">
        <v>367</v>
      </c>
    </row>
    <row r="30" spans="1:3" ht="26.4" x14ac:dyDescent="0.3">
      <c r="A30" s="11" t="s">
        <v>15</v>
      </c>
      <c r="B30" s="11" t="s">
        <v>160</v>
      </c>
      <c r="C30" s="11" t="s">
        <v>368</v>
      </c>
    </row>
    <row r="31" spans="1:3" ht="26.4" x14ac:dyDescent="0.3">
      <c r="A31" s="11" t="s">
        <v>15</v>
      </c>
      <c r="B31" s="11" t="s">
        <v>162</v>
      </c>
      <c r="C31" s="11" t="s">
        <v>369</v>
      </c>
    </row>
    <row r="32" spans="1:3" ht="26.4" x14ac:dyDescent="0.3">
      <c r="A32" s="11" t="s">
        <v>15</v>
      </c>
      <c r="B32" s="11" t="s">
        <v>164</v>
      </c>
      <c r="C32" s="11" t="s">
        <v>370</v>
      </c>
    </row>
    <row r="33" spans="1:3" x14ac:dyDescent="0.3">
      <c r="A33" s="11" t="s">
        <v>15</v>
      </c>
      <c r="B33" s="11" t="s">
        <v>167</v>
      </c>
      <c r="C33" s="11" t="s">
        <v>371</v>
      </c>
    </row>
    <row r="34" spans="1:3" x14ac:dyDescent="0.3">
      <c r="A34" s="11" t="s">
        <v>16</v>
      </c>
      <c r="B34" s="11" t="s">
        <v>372</v>
      </c>
      <c r="C34" s="11" t="s">
        <v>373</v>
      </c>
    </row>
    <row r="35" spans="1:3" x14ac:dyDescent="0.3">
      <c r="A35" s="11" t="s">
        <v>16</v>
      </c>
      <c r="B35" s="11" t="s">
        <v>374</v>
      </c>
      <c r="C35" s="11" t="s">
        <v>375</v>
      </c>
    </row>
    <row r="36" spans="1:3" x14ac:dyDescent="0.3">
      <c r="A36" s="11" t="s">
        <v>16</v>
      </c>
      <c r="B36" s="11" t="s">
        <v>376</v>
      </c>
      <c r="C36" s="11" t="s">
        <v>377</v>
      </c>
    </row>
    <row r="37" spans="1:3" x14ac:dyDescent="0.3">
      <c r="A37" s="11" t="s">
        <v>16</v>
      </c>
      <c r="B37" s="11" t="s">
        <v>378</v>
      </c>
      <c r="C37" s="11" t="s">
        <v>379</v>
      </c>
    </row>
    <row r="38" spans="1:3" x14ac:dyDescent="0.3">
      <c r="A38" s="11" t="s">
        <v>16</v>
      </c>
      <c r="B38" s="11" t="s">
        <v>380</v>
      </c>
      <c r="C38" s="11" t="s">
        <v>381</v>
      </c>
    </row>
    <row r="39" spans="1:3" x14ac:dyDescent="0.3">
      <c r="A39" s="11" t="s">
        <v>16</v>
      </c>
      <c r="B39" s="11" t="s">
        <v>382</v>
      </c>
      <c r="C39" s="11" t="s">
        <v>383</v>
      </c>
    </row>
    <row r="40" spans="1:3" x14ac:dyDescent="0.3">
      <c r="A40" s="11" t="s">
        <v>17</v>
      </c>
      <c r="B40" s="11" t="s">
        <v>181</v>
      </c>
      <c r="C40" s="11" t="s">
        <v>384</v>
      </c>
    </row>
    <row r="41" spans="1:3" x14ac:dyDescent="0.3">
      <c r="A41" s="11" t="s">
        <v>17</v>
      </c>
      <c r="B41" s="11" t="s">
        <v>183</v>
      </c>
      <c r="C41" s="11" t="s">
        <v>385</v>
      </c>
    </row>
    <row r="42" spans="1:3" x14ac:dyDescent="0.3">
      <c r="A42" s="11" t="s">
        <v>17</v>
      </c>
      <c r="B42" s="11" t="s">
        <v>185</v>
      </c>
      <c r="C42" s="11" t="s">
        <v>386</v>
      </c>
    </row>
    <row r="43" spans="1:3" x14ac:dyDescent="0.3">
      <c r="A43" s="11" t="s">
        <v>17</v>
      </c>
      <c r="B43" s="11" t="s">
        <v>187</v>
      </c>
      <c r="C43" s="11" t="s">
        <v>387</v>
      </c>
    </row>
    <row r="44" spans="1:3" x14ac:dyDescent="0.3">
      <c r="A44" s="11" t="s">
        <v>17</v>
      </c>
      <c r="B44" s="11" t="s">
        <v>189</v>
      </c>
      <c r="C44" s="11" t="s">
        <v>388</v>
      </c>
    </row>
    <row r="45" spans="1:3" x14ac:dyDescent="0.3">
      <c r="A45" s="11" t="s">
        <v>17</v>
      </c>
      <c r="B45" s="11" t="s">
        <v>191</v>
      </c>
      <c r="C45" s="11" t="s">
        <v>389</v>
      </c>
    </row>
    <row r="46" spans="1:3" ht="26.4" x14ac:dyDescent="0.3">
      <c r="A46" s="11" t="s">
        <v>17</v>
      </c>
      <c r="B46" s="11" t="s">
        <v>193</v>
      </c>
      <c r="C46" s="11" t="s">
        <v>390</v>
      </c>
    </row>
    <row r="47" spans="1:3" ht="26.4" x14ac:dyDescent="0.3">
      <c r="A47" s="11" t="s">
        <v>17</v>
      </c>
      <c r="B47" s="11" t="s">
        <v>195</v>
      </c>
      <c r="C47" s="11" t="s">
        <v>391</v>
      </c>
    </row>
    <row r="48" spans="1:3" x14ac:dyDescent="0.3">
      <c r="A48" s="11" t="s">
        <v>17</v>
      </c>
      <c r="B48" s="11" t="s">
        <v>197</v>
      </c>
      <c r="C48" s="11" t="s">
        <v>392</v>
      </c>
    </row>
    <row r="49" spans="1:3" x14ac:dyDescent="0.3">
      <c r="A49" s="11" t="s">
        <v>18</v>
      </c>
      <c r="B49" s="11" t="s">
        <v>393</v>
      </c>
      <c r="C49" s="11" t="s">
        <v>394</v>
      </c>
    </row>
    <row r="50" spans="1:3" x14ac:dyDescent="0.3">
      <c r="A50" s="11" t="s">
        <v>18</v>
      </c>
      <c r="B50" s="11" t="s">
        <v>395</v>
      </c>
      <c r="C50" s="11" t="s">
        <v>396</v>
      </c>
    </row>
    <row r="51" spans="1:3" x14ac:dyDescent="0.3">
      <c r="A51" s="11" t="s">
        <v>18</v>
      </c>
      <c r="B51" s="11" t="s">
        <v>397</v>
      </c>
      <c r="C51" s="11" t="s">
        <v>398</v>
      </c>
    </row>
    <row r="52" spans="1:3" x14ac:dyDescent="0.3">
      <c r="A52" s="11" t="s">
        <v>18</v>
      </c>
      <c r="B52" s="11" t="s">
        <v>399</v>
      </c>
      <c r="C52" s="11" t="s">
        <v>400</v>
      </c>
    </row>
    <row r="53" spans="1:3" x14ac:dyDescent="0.3">
      <c r="A53" s="11" t="s">
        <v>18</v>
      </c>
      <c r="B53" s="11" t="s">
        <v>401</v>
      </c>
      <c r="C53" s="11" t="s">
        <v>402</v>
      </c>
    </row>
    <row r="54" spans="1:3" x14ac:dyDescent="0.3">
      <c r="A54" s="11" t="s">
        <v>19</v>
      </c>
      <c r="B54" s="11" t="s">
        <v>209</v>
      </c>
      <c r="C54" s="11" t="s">
        <v>403</v>
      </c>
    </row>
    <row r="55" spans="1:3" x14ac:dyDescent="0.3">
      <c r="A55" s="11" t="s">
        <v>19</v>
      </c>
      <c r="B55" s="11" t="s">
        <v>211</v>
      </c>
      <c r="C55" s="11" t="s">
        <v>404</v>
      </c>
    </row>
    <row r="56" spans="1:3" x14ac:dyDescent="0.3">
      <c r="A56" s="11" t="s">
        <v>19</v>
      </c>
      <c r="B56" s="11" t="s">
        <v>213</v>
      </c>
      <c r="C56" s="11" t="s">
        <v>405</v>
      </c>
    </row>
    <row r="57" spans="1:3" ht="26.4" x14ac:dyDescent="0.3">
      <c r="A57" s="11" t="s">
        <v>19</v>
      </c>
      <c r="B57" s="11" t="s">
        <v>215</v>
      </c>
      <c r="C57" s="11" t="s">
        <v>406</v>
      </c>
    </row>
    <row r="58" spans="1:3" ht="26.4" x14ac:dyDescent="0.3">
      <c r="A58" s="11" t="s">
        <v>19</v>
      </c>
      <c r="B58" s="11" t="s">
        <v>217</v>
      </c>
      <c r="C58" s="11" t="s">
        <v>407</v>
      </c>
    </row>
    <row r="59" spans="1:3" ht="26.4" x14ac:dyDescent="0.3">
      <c r="A59" s="11" t="s">
        <v>19</v>
      </c>
      <c r="B59" s="11" t="s">
        <v>219</v>
      </c>
      <c r="C59" s="11" t="s">
        <v>408</v>
      </c>
    </row>
    <row r="60" spans="1:3" ht="26.4" x14ac:dyDescent="0.3">
      <c r="A60" s="11" t="s">
        <v>19</v>
      </c>
      <c r="B60" s="11" t="s">
        <v>221</v>
      </c>
      <c r="C60" s="11" t="s">
        <v>409</v>
      </c>
    </row>
    <row r="61" spans="1:3" ht="26.4" x14ac:dyDescent="0.3">
      <c r="A61" s="11" t="s">
        <v>19</v>
      </c>
      <c r="B61" s="11" t="s">
        <v>223</v>
      </c>
      <c r="C61" s="11" t="s">
        <v>410</v>
      </c>
    </row>
    <row r="62" spans="1:3" x14ac:dyDescent="0.3">
      <c r="A62" s="11" t="s">
        <v>19</v>
      </c>
      <c r="B62" s="11" t="s">
        <v>225</v>
      </c>
      <c r="C62" s="11" t="s">
        <v>411</v>
      </c>
    </row>
    <row r="63" spans="1:3" x14ac:dyDescent="0.3">
      <c r="A63" s="11" t="s">
        <v>19</v>
      </c>
      <c r="B63" s="11" t="s">
        <v>227</v>
      </c>
      <c r="C63" s="11" t="s">
        <v>412</v>
      </c>
    </row>
  </sheetData>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D5:D14"/>
  <sheetViews>
    <sheetView zoomScaleNormal="100" workbookViewId="0"/>
  </sheetViews>
  <sheetFormatPr defaultColWidth="8.6640625" defaultRowHeight="14.4" x14ac:dyDescent="0.3"/>
  <sheetData>
    <row r="5" spans="4:4" x14ac:dyDescent="0.3">
      <c r="D5">
        <f>SUM(Employees!$G$2:$G$21)</f>
        <v>1222000</v>
      </c>
    </row>
    <row r="6" spans="4:4" x14ac:dyDescent="0.3">
      <c r="D6">
        <f>AVERAGE(Employees!$G$2:$G$21)</f>
        <v>61100</v>
      </c>
    </row>
    <row r="7" spans="4:4" x14ac:dyDescent="0.3">
      <c r="D7">
        <f>MAX(Employees!$G$2:$G$21)</f>
        <v>111000</v>
      </c>
    </row>
    <row r="8" spans="4:4" x14ac:dyDescent="0.3">
      <c r="D8">
        <f>MIN(Employees!$G$2:$G$21)</f>
        <v>32500</v>
      </c>
    </row>
    <row r="9" spans="4:4" x14ac:dyDescent="0.3">
      <c r="D9">
        <f>COUNTA(Employees!$A$2:$A$21)</f>
        <v>20</v>
      </c>
    </row>
    <row r="10" spans="4:4" x14ac:dyDescent="0.3">
      <c r="D10">
        <f>COUNT(Employees!$H$2:$H$21)</f>
        <v>18</v>
      </c>
    </row>
    <row r="11" spans="4:4" x14ac:dyDescent="0.3">
      <c r="D11">
        <f>AVERAGE(Employees!$H$2:$H$21)</f>
        <v>2.8888888888888888</v>
      </c>
    </row>
    <row r="12" spans="4:4" x14ac:dyDescent="0.3">
      <c r="D12">
        <f>SUM(Employees!G2:G11)</f>
        <v>668500</v>
      </c>
    </row>
    <row r="13" spans="4:4" x14ac:dyDescent="0.3">
      <c r="D13">
        <f>Employees!G6*1.1</f>
        <v>37400</v>
      </c>
    </row>
    <row r="14" spans="4:4" x14ac:dyDescent="0.3">
      <c r="D14">
        <f>SUM(Employees!$G$2:$G$21)*12</f>
        <v>14664000</v>
      </c>
    </row>
  </sheetData>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C5:M14"/>
  <sheetViews>
    <sheetView zoomScaleNormal="100" workbookViewId="0"/>
  </sheetViews>
  <sheetFormatPr defaultColWidth="8.6640625" defaultRowHeight="14.4" x14ac:dyDescent="0.3"/>
  <sheetData>
    <row r="5" spans="3:13" x14ac:dyDescent="0.3">
      <c r="C5" t="str">
        <f>PROPER(TRIM('2 Text'!B5))</f>
        <v>Rahul Sharma</v>
      </c>
      <c r="F5" t="str">
        <f>SUBSTITUTE('2 Text'!E5,"-","")</f>
        <v>8315221130</v>
      </c>
      <c r="I5" t="str">
        <f>LEFT('2 Text'!H5,3)</f>
        <v>AHM</v>
      </c>
      <c r="K5" t="str">
        <f>MID('2 Text'!H5,5,4)</f>
        <v>2022</v>
      </c>
      <c r="M5">
        <f>LEN('2 Text'!B5)</f>
        <v>13</v>
      </c>
    </row>
    <row r="6" spans="3:13" x14ac:dyDescent="0.3">
      <c r="C6" t="str">
        <f>PROPER(TRIM('2 Text'!B6))</f>
        <v>Priya Patel</v>
      </c>
      <c r="F6" t="str">
        <f>SUBSTITUTE('2 Text'!E6,"-","")</f>
        <v>7090229811</v>
      </c>
      <c r="I6" t="str">
        <f>LEFT('2 Text'!H6,3)</f>
        <v>CHN</v>
      </c>
      <c r="K6" t="str">
        <f>MID('2 Text'!H6,5,4)</f>
        <v>2024</v>
      </c>
      <c r="M6">
        <f>LEN('2 Text'!B6)</f>
        <v>13</v>
      </c>
    </row>
    <row r="7" spans="3:13" x14ac:dyDescent="0.3">
      <c r="C7" t="str">
        <f>PROPER(TRIM('2 Text'!B7))</f>
        <v>Amit Verma</v>
      </c>
      <c r="F7" t="str">
        <f>SUBSTITUTE('2 Text'!E7,"-","")</f>
        <v>9708388101</v>
      </c>
      <c r="I7" t="str">
        <f>LEFT('2 Text'!H7,3)</f>
        <v>PUN</v>
      </c>
      <c r="K7" t="str">
        <f>MID('2 Text'!H7,5,4)</f>
        <v>2023</v>
      </c>
      <c r="M7">
        <f>LEN('2 Text'!B7)</f>
        <v>10</v>
      </c>
    </row>
    <row r="8" spans="3:13" x14ac:dyDescent="0.3">
      <c r="C8" t="str">
        <f>PROPER(TRIM('2 Text'!B8))</f>
        <v>Sneha Iyer</v>
      </c>
      <c r="F8" t="str">
        <f>SUBSTITUTE('2 Text'!E8,"-","")</f>
        <v>8796627168</v>
      </c>
      <c r="I8" t="str">
        <f>LEFT('2 Text'!H8,3)</f>
        <v>MUM</v>
      </c>
      <c r="K8" t="str">
        <f>MID('2 Text'!H8,5,4)</f>
        <v>2021</v>
      </c>
      <c r="M8">
        <f>LEN('2 Text'!B8)</f>
        <v>10</v>
      </c>
    </row>
    <row r="9" spans="3:13" x14ac:dyDescent="0.3">
      <c r="C9" t="str">
        <f>PROPER(TRIM('2 Text'!B9))</f>
        <v>Vikram Singh</v>
      </c>
      <c r="F9" t="str">
        <f>SUBSTITUTE('2 Text'!E9,"-","")</f>
        <v>9455928251</v>
      </c>
      <c r="I9" t="str">
        <f>LEFT('2 Text'!H9,3)</f>
        <v>PUN</v>
      </c>
      <c r="K9" t="str">
        <f>MID('2 Text'!H9,5,4)</f>
        <v>2022</v>
      </c>
      <c r="M9">
        <f>LEN('2 Text'!B9)</f>
        <v>12</v>
      </c>
    </row>
    <row r="10" spans="3:13" x14ac:dyDescent="0.3">
      <c r="C10" t="str">
        <f>PROPER(TRIM('2 Text'!B10))</f>
        <v>Anjali Gupta</v>
      </c>
      <c r="F10" t="str">
        <f>SUBSTITUTE('2 Text'!E10,"-","")</f>
        <v>7825237889</v>
      </c>
      <c r="I10" t="str">
        <f>LEFT('2 Text'!H10,3)</f>
        <v>BLR</v>
      </c>
      <c r="K10" t="str">
        <f>MID('2 Text'!H10,5,4)</f>
        <v>2025</v>
      </c>
      <c r="M10">
        <f>LEN('2 Text'!B10)</f>
        <v>15</v>
      </c>
    </row>
    <row r="11" spans="3:13" x14ac:dyDescent="0.3">
      <c r="C11" t="str">
        <f>PROPER(TRIM('2 Text'!B11))</f>
        <v>Rohan Mehta</v>
      </c>
      <c r="F11" t="str">
        <f>SUBSTITUTE('2 Text'!E11,"-","")</f>
        <v>8068243995</v>
      </c>
      <c r="I11" t="str">
        <f>LEFT('2 Text'!H11,3)</f>
        <v>CHN</v>
      </c>
      <c r="K11" t="str">
        <f>MID('2 Text'!H11,5,4)</f>
        <v>2024</v>
      </c>
      <c r="M11">
        <f>LEN('2 Text'!B11)</f>
        <v>11</v>
      </c>
    </row>
    <row r="12" spans="3:13" x14ac:dyDescent="0.3">
      <c r="C12" t="str">
        <f>PROPER(TRIM('2 Text'!B12))</f>
        <v>Kavya Reddy</v>
      </c>
      <c r="F12" t="str">
        <f>SUBSTITUTE('2 Text'!E12,"-","")</f>
        <v>9981956371</v>
      </c>
      <c r="I12" t="str">
        <f>LEFT('2 Text'!H12,3)</f>
        <v>PUN</v>
      </c>
      <c r="K12" t="str">
        <f>MID('2 Text'!H12,5,4)</f>
        <v>2025</v>
      </c>
      <c r="M12">
        <f>LEN('2 Text'!B12)</f>
        <v>14</v>
      </c>
    </row>
    <row r="13" spans="3:13" x14ac:dyDescent="0.3">
      <c r="C13" t="str">
        <f>PROPER(TRIM('2 Text'!B13))</f>
        <v>Arjun Nair</v>
      </c>
      <c r="F13" t="str">
        <f>SUBSTITUTE('2 Text'!E13,"-","")</f>
        <v>9710375752</v>
      </c>
      <c r="I13" t="str">
        <f>LEFT('2 Text'!H13,3)</f>
        <v>DEL</v>
      </c>
      <c r="K13" t="str">
        <f>MID('2 Text'!H13,5,4)</f>
        <v>2025</v>
      </c>
      <c r="M13">
        <f>LEN('2 Text'!B13)</f>
        <v>11</v>
      </c>
    </row>
    <row r="14" spans="3:13" x14ac:dyDescent="0.3">
      <c r="C14" t="str">
        <f>PROPER(TRIM('2 Text'!B14))</f>
        <v>Pooja Joshi</v>
      </c>
      <c r="F14" t="str">
        <f>SUBSTITUTE('2 Text'!E14,"-","")</f>
        <v>8672912451</v>
      </c>
      <c r="I14" t="str">
        <f>LEFT('2 Text'!H14,3)</f>
        <v>PUN</v>
      </c>
      <c r="K14" t="str">
        <f>MID('2 Text'!H14,5,4)</f>
        <v>2022</v>
      </c>
      <c r="M14">
        <f>LEN('2 Text'!B14)</f>
        <v>11</v>
      </c>
    </row>
  </sheetData>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G5:M24"/>
  <sheetViews>
    <sheetView zoomScaleNormal="100" workbookViewId="0"/>
  </sheetViews>
  <sheetFormatPr defaultColWidth="8.6640625" defaultRowHeight="14.4" x14ac:dyDescent="0.3"/>
  <sheetData>
    <row r="5" spans="7:13" x14ac:dyDescent="0.3">
      <c r="G5" t="str">
        <f>IF('3 IF Logic'!D5&gt;75000,"High","Normal")</f>
        <v>Normal</v>
      </c>
      <c r="I5" t="str">
        <f>IF(AND('3 IF Logic'!E5&gt;=4,'3 IF Logic'!F5&gt;=3),"Yes","No")</f>
        <v>Yes</v>
      </c>
      <c r="K5" t="str">
        <f>IF(OR('3 IF Logic'!C5="Sales",'3 IF Logic'!E5=5),"Bonus","No Bonus")</f>
        <v>Bonus</v>
      </c>
      <c r="M5" t="str">
        <f>IF('3 IF Logic'!E5=5,"A",IF('3 IF Logic'!E5&gt;=4,"B",IF('3 IF Logic'!E5&gt;=3,"C","D")))</f>
        <v>B</v>
      </c>
    </row>
    <row r="6" spans="7:13" x14ac:dyDescent="0.3">
      <c r="G6" t="str">
        <f>IF('3 IF Logic'!D6&gt;75000,"High","Normal")</f>
        <v>Normal</v>
      </c>
      <c r="I6" t="str">
        <f>IF(AND('3 IF Logic'!E6&gt;=4,'3 IF Logic'!F6&gt;=3),"Yes","No")</f>
        <v>Yes</v>
      </c>
      <c r="K6" t="str">
        <f>IF(OR('3 IF Logic'!C6="Sales",'3 IF Logic'!E6=5),"Bonus","No Bonus")</f>
        <v>Bonus</v>
      </c>
      <c r="M6" t="str">
        <f>IF('3 IF Logic'!E6=5,"A",IF('3 IF Logic'!E6&gt;=4,"B",IF('3 IF Logic'!E6&gt;=3,"C","D")))</f>
        <v>A</v>
      </c>
    </row>
    <row r="7" spans="7:13" x14ac:dyDescent="0.3">
      <c r="G7" t="str">
        <f>IF('3 IF Logic'!D7&gt;75000,"High","Normal")</f>
        <v>High</v>
      </c>
      <c r="I7" t="str">
        <f>IF(AND('3 IF Logic'!E7&gt;=4,'3 IF Logic'!F7&gt;=3),"Yes","No")</f>
        <v>No</v>
      </c>
      <c r="K7" t="str">
        <f>IF(OR('3 IF Logic'!C7="Sales",'3 IF Logic'!E7=5),"Bonus","No Bonus")</f>
        <v>No Bonus</v>
      </c>
      <c r="M7" t="str">
        <f>IF('3 IF Logic'!E7=5,"A",IF('3 IF Logic'!E7&gt;=4,"B",IF('3 IF Logic'!E7&gt;=3,"C","D")))</f>
        <v>D</v>
      </c>
    </row>
    <row r="8" spans="7:13" x14ac:dyDescent="0.3">
      <c r="G8" t="str">
        <f>IF('3 IF Logic'!D8&gt;75000,"High","Normal")</f>
        <v>High</v>
      </c>
      <c r="I8" t="str">
        <f>IF(AND('3 IF Logic'!E8&gt;=4,'3 IF Logic'!F8&gt;=3),"Yes","No")</f>
        <v>Yes</v>
      </c>
      <c r="K8" t="str">
        <f>IF(OR('3 IF Logic'!C8="Sales",'3 IF Logic'!E8=5),"Bonus","No Bonus")</f>
        <v>Bonus</v>
      </c>
      <c r="M8" t="str">
        <f>IF('3 IF Logic'!E8=5,"A",IF('3 IF Logic'!E8&gt;=4,"B",IF('3 IF Logic'!E8&gt;=3,"C","D")))</f>
        <v>A</v>
      </c>
    </row>
    <row r="9" spans="7:13" x14ac:dyDescent="0.3">
      <c r="G9" t="str">
        <f>IF('3 IF Logic'!D9&gt;75000,"High","Normal")</f>
        <v>Normal</v>
      </c>
      <c r="I9" t="str">
        <f>IF(AND('3 IF Logic'!E9&gt;=4,'3 IF Logic'!F9&gt;=3),"Yes","No")</f>
        <v>No</v>
      </c>
      <c r="K9" t="str">
        <f>IF(OR('3 IF Logic'!C9="Sales",'3 IF Logic'!E9=5),"Bonus","No Bonus")</f>
        <v>Bonus</v>
      </c>
      <c r="M9" t="str">
        <f>IF('3 IF Logic'!E9=5,"A",IF('3 IF Logic'!E9&gt;=4,"B",IF('3 IF Logic'!E9&gt;=3,"C","D")))</f>
        <v>D</v>
      </c>
    </row>
    <row r="10" spans="7:13" x14ac:dyDescent="0.3">
      <c r="G10" t="str">
        <f>IF('3 IF Logic'!D10&gt;75000,"High","Normal")</f>
        <v>Normal</v>
      </c>
      <c r="I10" t="str">
        <f>IF(AND('3 IF Logic'!E10&gt;=4,'3 IF Logic'!F10&gt;=3),"Yes","No")</f>
        <v>No</v>
      </c>
      <c r="K10" t="str">
        <f>IF(OR('3 IF Logic'!C10="Sales",'3 IF Logic'!E10=5),"Bonus","No Bonus")</f>
        <v>No Bonus</v>
      </c>
      <c r="M10" t="str">
        <f>IF('3 IF Logic'!E10=5,"A",IF('3 IF Logic'!E10&gt;=4,"B",IF('3 IF Logic'!E10&gt;=3,"C","D")))</f>
        <v>D</v>
      </c>
    </row>
    <row r="11" spans="7:13" x14ac:dyDescent="0.3">
      <c r="G11" t="str">
        <f>IF('3 IF Logic'!D11&gt;75000,"High","Normal")</f>
        <v>Normal</v>
      </c>
      <c r="I11" t="str">
        <f>IF(AND('3 IF Logic'!E11&gt;=4,'3 IF Logic'!F11&gt;=3),"Yes","No")</f>
        <v>No</v>
      </c>
      <c r="K11" t="str">
        <f>IF(OR('3 IF Logic'!C11="Sales",'3 IF Logic'!E11=5),"Bonus","No Bonus")</f>
        <v>Bonus</v>
      </c>
      <c r="M11" t="str">
        <f>IF('3 IF Logic'!E11=5,"A",IF('3 IF Logic'!E11&gt;=4,"B",IF('3 IF Logic'!E11&gt;=3,"C","D")))</f>
        <v>D</v>
      </c>
    </row>
    <row r="12" spans="7:13" x14ac:dyDescent="0.3">
      <c r="G12" t="str">
        <f>IF('3 IF Logic'!D12&gt;75000,"High","Normal")</f>
        <v>Normal</v>
      </c>
      <c r="I12" t="str">
        <f>IF(AND('3 IF Logic'!E12&gt;=4,'3 IF Logic'!F12&gt;=3),"Yes","No")</f>
        <v>No</v>
      </c>
      <c r="K12" t="str">
        <f>IF(OR('3 IF Logic'!C12="Sales",'3 IF Logic'!E12=5),"Bonus","No Bonus")</f>
        <v>No Bonus</v>
      </c>
      <c r="M12" t="str">
        <f>IF('3 IF Logic'!E12=5,"A",IF('3 IF Logic'!E12&gt;=4,"B",IF('3 IF Logic'!E12&gt;=3,"C","D")))</f>
        <v>D</v>
      </c>
    </row>
    <row r="13" spans="7:13" x14ac:dyDescent="0.3">
      <c r="G13" t="str">
        <f>IF('3 IF Logic'!D13&gt;75000,"High","Normal")</f>
        <v>Normal</v>
      </c>
      <c r="I13" t="str">
        <f>IF(AND('3 IF Logic'!E13&gt;=4,'3 IF Logic'!F13&gt;=3),"Yes","No")</f>
        <v>No</v>
      </c>
      <c r="K13" t="str">
        <f>IF(OR('3 IF Logic'!C13="Sales",'3 IF Logic'!E13=5),"Bonus","No Bonus")</f>
        <v>No Bonus</v>
      </c>
      <c r="M13" t="str">
        <f>IF('3 IF Logic'!E13=5,"A",IF('3 IF Logic'!E13&gt;=4,"B",IF('3 IF Logic'!E13&gt;=3,"C","D")))</f>
        <v>D</v>
      </c>
    </row>
    <row r="14" spans="7:13" x14ac:dyDescent="0.3">
      <c r="G14" t="str">
        <f>IF('3 IF Logic'!D14&gt;75000,"High","Normal")</f>
        <v>High</v>
      </c>
      <c r="I14" t="str">
        <f>IF(AND('3 IF Logic'!E14&gt;=4,'3 IF Logic'!F14&gt;=3),"Yes","No")</f>
        <v>Yes</v>
      </c>
      <c r="K14" t="str">
        <f>IF(OR('3 IF Logic'!C14="Sales",'3 IF Logic'!E14=5),"Bonus","No Bonus")</f>
        <v>No Bonus</v>
      </c>
      <c r="M14" t="str">
        <f>IF('3 IF Logic'!E14=5,"A",IF('3 IF Logic'!E14&gt;=4,"B",IF('3 IF Logic'!E14&gt;=3,"C","D")))</f>
        <v>B</v>
      </c>
    </row>
    <row r="15" spans="7:13" x14ac:dyDescent="0.3">
      <c r="G15" t="str">
        <f>IF('3 IF Logic'!D15&gt;75000,"High","Normal")</f>
        <v>Normal</v>
      </c>
      <c r="I15" t="str">
        <f>IF(AND('3 IF Logic'!E15&gt;=4,'3 IF Logic'!F15&gt;=3),"Yes","No")</f>
        <v>Yes</v>
      </c>
      <c r="K15" t="str">
        <f>IF(OR('3 IF Logic'!C15="Sales",'3 IF Logic'!E15=5),"Bonus","No Bonus")</f>
        <v>Bonus</v>
      </c>
      <c r="M15" t="str">
        <f>IF('3 IF Logic'!E15=5,"A",IF('3 IF Logic'!E15&gt;=4,"B",IF('3 IF Logic'!E15&gt;=3,"C","D")))</f>
        <v>A</v>
      </c>
    </row>
    <row r="16" spans="7:13" x14ac:dyDescent="0.3">
      <c r="G16" t="str">
        <f>IF('3 IF Logic'!D16&gt;75000,"High","Normal")</f>
        <v>High</v>
      </c>
      <c r="I16" t="str">
        <f>IF(AND('3 IF Logic'!E16&gt;=4,'3 IF Logic'!F16&gt;=3),"Yes","No")</f>
        <v>Yes</v>
      </c>
      <c r="K16" t="str">
        <f>IF(OR('3 IF Logic'!C16="Sales",'3 IF Logic'!E16=5),"Bonus","No Bonus")</f>
        <v>Bonus</v>
      </c>
      <c r="M16" t="str">
        <f>IF('3 IF Logic'!E16=5,"A",IF('3 IF Logic'!E16&gt;=4,"B",IF('3 IF Logic'!E16&gt;=3,"C","D")))</f>
        <v>A</v>
      </c>
    </row>
    <row r="17" spans="7:13" x14ac:dyDescent="0.3">
      <c r="G17" t="str">
        <f>IF('3 IF Logic'!D17&gt;75000,"High","Normal")</f>
        <v>Normal</v>
      </c>
      <c r="I17" t="str">
        <f>IF(AND('3 IF Logic'!E17&gt;=4,'3 IF Logic'!F17&gt;=3),"Yes","No")</f>
        <v>Yes</v>
      </c>
      <c r="K17" t="str">
        <f>IF(OR('3 IF Logic'!C17="Sales",'3 IF Logic'!E17=5),"Bonus","No Bonus")</f>
        <v>Bonus</v>
      </c>
      <c r="M17" t="str">
        <f>IF('3 IF Logic'!E17=5,"A",IF('3 IF Logic'!E17&gt;=4,"B",IF('3 IF Logic'!E17&gt;=3,"C","D")))</f>
        <v>A</v>
      </c>
    </row>
    <row r="18" spans="7:13" x14ac:dyDescent="0.3">
      <c r="G18" t="str">
        <f>IF('3 IF Logic'!D18&gt;75000,"High","Normal")</f>
        <v>Normal</v>
      </c>
      <c r="I18" t="str">
        <f>IF(AND('3 IF Logic'!E18&gt;=4,'3 IF Logic'!F18&gt;=3),"Yes","No")</f>
        <v>No</v>
      </c>
      <c r="K18" t="str">
        <f>IF(OR('3 IF Logic'!C18="Sales",'3 IF Logic'!E18=5),"Bonus","No Bonus")</f>
        <v>No Bonus</v>
      </c>
      <c r="M18" t="str">
        <f>IF('3 IF Logic'!E18=5,"A",IF('3 IF Logic'!E18&gt;=4,"B",IF('3 IF Logic'!E18&gt;=3,"C","D")))</f>
        <v>D</v>
      </c>
    </row>
    <row r="19" spans="7:13" x14ac:dyDescent="0.3">
      <c r="G19" t="str">
        <f>IF('3 IF Logic'!D19&gt;75000,"High","Normal")</f>
        <v>Normal</v>
      </c>
      <c r="I19" t="str">
        <f>IF(AND('3 IF Logic'!E19&gt;=4,'3 IF Logic'!F19&gt;=3),"Yes","No")</f>
        <v>Yes</v>
      </c>
      <c r="K19" t="str">
        <f>IF(OR('3 IF Logic'!C19="Sales",'3 IF Logic'!E19=5),"Bonus","No Bonus")</f>
        <v>Bonus</v>
      </c>
      <c r="M19" t="str">
        <f>IF('3 IF Logic'!E19=5,"A",IF('3 IF Logic'!E19&gt;=4,"B",IF('3 IF Logic'!E19&gt;=3,"C","D")))</f>
        <v>A</v>
      </c>
    </row>
    <row r="20" spans="7:13" x14ac:dyDescent="0.3">
      <c r="G20" t="str">
        <f>IF('3 IF Logic'!D20&gt;75000,"High","Normal")</f>
        <v>High</v>
      </c>
      <c r="I20" t="str">
        <f>IF(AND('3 IF Logic'!E20&gt;=4,'3 IF Logic'!F20&gt;=3),"Yes","No")</f>
        <v>No</v>
      </c>
      <c r="K20" t="str">
        <f>IF(OR('3 IF Logic'!C20="Sales",'3 IF Logic'!E20=5),"Bonus","No Bonus")</f>
        <v>No Bonus</v>
      </c>
      <c r="M20" t="str">
        <f>IF('3 IF Logic'!E20=5,"A",IF('3 IF Logic'!E20&gt;=4,"B",IF('3 IF Logic'!E20&gt;=3,"C","D")))</f>
        <v>D</v>
      </c>
    </row>
    <row r="21" spans="7:13" x14ac:dyDescent="0.3">
      <c r="G21" t="str">
        <f>IF('3 IF Logic'!D21&gt;75000,"High","Normal")</f>
        <v>High</v>
      </c>
      <c r="I21" t="str">
        <f>IF(AND('3 IF Logic'!E21&gt;=4,'3 IF Logic'!F21&gt;=3),"Yes","No")</f>
        <v>No</v>
      </c>
      <c r="K21" t="str">
        <f>IF(OR('3 IF Logic'!C21="Sales",'3 IF Logic'!E21=5),"Bonus","No Bonus")</f>
        <v>No Bonus</v>
      </c>
      <c r="M21" t="str">
        <f>IF('3 IF Logic'!E21=5,"A",IF('3 IF Logic'!E21&gt;=4,"B",IF('3 IF Logic'!E21&gt;=3,"C","D")))</f>
        <v>D</v>
      </c>
    </row>
    <row r="22" spans="7:13" x14ac:dyDescent="0.3">
      <c r="G22" t="str">
        <f>IF('3 IF Logic'!D22&gt;75000,"High","Normal")</f>
        <v>Normal</v>
      </c>
      <c r="I22" t="str">
        <f>IF(AND('3 IF Logic'!E22&gt;=4,'3 IF Logic'!F22&gt;=3),"Yes","No")</f>
        <v>No</v>
      </c>
      <c r="K22" t="str">
        <f>IF(OR('3 IF Logic'!C22="Sales",'3 IF Logic'!E22=5),"Bonus","No Bonus")</f>
        <v>No Bonus</v>
      </c>
      <c r="M22" t="str">
        <f>IF('3 IF Logic'!E22=5,"A",IF('3 IF Logic'!E22&gt;=4,"B",IF('3 IF Logic'!E22&gt;=3,"C","D")))</f>
        <v>D</v>
      </c>
    </row>
    <row r="23" spans="7:13" x14ac:dyDescent="0.3">
      <c r="G23" t="str">
        <f>IF('3 IF Logic'!D23&gt;75000,"High","Normal")</f>
        <v>Normal</v>
      </c>
      <c r="I23" t="str">
        <f>IF(AND('3 IF Logic'!E23&gt;=4,'3 IF Logic'!F23&gt;=3),"Yes","No")</f>
        <v>No</v>
      </c>
      <c r="K23" t="str">
        <f>IF(OR('3 IF Logic'!C23="Sales",'3 IF Logic'!E23=5),"Bonus","No Bonus")</f>
        <v>Bonus</v>
      </c>
      <c r="M23" t="str">
        <f>IF('3 IF Logic'!E23=5,"A",IF('3 IF Logic'!E23&gt;=4,"B",IF('3 IF Logic'!E23&gt;=3,"C","D")))</f>
        <v>D</v>
      </c>
    </row>
    <row r="24" spans="7:13" x14ac:dyDescent="0.3">
      <c r="G24" t="str">
        <f>IF('3 IF Logic'!D24&gt;75000,"High","Normal")</f>
        <v>Normal</v>
      </c>
      <c r="I24" t="str">
        <f>IF(AND('3 IF Logic'!E24&gt;=4,'3 IF Logic'!F24&gt;=3),"Yes","No")</f>
        <v>No</v>
      </c>
      <c r="K24" t="str">
        <f>IF(OR('3 IF Logic'!C24="Sales",'3 IF Logic'!E24=5),"Bonus","No Bonus")</f>
        <v>No Bonus</v>
      </c>
      <c r="M24" t="str">
        <f>IF('3 IF Logic'!E24=5,"A",IF('3 IF Logic'!E24&gt;=4,"B",IF('3 IF Logic'!E24&gt;=3,"C","D")))</f>
        <v>D</v>
      </c>
    </row>
  </sheetData>
  <pageMargins left="0.75" right="0.75" top="1" bottom="1"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D5:D12"/>
  <sheetViews>
    <sheetView zoomScaleNormal="100" workbookViewId="0"/>
  </sheetViews>
  <sheetFormatPr defaultColWidth="8.6640625" defaultRowHeight="14.4" x14ac:dyDescent="0.3"/>
  <sheetData>
    <row r="5" spans="4:4" x14ac:dyDescent="0.3">
      <c r="D5">
        <f>COUNTIF(Employees!$E$2:$E$21,"Karnataka")</f>
        <v>4</v>
      </c>
    </row>
    <row r="6" spans="4:4" x14ac:dyDescent="0.3">
      <c r="D6">
        <f>COUNTIF(Employees!$E$2:$E$21,"Gujarat")+COUNTIF(Employees!$E$2:$E$21,"Karnataka")</f>
        <v>6</v>
      </c>
    </row>
    <row r="7" spans="4:4" x14ac:dyDescent="0.3">
      <c r="D7">
        <f>COUNTIFS(Employees!$C$2:$C$21,"Sales",Employees!$D$2:$D$21,"Mumbai")</f>
        <v>4</v>
      </c>
    </row>
    <row r="8" spans="4:4" x14ac:dyDescent="0.3">
      <c r="D8" t="str">
        <f>INDEX(Employees!$B$2:$B$21,MATCH(MAX(Employees!$G$2:$G$21),Employees!$G$2:$G$21,0))</f>
        <v>Sneha Iyer</v>
      </c>
    </row>
    <row r="9" spans="4:4" x14ac:dyDescent="0.3">
      <c r="D9" t="str">
        <f>INDEX(Employees!$B$2:$B$21,MATCH(LARGE(Employees!$G$2:$G$21,3),Employees!$G$2:$G$21,0))</f>
        <v>Neha Kapoor</v>
      </c>
    </row>
    <row r="10" spans="4:4" x14ac:dyDescent="0.3">
      <c r="D10" t="str">
        <f>INDEX(Employees!$B$2:$B$21,MATCH(MIN(Employees!$F$2:$F$21),Employees!$F$2:$F$21,0))</f>
        <v>Priya Patel</v>
      </c>
    </row>
    <row r="11" spans="4:4" x14ac:dyDescent="0.3">
      <c r="D11">
        <f>COUNTIF(Employees!$G$2:$G$21,"&gt;75000")</f>
        <v>6</v>
      </c>
    </row>
    <row r="12" spans="4:4" x14ac:dyDescent="0.3">
      <c r="D12">
        <f>COUNTIF(Employees!$G$2:$G$21,"&lt;"&amp;AVERAGE(Employees!$G$2:$G$21))</f>
        <v>11</v>
      </c>
    </row>
  </sheetData>
  <pageMargins left="0.75" right="0.75" top="1" bottom="1"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B6:D29"/>
  <sheetViews>
    <sheetView zoomScaleNormal="100" workbookViewId="0"/>
  </sheetViews>
  <sheetFormatPr defaultColWidth="8.6640625" defaultRowHeight="14.4" x14ac:dyDescent="0.3"/>
  <sheetData>
    <row r="6" spans="2:4" x14ac:dyDescent="0.3">
      <c r="B6">
        <f>VLOOKUP('5 Lookups'!A6,Employees!$A$2:$H$21,7,0)</f>
        <v>78500</v>
      </c>
      <c r="D6" t="str">
        <f>VLOOKUP('5 Lookups'!A6,Employees!$A$2:$H$21,4,0)</f>
        <v>Delhi</v>
      </c>
    </row>
    <row r="7" spans="2:4" x14ac:dyDescent="0.3">
      <c r="B7">
        <f>VLOOKUP('5 Lookups'!A7,Employees!$A$2:$H$21,7,0)</f>
        <v>35000</v>
      </c>
      <c r="D7" t="str">
        <f>VLOOKUP('5 Lookups'!A7,Employees!$A$2:$H$21,4,0)</f>
        <v>Mumbai</v>
      </c>
    </row>
    <row r="8" spans="2:4" x14ac:dyDescent="0.3">
      <c r="B8">
        <f>VLOOKUP('5 Lookups'!A8,Employees!$A$2:$H$21,7,0)</f>
        <v>75000</v>
      </c>
      <c r="D8" t="str">
        <f>VLOOKUP('5 Lookups'!A8,Employees!$A$2:$H$21,4,0)</f>
        <v>Mumbai</v>
      </c>
    </row>
    <row r="9" spans="2:4" x14ac:dyDescent="0.3">
      <c r="B9">
        <f>VLOOKUP('5 Lookups'!A9,Employees!$A$2:$H$21,7,0)</f>
        <v>83500</v>
      </c>
      <c r="D9" t="str">
        <f>VLOOKUP('5 Lookups'!A9,Employees!$A$2:$H$21,4,0)</f>
        <v>Delhi</v>
      </c>
    </row>
    <row r="10" spans="2:4" x14ac:dyDescent="0.3">
      <c r="B10">
        <f>VLOOKUP('5 Lookups'!A10,Employees!$A$2:$H$21,7,0)</f>
        <v>58500</v>
      </c>
      <c r="D10" t="str">
        <f>VLOOKUP('5 Lookups'!A10,Employees!$A$2:$H$21,4,0)</f>
        <v>Mumbai</v>
      </c>
    </row>
    <row r="11" spans="2:4" x14ac:dyDescent="0.3">
      <c r="B11">
        <f>VLOOKUP('5 Lookups'!A11,Employees!$A$2:$H$21,7,0)</f>
        <v>69000</v>
      </c>
      <c r="D11" t="str">
        <f>VLOOKUP('5 Lookups'!A11,Employees!$A$2:$H$21,4,0)</f>
        <v>Mumbai</v>
      </c>
    </row>
    <row r="15" spans="2:4" x14ac:dyDescent="0.3">
      <c r="B15" t="str">
        <f>INDEX(Employees!$A$2:$A$21,MATCH('5 Lookups'!A15,Employees!$B$2:$B$21,0))</f>
        <v>E008</v>
      </c>
      <c r="D15" t="str">
        <f>INDEX(Employees!$C$2:$C$21,MATCH('5 Lookups'!A15,Employees!$B$2:$B$21,0))</f>
        <v>IT</v>
      </c>
    </row>
    <row r="16" spans="2:4" x14ac:dyDescent="0.3">
      <c r="B16" t="str">
        <f>INDEX(Employees!$A$2:$A$21,MATCH('5 Lookups'!A16,Employees!$B$2:$B$21,0))</f>
        <v>E011</v>
      </c>
      <c r="D16" t="str">
        <f>INDEX(Employees!$C$2:$C$21,MATCH('5 Lookups'!A16,Employees!$B$2:$B$21,0))</f>
        <v>IT</v>
      </c>
    </row>
    <row r="17" spans="2:4" x14ac:dyDescent="0.3">
      <c r="B17" t="str">
        <f>INDEX(Employees!$A$2:$A$21,MATCH('5 Lookups'!A17,Employees!$B$2:$B$21,0))</f>
        <v>E020</v>
      </c>
      <c r="D17" t="str">
        <f>INDEX(Employees!$C$2:$C$21,MATCH('5 Lookups'!A17,Employees!$B$2:$B$21,0))</f>
        <v>IT</v>
      </c>
    </row>
    <row r="18" spans="2:4" x14ac:dyDescent="0.3">
      <c r="B18" t="str">
        <f>INDEX(Employees!$A$2:$A$21,MATCH('5 Lookups'!A18,Employees!$B$2:$B$21,0))</f>
        <v>E007</v>
      </c>
      <c r="D18" t="str">
        <f>INDEX(Employees!$C$2:$C$21,MATCH('5 Lookups'!A18,Employees!$B$2:$B$21,0))</f>
        <v>Sales</v>
      </c>
    </row>
    <row r="19" spans="2:4" x14ac:dyDescent="0.3">
      <c r="B19" t="str">
        <f>INDEX(Employees!$A$2:$A$21,MATCH('5 Lookups'!A19,Employees!$B$2:$B$21,0))</f>
        <v>E014</v>
      </c>
      <c r="D19" t="str">
        <f>INDEX(Employees!$C$2:$C$21,MATCH('5 Lookups'!A19,Employees!$B$2:$B$21,0))</f>
        <v>Finance</v>
      </c>
    </row>
    <row r="20" spans="2:4" x14ac:dyDescent="0.3">
      <c r="B20" t="str">
        <f>INDEX(Employees!$A$2:$A$21,MATCH('5 Lookups'!A20,Employees!$B$2:$B$21,0))</f>
        <v>E009</v>
      </c>
      <c r="D20" t="str">
        <f>INDEX(Employees!$C$2:$C$21,MATCH('5 Lookups'!A20,Employees!$B$2:$B$21,0))</f>
        <v>Finance</v>
      </c>
    </row>
    <row r="24" spans="2:4" x14ac:dyDescent="0.3">
      <c r="B24">
        <f>VLOOKUP('5 Lookups'!A24,'5 Lookups'!$G$24:$H$28,2,1)</f>
        <v>0.05</v>
      </c>
      <c r="D24">
        <f>'5 Lookups'!A24*VLOOKUP('5 Lookups'!A24,'5 Lookups'!$G$24:$H$28,2,1)</f>
        <v>1750</v>
      </c>
    </row>
    <row r="25" spans="2:4" x14ac:dyDescent="0.3">
      <c r="B25">
        <f>VLOOKUP('5 Lookups'!A25,'5 Lookups'!$G$24:$H$28,2,1)</f>
        <v>0.1</v>
      </c>
      <c r="D25">
        <f>'5 Lookups'!A25*VLOOKUP('5 Lookups'!A25,'5 Lookups'!$G$24:$H$28,2,1)</f>
        <v>6000</v>
      </c>
    </row>
    <row r="26" spans="2:4" x14ac:dyDescent="0.3">
      <c r="B26">
        <f>VLOOKUP('5 Lookups'!A26,'5 Lookups'!$G$24:$H$28,2,1)</f>
        <v>0.1</v>
      </c>
      <c r="D26">
        <f>'5 Lookups'!A26*VLOOKUP('5 Lookups'!A26,'5 Lookups'!$G$24:$H$28,2,1)</f>
        <v>7950</v>
      </c>
    </row>
    <row r="27" spans="2:4" x14ac:dyDescent="0.3">
      <c r="B27">
        <f>VLOOKUP('5 Lookups'!A27,'5 Lookups'!$G$24:$H$28,2,1)</f>
        <v>0.15</v>
      </c>
      <c r="D27">
        <f>'5 Lookups'!A27*VLOOKUP('5 Lookups'!A27,'5 Lookups'!$G$24:$H$28,2,1)</f>
        <v>15000</v>
      </c>
    </row>
    <row r="28" spans="2:4" x14ac:dyDescent="0.3">
      <c r="B28">
        <f>VLOOKUP('5 Lookups'!A28,'5 Lookups'!$G$24:$H$28,2,1)</f>
        <v>0.08</v>
      </c>
      <c r="D28">
        <f>'5 Lookups'!A28*VLOOKUP('5 Lookups'!A28,'5 Lookups'!$G$24:$H$28,2,1)</f>
        <v>4160</v>
      </c>
    </row>
    <row r="29" spans="2:4" x14ac:dyDescent="0.3">
      <c r="B29">
        <f>VLOOKUP('5 Lookups'!A29,'5 Lookups'!$G$24:$H$28,2,1)</f>
        <v>0.15</v>
      </c>
      <c r="D29">
        <f>'5 Lookups'!A29*VLOOKUP('5 Lookups'!A29,'5 Lookups'!$G$24:$H$28,2,1)</f>
        <v>17700</v>
      </c>
    </row>
  </sheetData>
  <pageMargins left="0.75" right="0.75" top="1" bottom="1" header="0.511811023622047" footer="0.511811023622047"/>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D5:D13"/>
  <sheetViews>
    <sheetView zoomScaleNormal="100" workbookViewId="0"/>
  </sheetViews>
  <sheetFormatPr defaultColWidth="8.6640625" defaultRowHeight="14.4" x14ac:dyDescent="0.3"/>
  <sheetData>
    <row r="5" spans="4:4" x14ac:dyDescent="0.3">
      <c r="D5">
        <f>SUMIF(Sales!$C$2:$C$61,"Chennai",Sales!$H$2:$H$61)</f>
        <v>631600</v>
      </c>
    </row>
    <row r="6" spans="4:4" x14ac:dyDescent="0.3">
      <c r="D6">
        <f>COUNTIF(Sales!$C$2:$C$61,"Mumbai")</f>
        <v>5</v>
      </c>
    </row>
    <row r="7" spans="4:4" x14ac:dyDescent="0.3">
      <c r="D7">
        <f>SUMIF(Sales!$D$2:$D$61,"Mouse",Sales!$F$2:$F$61)</f>
        <v>132</v>
      </c>
    </row>
    <row r="8" spans="4:4" x14ac:dyDescent="0.3">
      <c r="D8">
        <f>SUMIFS(Sales!$H$2:$H$61,Sales!$D$2:$D$61,"Laptop",Sales!$C$2:$C$61,"Bengaluru")</f>
        <v>330000</v>
      </c>
    </row>
    <row r="9" spans="4:4" x14ac:dyDescent="0.3">
      <c r="D9">
        <f>AVERAGEIF(Sales!$D$2:$D$61,"Printer",Sales!$H$2:$H$61)</f>
        <v>27000</v>
      </c>
    </row>
    <row r="10" spans="4:4" x14ac:dyDescent="0.3">
      <c r="D10">
        <f>COUNTIF(Sales!$H$2:$H$61,"&gt;50000")</f>
        <v>17</v>
      </c>
    </row>
    <row r="11" spans="4:4" x14ac:dyDescent="0.3">
      <c r="D11">
        <f>SUMIFS(Sales!$H$2:$H$61,Sales!$B$2:$B$61,"&gt;="&amp;DATE(2026,3,1),Sales!$B$2:$B$61,"&lt;="&amp;DATE(2026,3,31))</f>
        <v>1555700</v>
      </c>
    </row>
    <row r="12" spans="4:4" x14ac:dyDescent="0.3">
      <c r="D12">
        <f>SUMPRODUCT(MAX((Sales!$C$2:$C$61="Delhi")*Sales!$H$2:$H$61))</f>
        <v>220000</v>
      </c>
    </row>
    <row r="13" spans="4:4" x14ac:dyDescent="0.3">
      <c r="D13">
        <f>COUNTIFS(Sales!$C$2:$C$61,"Pune",Sales!$E$2:$E$61,"Accessories")</f>
        <v>6</v>
      </c>
    </row>
  </sheetData>
  <pageMargins left="0.75" right="0.75" top="1" bottom="1"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dimension ref="D6:L15"/>
  <sheetViews>
    <sheetView zoomScaleNormal="100" workbookViewId="0"/>
  </sheetViews>
  <sheetFormatPr defaultColWidth="8.6640625" defaultRowHeight="14.4" x14ac:dyDescent="0.3"/>
  <sheetData>
    <row r="6" spans="4:12" x14ac:dyDescent="0.3">
      <c r="D6">
        <f>YEAR('7 Dates'!C6)</f>
        <v>2021</v>
      </c>
      <c r="F6" t="str">
        <f>TEXT('7 Dates'!C6,"mmmm")</f>
        <v>March</v>
      </c>
      <c r="H6">
        <f>DATEDIF('7 Dates'!C6,'7 Dates'!$C$3,"Y")</f>
        <v>5</v>
      </c>
      <c r="J6">
        <f>EOMONTH('7 Dates'!C6,0)</f>
        <v>44286</v>
      </c>
      <c r="L6" t="str">
        <f>TEXT('7 Dates'!C6,"dddd")</f>
        <v>Sunday</v>
      </c>
    </row>
    <row r="7" spans="4:12" x14ac:dyDescent="0.3">
      <c r="D7">
        <f>YEAR('7 Dates'!C7)</f>
        <v>2015</v>
      </c>
      <c r="F7" t="str">
        <f>TEXT('7 Dates'!C7,"mmmm")</f>
        <v>August</v>
      </c>
      <c r="H7">
        <f>DATEDIF('7 Dates'!C7,'7 Dates'!$C$3,"Y")</f>
        <v>10</v>
      </c>
      <c r="J7">
        <f>EOMONTH('7 Dates'!C7,0)</f>
        <v>42247</v>
      </c>
      <c r="L7" t="str">
        <f>TEXT('7 Dates'!C7,"dddd")</f>
        <v>Monday</v>
      </c>
    </row>
    <row r="8" spans="4:12" x14ac:dyDescent="0.3">
      <c r="D8">
        <f>YEAR('7 Dates'!C8)</f>
        <v>2016</v>
      </c>
      <c r="F8" t="str">
        <f>TEXT('7 Dates'!C8,"mmmm")</f>
        <v>May</v>
      </c>
      <c r="H8">
        <f>DATEDIF('7 Dates'!C8,'7 Dates'!$C$3,"Y")</f>
        <v>9</v>
      </c>
      <c r="J8">
        <f>EOMONTH('7 Dates'!C8,0)</f>
        <v>42521</v>
      </c>
      <c r="L8" t="str">
        <f>TEXT('7 Dates'!C8,"dddd")</f>
        <v>Sunday</v>
      </c>
    </row>
    <row r="9" spans="4:12" x14ac:dyDescent="0.3">
      <c r="D9">
        <f>YEAR('7 Dates'!C9)</f>
        <v>2022</v>
      </c>
      <c r="F9" t="str">
        <f>TEXT('7 Dates'!C9,"mmmm")</f>
        <v>January</v>
      </c>
      <c r="H9">
        <f>DATEDIF('7 Dates'!C9,'7 Dates'!$C$3,"Y")</f>
        <v>4</v>
      </c>
      <c r="J9">
        <f>EOMONTH('7 Dates'!C9,0)</f>
        <v>44592</v>
      </c>
      <c r="L9" t="str">
        <f>TEXT('7 Dates'!C9,"dddd")</f>
        <v>Thursday</v>
      </c>
    </row>
    <row r="10" spans="4:12" x14ac:dyDescent="0.3">
      <c r="D10">
        <f>YEAR('7 Dates'!C10)</f>
        <v>2025</v>
      </c>
      <c r="F10" t="str">
        <f>TEXT('7 Dates'!C10,"mmmm")</f>
        <v>August</v>
      </c>
      <c r="H10">
        <f>DATEDIF('7 Dates'!C10,'7 Dates'!$C$3,"Y")</f>
        <v>0</v>
      </c>
      <c r="J10">
        <f>EOMONTH('7 Dates'!C10,0)</f>
        <v>45900</v>
      </c>
      <c r="L10" t="str">
        <f>TEXT('7 Dates'!C10,"dddd")</f>
        <v>Sunday</v>
      </c>
    </row>
    <row r="11" spans="4:12" x14ac:dyDescent="0.3">
      <c r="D11">
        <f>YEAR('7 Dates'!C11)</f>
        <v>2021</v>
      </c>
      <c r="F11" t="str">
        <f>TEXT('7 Dates'!C11,"mmmm")</f>
        <v>June</v>
      </c>
      <c r="H11">
        <f>DATEDIF('7 Dates'!C11,'7 Dates'!$C$3,"Y")</f>
        <v>4</v>
      </c>
      <c r="J11">
        <f>EOMONTH('7 Dates'!C11,0)</f>
        <v>44377</v>
      </c>
      <c r="L11" t="str">
        <f>TEXT('7 Dates'!C11,"dddd")</f>
        <v>Monday</v>
      </c>
    </row>
    <row r="12" spans="4:12" x14ac:dyDescent="0.3">
      <c r="D12">
        <f>YEAR('7 Dates'!C12)</f>
        <v>2019</v>
      </c>
      <c r="F12" t="str">
        <f>TEXT('7 Dates'!C12,"mmmm")</f>
        <v>June</v>
      </c>
      <c r="H12">
        <f>DATEDIF('7 Dates'!C12,'7 Dates'!$C$3,"Y")</f>
        <v>6</v>
      </c>
      <c r="J12">
        <f>EOMONTH('7 Dates'!C12,0)</f>
        <v>43646</v>
      </c>
      <c r="L12" t="str">
        <f>TEXT('7 Dates'!C12,"dddd")</f>
        <v>Thursday</v>
      </c>
    </row>
    <row r="13" spans="4:12" x14ac:dyDescent="0.3">
      <c r="D13">
        <f>YEAR('7 Dates'!C13)</f>
        <v>2017</v>
      </c>
      <c r="F13" t="str">
        <f>TEXT('7 Dates'!C13,"mmmm")</f>
        <v>June</v>
      </c>
      <c r="H13">
        <f>DATEDIF('7 Dates'!C13,'7 Dates'!$C$3,"Y")</f>
        <v>8</v>
      </c>
      <c r="J13">
        <f>EOMONTH('7 Dates'!C13,0)</f>
        <v>42916</v>
      </c>
      <c r="L13" t="str">
        <f>TEXT('7 Dates'!C13,"dddd")</f>
        <v>Saturday</v>
      </c>
    </row>
    <row r="14" spans="4:12" x14ac:dyDescent="0.3">
      <c r="D14">
        <f>YEAR('7 Dates'!C14)</f>
        <v>2021</v>
      </c>
      <c r="F14" t="str">
        <f>TEXT('7 Dates'!C14,"mmmm")</f>
        <v>March</v>
      </c>
      <c r="H14">
        <f>DATEDIF('7 Dates'!C14,'7 Dates'!$C$3,"Y")</f>
        <v>5</v>
      </c>
      <c r="J14">
        <f>EOMONTH('7 Dates'!C14,0)</f>
        <v>44286</v>
      </c>
      <c r="L14" t="str">
        <f>TEXT('7 Dates'!C14,"dddd")</f>
        <v>Tuesday</v>
      </c>
    </row>
    <row r="15" spans="4:12" x14ac:dyDescent="0.3">
      <c r="D15">
        <f>YEAR('7 Dates'!C15)</f>
        <v>2018</v>
      </c>
      <c r="F15" t="str">
        <f>TEXT('7 Dates'!C15,"mmmm")</f>
        <v>April</v>
      </c>
      <c r="H15">
        <f>DATEDIF('7 Dates'!C15,'7 Dates'!$C$3,"Y")</f>
        <v>7</v>
      </c>
      <c r="J15">
        <f>EOMONTH('7 Dates'!C15,0)</f>
        <v>43220</v>
      </c>
      <c r="L15" t="str">
        <f>TEXT('7 Dates'!C15,"dddd")</f>
        <v>Sunday</v>
      </c>
    </row>
  </sheetData>
  <pageMargins left="0.75" right="0.75" top="1" bottom="1" header="0.511811023622047" footer="0.511811023622047"/>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D2:L14"/>
  <sheetViews>
    <sheetView zoomScaleNormal="100" workbookViewId="0"/>
  </sheetViews>
  <sheetFormatPr defaultColWidth="8.6640625" defaultRowHeight="14.4" x14ac:dyDescent="0.3"/>
  <sheetData>
    <row r="2" spans="4:12" x14ac:dyDescent="0.3">
      <c r="H2" t="s">
        <v>246</v>
      </c>
      <c r="I2">
        <f>SUMIF(Sales!$C$2:$C$61,H2,Sales!$H$2:$H$61)</f>
        <v>372000</v>
      </c>
      <c r="K2" t="s">
        <v>277</v>
      </c>
      <c r="L2">
        <f>SUMIF(Sales!$D$2:$D$61,K2,Sales!$F$2:$F$61)</f>
        <v>41</v>
      </c>
    </row>
    <row r="3" spans="4:12" x14ac:dyDescent="0.3">
      <c r="H3" t="s">
        <v>251</v>
      </c>
      <c r="I3">
        <f>SUMIF(Sales!$C$2:$C$61,H3,Sales!$H$2:$H$61)</f>
        <v>372900</v>
      </c>
      <c r="K3" t="s">
        <v>268</v>
      </c>
      <c r="L3">
        <f>SUMIF(Sales!$D$2:$D$61,K3,Sales!$F$2:$F$61)</f>
        <v>51</v>
      </c>
    </row>
    <row r="4" spans="4:12" x14ac:dyDescent="0.3">
      <c r="H4" t="s">
        <v>248</v>
      </c>
      <c r="I4">
        <f>SUMIF(Sales!$C$2:$C$61,H4,Sales!$H$2:$H$61)</f>
        <v>501000</v>
      </c>
      <c r="K4" t="s">
        <v>264</v>
      </c>
      <c r="L4">
        <f>SUMIF(Sales!$D$2:$D$61,K4,Sales!$F$2:$F$61)</f>
        <v>36</v>
      </c>
    </row>
    <row r="5" spans="4:12" x14ac:dyDescent="0.3">
      <c r="D5">
        <f>SUM(Sales!$H$2:$H$61)</f>
        <v>3343700</v>
      </c>
      <c r="H5" t="s">
        <v>252</v>
      </c>
      <c r="I5">
        <f>SUMIF(Sales!$C$2:$C$61,H5,Sales!$H$2:$H$61)</f>
        <v>599400</v>
      </c>
      <c r="K5" t="s">
        <v>287</v>
      </c>
      <c r="L5">
        <f>SUMIF(Sales!$D$2:$D$61,K5,Sales!$F$2:$F$61)</f>
        <v>49</v>
      </c>
    </row>
    <row r="6" spans="4:12" x14ac:dyDescent="0.3">
      <c r="D6" t="str">
        <f>INDEX(k_8!H2:H7,MATCH(MAX(k_8!I2:I7),k_8!I2:I7,0))</f>
        <v>Delhi</v>
      </c>
      <c r="H6" t="s">
        <v>250</v>
      </c>
      <c r="I6">
        <f>SUMIF(Sales!$C$2:$C$61,H6,Sales!$H$2:$H$61)</f>
        <v>866800</v>
      </c>
      <c r="K6" t="s">
        <v>274</v>
      </c>
      <c r="L6">
        <f>SUMIF(Sales!$D$2:$D$61,K6,Sales!$F$2:$F$61)</f>
        <v>132</v>
      </c>
    </row>
    <row r="7" spans="4:12" x14ac:dyDescent="0.3">
      <c r="D7">
        <f>SUMIF(Sales!$C$2:$C$61,"Bengaluru",Sales!$H$2:$H$61)</f>
        <v>501000</v>
      </c>
      <c r="H7" t="s">
        <v>254</v>
      </c>
      <c r="I7">
        <f>SUMIF(Sales!$C$2:$C$61,H7,Sales!$H$2:$H$61)</f>
        <v>631600</v>
      </c>
    </row>
    <row r="8" spans="4:12" x14ac:dyDescent="0.3">
      <c r="D8" t="str">
        <f>INDEX(k_8!K2:K6,MATCH(MAX(k_8!L2:L6),k_8!L2:L6,0))</f>
        <v>Mouse</v>
      </c>
    </row>
    <row r="9" spans="4:12" x14ac:dyDescent="0.3">
      <c r="D9">
        <f>SUMIFS(Sales!$H$2:$H$61,Sales!$C$2:$C$61,"Pune",Sales!$D$2:$D$61,"Laptop")</f>
        <v>0</v>
      </c>
    </row>
    <row r="10" spans="4:12" x14ac:dyDescent="0.3">
      <c r="D10">
        <f>SUMIFS(Sales!$H$2:$H$61,Sales!$B$2:$B$61,"&gt;="&amp;DATE(2026,2,1),Sales!$B$2:$B$61,"&lt;="&amp;DATE(2026,2,28))</f>
        <v>690800</v>
      </c>
    </row>
    <row r="11" spans="4:12" x14ac:dyDescent="0.3">
      <c r="D11">
        <f>SUMIF(Sales!$C$2:$C$61,"Mumbai",Sales!$H$2:$H$61)/SUM(Sales!$H$2:$H$61)</f>
        <v>0.11125400005981398</v>
      </c>
    </row>
    <row r="12" spans="4:12" x14ac:dyDescent="0.3">
      <c r="D12">
        <f>SUMIF(Sales!$E$2:$E$61,"Accessories",Sales!$H$2:$H$61)</f>
        <v>152700</v>
      </c>
    </row>
    <row r="13" spans="4:12" x14ac:dyDescent="0.3">
      <c r="D13">
        <f>COUNTIF(Sales!$C$2:$C$61,"Delhi")</f>
        <v>12</v>
      </c>
    </row>
    <row r="14" spans="4:12" x14ac:dyDescent="0.3">
      <c r="D14" t="str">
        <f>INDEX(k_8!H2:H7,MATCH(LARGE(k_8!I2:I7,3),k_8!I2:I7,0))</f>
        <v>Ahmedabad</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Start Here</vt:lpstr>
      <vt:lpstr>1 Formulas</vt:lpstr>
      <vt:lpstr>2 Text</vt:lpstr>
      <vt:lpstr>3 IF Logic</vt:lpstr>
      <vt:lpstr>4 Sort Filter CF</vt:lpstr>
      <vt:lpstr>Employees copy</vt:lpstr>
      <vt:lpstr>5 Lookups</vt:lpstr>
      <vt:lpstr>6 SUMIF COUNTIF</vt:lpstr>
      <vt:lpstr>7 Dates</vt:lpstr>
      <vt:lpstr>8 Pivot</vt:lpstr>
      <vt:lpstr>9 Project</vt:lpstr>
      <vt:lpstr>Dashboard</vt:lpstr>
      <vt:lpstr>Employees</vt:lpstr>
      <vt:lpstr>Sales</vt:lpstr>
      <vt:lpstr>Sales (2)</vt:lpstr>
      <vt:lpstr>Solutions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Faustus 7908</cp:lastModifiedBy>
  <cp:revision>0</cp:revision>
  <dcterms:created xsi:type="dcterms:W3CDTF">2026-09-30T13:56:31Z</dcterms:created>
  <dcterms:modified xsi:type="dcterms:W3CDTF">2026-10-03T07:19:12Z</dcterms:modified>
  <dc:language>en-US</dc:language>
</cp:coreProperties>
</file>