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fcbff1cd22cca/Documentos/Tec/Second Semester/Emprendimiento e Innovacion/"/>
    </mc:Choice>
  </mc:AlternateContent>
  <xr:revisionPtr revIDLastSave="207" documentId="8_{5EDBCC2C-7D4E-564D-B54F-707F914820E3}" xr6:coauthVersionLast="47" xr6:coauthVersionMax="47" xr10:uidLastSave="{C7D50206-14BD-43E5-A2DB-1059733D02D3}"/>
  <bookViews>
    <workbookView xWindow="-108" yWindow="-108" windowWidth="23256" windowHeight="12456" xr2:uid="{D9176F17-D61D-784F-A0AF-D0B5E40AEFD2}"/>
  </bookViews>
  <sheets>
    <sheet name="EQUIPO 1" sheetId="1" r:id="rId1"/>
    <sheet name="MODELO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9" l="1"/>
  <c r="B4" i="1"/>
  <c r="K23" i="1"/>
  <c r="K24" i="1"/>
  <c r="D8" i="19"/>
  <c r="F42" i="1"/>
  <c r="G39" i="1"/>
  <c r="K39" i="1"/>
  <c r="C25" i="1"/>
  <c r="M10" i="19"/>
  <c r="M9" i="19"/>
  <c r="M8" i="19"/>
  <c r="M6" i="19"/>
  <c r="M16" i="19" l="1"/>
  <c r="M12" i="19"/>
  <c r="N12" i="19" s="1"/>
  <c r="N5" i="19" s="1"/>
  <c r="D10" i="19" l="1"/>
  <c r="D9" i="19"/>
  <c r="D6" i="19"/>
  <c r="F10" i="19"/>
  <c r="F9" i="19"/>
  <c r="F8" i="19"/>
  <c r="H10" i="19"/>
  <c r="H9" i="19"/>
  <c r="H8" i="19"/>
  <c r="H6" i="19"/>
  <c r="H16" i="19" l="1"/>
  <c r="D16" i="19"/>
  <c r="H12" i="19"/>
  <c r="I12" i="19" s="1"/>
  <c r="I5" i="19" s="1"/>
  <c r="F16" i="19"/>
  <c r="C24" i="1"/>
  <c r="H25" i="1"/>
  <c r="F12" i="19"/>
  <c r="G12" i="19" s="1"/>
  <c r="G5" i="19" s="1"/>
  <c r="D12" i="19"/>
  <c r="E12" i="19" s="1"/>
  <c r="E5" i="19" s="1"/>
  <c r="I24" i="1" l="1"/>
  <c r="H24" i="1"/>
  <c r="H27" i="1"/>
  <c r="J24" i="1"/>
  <c r="J25" i="1"/>
  <c r="I25" i="1"/>
  <c r="K25" i="1"/>
  <c r="L25" i="1"/>
  <c r="L24" i="1"/>
  <c r="L23" i="1" l="1"/>
  <c r="I23" i="1"/>
  <c r="J23" i="1"/>
  <c r="H23" i="1" l="1"/>
  <c r="J8" i="19" l="1"/>
  <c r="C15" i="1" s="1"/>
  <c r="H15" i="1" s="1"/>
  <c r="I15" i="1" s="1"/>
  <c r="J15" i="1" s="1"/>
  <c r="K15" i="1" s="1"/>
  <c r="L15" i="1" s="1"/>
  <c r="J10" i="19"/>
  <c r="C17" i="1" s="1"/>
  <c r="H17" i="1" s="1"/>
  <c r="I17" i="1" s="1"/>
  <c r="J17" i="1" s="1"/>
  <c r="K17" i="1" s="1"/>
  <c r="L17" i="1" s="1"/>
  <c r="C8" i="1"/>
  <c r="J9" i="19"/>
  <c r="C16" i="1" s="1"/>
  <c r="H16" i="1" s="1"/>
  <c r="I16" i="1" s="1"/>
  <c r="J16" i="1" s="1"/>
  <c r="K16" i="1" s="1"/>
  <c r="L16" i="1" s="1"/>
  <c r="J6" i="19"/>
  <c r="H8" i="1" l="1"/>
  <c r="H7" i="1" s="1"/>
  <c r="C13" i="1"/>
  <c r="J16" i="19"/>
  <c r="C10" i="1"/>
  <c r="J12" i="19"/>
  <c r="I8" i="1" l="1"/>
  <c r="I7" i="1" s="1"/>
  <c r="J39" i="1"/>
  <c r="H13" i="1"/>
  <c r="H12" i="1" s="1"/>
  <c r="C26" i="1"/>
  <c r="G29" i="1" s="1"/>
  <c r="C14" i="1"/>
  <c r="C18" i="1"/>
  <c r="K12" i="19"/>
  <c r="K5" i="19" s="1"/>
  <c r="J8" i="1" l="1"/>
  <c r="J7" i="1" s="1"/>
  <c r="I13" i="1"/>
  <c r="I12" i="1" s="1"/>
  <c r="I19" i="1" s="1"/>
  <c r="I21" i="1" s="1"/>
  <c r="I29" i="1" s="1"/>
  <c r="I31" i="1" s="1"/>
  <c r="G31" i="1"/>
  <c r="J13" i="1" l="1"/>
  <c r="J12" i="1" s="1"/>
  <c r="J19" i="1" s="1"/>
  <c r="J21" i="1" s="1"/>
  <c r="J29" i="1" s="1"/>
  <c r="J31" i="1" s="1"/>
  <c r="K8" i="1"/>
  <c r="K7" i="1" s="1"/>
  <c r="H19" i="1"/>
  <c r="F39" i="1"/>
  <c r="K13" i="1" l="1"/>
  <c r="L13" i="1" s="1"/>
  <c r="L12" i="1" s="1"/>
  <c r="L8" i="1"/>
  <c r="L7" i="1" s="1"/>
  <c r="H21" i="1"/>
  <c r="H29" i="1" s="1"/>
  <c r="H31" i="1" s="1"/>
  <c r="J40" i="1"/>
  <c r="K12" i="1" l="1"/>
  <c r="K19" i="1" s="1"/>
  <c r="K21" i="1" s="1"/>
  <c r="K29" i="1" s="1"/>
  <c r="K31" i="1" s="1"/>
  <c r="L19" i="1"/>
  <c r="L21" i="1" s="1"/>
  <c r="L29" i="1" l="1"/>
  <c r="H34" i="1" l="1"/>
  <c r="J42" i="1" s="1"/>
  <c r="L31" i="1"/>
  <c r="H33" i="1"/>
  <c r="J41" i="1" s="1"/>
</calcChain>
</file>

<file path=xl/sharedStrings.xml><?xml version="1.0" encoding="utf-8"?>
<sst xmlns="http://schemas.openxmlformats.org/spreadsheetml/2006/main" count="92" uniqueCount="75">
  <si>
    <t>INGRESOS</t>
  </si>
  <si>
    <t>AÑO 1</t>
  </si>
  <si>
    <t>ACTIVOS</t>
  </si>
  <si>
    <t>PI</t>
  </si>
  <si>
    <t>AÑO 2</t>
  </si>
  <si>
    <t>AÑO 3</t>
  </si>
  <si>
    <t>AÑO 4</t>
  </si>
  <si>
    <t>AÑO 5</t>
  </si>
  <si>
    <t>COSTOS DE VENTAS</t>
  </si>
  <si>
    <t>GASTOS ADMVOS</t>
  </si>
  <si>
    <t>SUELDOS Y SALARIOS</t>
  </si>
  <si>
    <t>GASTOS DE VENTAS</t>
  </si>
  <si>
    <t>FACTURACIÓN</t>
  </si>
  <si>
    <t>DEPRE/AMOR/FINAN</t>
  </si>
  <si>
    <t>EGRESOS</t>
  </si>
  <si>
    <t>ISR &amp; PTU</t>
  </si>
  <si>
    <t>FLUJO NETO</t>
  </si>
  <si>
    <t>VALOR PRESENTE NETO</t>
  </si>
  <si>
    <t>FLUJO DE EFECTIVO</t>
  </si>
  <si>
    <t>INVERSIÓN</t>
  </si>
  <si>
    <t>TIR</t>
  </si>
  <si>
    <t>NÓMINA</t>
  </si>
  <si>
    <t>EBITDA</t>
  </si>
  <si>
    <t>VENTAS</t>
  </si>
  <si>
    <t>TRADICIONAL</t>
  </si>
  <si>
    <t>TECNOLÓGICO</t>
  </si>
  <si>
    <t>SALUD</t>
  </si>
  <si>
    <t>CTO VTAS</t>
  </si>
  <si>
    <t>ADMIN</t>
  </si>
  <si>
    <t>BM1</t>
  </si>
  <si>
    <t>BM2</t>
  </si>
  <si>
    <t>BM3</t>
  </si>
  <si>
    <t>BM4</t>
  </si>
  <si>
    <t>NON PROF</t>
  </si>
  <si>
    <t>Column1</t>
  </si>
  <si>
    <t>Column2</t>
  </si>
  <si>
    <t>1</t>
  </si>
  <si>
    <t>2</t>
  </si>
  <si>
    <t>3</t>
  </si>
  <si>
    <t>4</t>
  </si>
  <si>
    <t xml:space="preserve">INGRESOS </t>
  </si>
  <si>
    <t>UNIDADES</t>
  </si>
  <si>
    <t>PRECIO UNITARIO</t>
  </si>
  <si>
    <t>COSTO UNITARIO</t>
  </si>
  <si>
    <t>WACC</t>
  </si>
  <si>
    <t>TASAS PERÍODO</t>
  </si>
  <si>
    <t>INCREMENTO EN AF</t>
  </si>
  <si>
    <t xml:space="preserve"> (+)</t>
  </si>
  <si>
    <t xml:space="preserve"> (-)</t>
  </si>
  <si>
    <t>EXCEDENTE (FALTANTE) DE FLUJO</t>
  </si>
  <si>
    <t>´%2</t>
  </si>
  <si>
    <t>´%1</t>
  </si>
  <si>
    <t>´%3</t>
  </si>
  <si>
    <t>´%4</t>
  </si>
  <si>
    <t>REGLAS</t>
  </si>
  <si>
    <t>1)</t>
  </si>
  <si>
    <t>ESTABLECER LOS INGRESOS ANUALES</t>
  </si>
  <si>
    <t xml:space="preserve">2) </t>
  </si>
  <si>
    <t xml:space="preserve">3) </t>
  </si>
  <si>
    <t>FLUJOS DESCONTADOS</t>
  </si>
  <si>
    <t>´%5</t>
  </si>
  <si>
    <t>TU PROYECTO</t>
  </si>
  <si>
    <t>BM5</t>
  </si>
  <si>
    <t>DEFINIR EL % DE COSTOS Y GASTOS, EXCEPTO UTILIDAD EBITDA (CELDAS EN VERDE)</t>
  </si>
  <si>
    <t>ESTABLECER TASAS DE INCREMENTO DE VENTAS, COSTOS Y GASTOS</t>
  </si>
  <si>
    <t xml:space="preserve">4) </t>
  </si>
  <si>
    <t>CHECAR QUE EL VPN SEA POSITIVO Y LA TIR &gt; WACC (WEIGTHED AVERAGE COST OF CAPITAL)</t>
  </si>
  <si>
    <t>EL FLUJO DE EFECTIVO PODRÍA SER NEGATIVO LOS PRIMEROS 2-3 AÑOS, PERO NECESITA CRECER RÁPIDAMENTE EN AÑOS 4-5</t>
  </si>
  <si>
    <t>FLUJO EFEC = INGRESOS - EGRESOS</t>
  </si>
  <si>
    <t>Ingresos</t>
  </si>
  <si>
    <t>aanual</t>
  </si>
  <si>
    <t>Egresos</t>
  </si>
  <si>
    <t>anual</t>
  </si>
  <si>
    <t>VPN</t>
  </si>
  <si>
    <t>Ejemplo para el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</si>
</sst>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$-409]* #,##0_);_([$$-409]* \(#,##0\);_([$$-409]* &quot;-&quot;??_);_(@_)"/>
    <numFmt numFmtId="166" formatCode="_(* #,##0_);_(* \(#,##0\);_(* &quot;-&quot;??_);_(@_)"/>
    <numFmt numFmtId="167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9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Border="1"/>
    <xf numFmtId="0" fontId="0" fillId="4" borderId="7" xfId="0" applyFill="1" applyBorder="1"/>
    <xf numFmtId="0" fontId="0" fillId="3" borderId="0" xfId="0" applyFill="1" applyBorder="1"/>
    <xf numFmtId="0" fontId="0" fillId="3" borderId="7" xfId="0" applyFill="1" applyBorder="1"/>
    <xf numFmtId="0" fontId="1" fillId="0" borderId="0" xfId="0" applyFont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0" borderId="0" xfId="0" applyFont="1" applyBorder="1"/>
    <xf numFmtId="0" fontId="4" fillId="6" borderId="3" xfId="0" applyFont="1" applyFill="1" applyBorder="1" applyAlignment="1">
      <alignment horizontal="center"/>
    </xf>
    <xf numFmtId="166" fontId="0" fillId="0" borderId="0" xfId="1" applyNumberFormat="1" applyFont="1" applyBorder="1"/>
    <xf numFmtId="167" fontId="1" fillId="3" borderId="3" xfId="0" applyNumberFormat="1" applyFont="1" applyFill="1" applyBorder="1"/>
    <xf numFmtId="0" fontId="1" fillId="5" borderId="10" xfId="0" applyFont="1" applyFill="1" applyBorder="1"/>
    <xf numFmtId="0" fontId="0" fillId="5" borderId="11" xfId="0" applyFill="1" applyBorder="1"/>
    <xf numFmtId="1" fontId="0" fillId="4" borderId="0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9" fontId="6" fillId="3" borderId="7" xfId="2" applyFont="1" applyFill="1" applyBorder="1" applyAlignment="1">
      <alignment horizontal="center"/>
    </xf>
    <xf numFmtId="9" fontId="6" fillId="0" borderId="0" xfId="2" applyFont="1" applyBorder="1" applyAlignment="1">
      <alignment horizontal="center"/>
    </xf>
    <xf numFmtId="9" fontId="7" fillId="4" borderId="3" xfId="2" applyFont="1" applyFill="1" applyBorder="1" applyAlignment="1">
      <alignment horizontal="center"/>
    </xf>
    <xf numFmtId="9" fontId="6" fillId="5" borderId="11" xfId="2" applyFont="1" applyFill="1" applyBorder="1" applyAlignment="1">
      <alignment horizontal="center"/>
    </xf>
    <xf numFmtId="9" fontId="6" fillId="4" borderId="3" xfId="2" applyFont="1" applyFill="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4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/>
    </xf>
    <xf numFmtId="0" fontId="4" fillId="6" borderId="7" xfId="0" applyFont="1" applyFill="1" applyBorder="1" applyAlignment="1"/>
    <xf numFmtId="166" fontId="1" fillId="3" borderId="3" xfId="1" applyNumberFormat="1" applyFont="1" applyFill="1" applyBorder="1"/>
    <xf numFmtId="166" fontId="1" fillId="3" borderId="2" xfId="1" applyNumberFormat="1" applyFont="1" applyFill="1" applyBorder="1"/>
    <xf numFmtId="166" fontId="0" fillId="3" borderId="7" xfId="1" applyNumberFormat="1" applyFont="1" applyFill="1" applyBorder="1"/>
    <xf numFmtId="166" fontId="0" fillId="3" borderId="8" xfId="1" applyNumberFormat="1" applyFont="1" applyFill="1" applyBorder="1"/>
    <xf numFmtId="166" fontId="1" fillId="4" borderId="3" xfId="1" applyNumberFormat="1" applyFont="1" applyFill="1" applyBorder="1"/>
    <xf numFmtId="166" fontId="1" fillId="4" borderId="2" xfId="1" applyNumberFormat="1" applyFont="1" applyFill="1" applyBorder="1"/>
    <xf numFmtId="166" fontId="0" fillId="4" borderId="0" xfId="1" applyNumberFormat="1" applyFont="1" applyFill="1" applyBorder="1"/>
    <xf numFmtId="166" fontId="0" fillId="4" borderId="5" xfId="1" applyNumberFormat="1" applyFont="1" applyFill="1" applyBorder="1"/>
    <xf numFmtId="166" fontId="0" fillId="4" borderId="7" xfId="1" applyNumberFormat="1" applyFont="1" applyFill="1" applyBorder="1"/>
    <xf numFmtId="166" fontId="0" fillId="4" borderId="8" xfId="1" applyNumberFormat="1" applyFont="1" applyFill="1" applyBorder="1"/>
    <xf numFmtId="166" fontId="1" fillId="5" borderId="11" xfId="1" applyNumberFormat="1" applyFont="1" applyFill="1" applyBorder="1"/>
    <xf numFmtId="164" fontId="0" fillId="0" borderId="0" xfId="0" applyNumberFormat="1"/>
    <xf numFmtId="166" fontId="0" fillId="3" borderId="0" xfId="1" applyNumberFormat="1" applyFont="1" applyFill="1" applyBorder="1"/>
    <xf numFmtId="166" fontId="0" fillId="3" borderId="5" xfId="1" applyNumberFormat="1" applyFont="1" applyFill="1" applyBorder="1"/>
    <xf numFmtId="9" fontId="6" fillId="2" borderId="12" xfId="2" applyNumberFormat="1" applyFont="1" applyFill="1" applyBorder="1" applyAlignment="1">
      <alignment horizontal="center"/>
    </xf>
    <xf numFmtId="9" fontId="6" fillId="2" borderId="12" xfId="2" applyFont="1" applyFill="1" applyBorder="1" applyAlignment="1">
      <alignment horizontal="center"/>
    </xf>
    <xf numFmtId="0" fontId="1" fillId="4" borderId="10" xfId="0" applyFont="1" applyFill="1" applyBorder="1"/>
    <xf numFmtId="0" fontId="0" fillId="4" borderId="11" xfId="0" applyFill="1" applyBorder="1"/>
    <xf numFmtId="9" fontId="6" fillId="4" borderId="11" xfId="2" applyFont="1" applyFill="1" applyBorder="1" applyAlignment="1">
      <alignment horizontal="center"/>
    </xf>
    <xf numFmtId="166" fontId="1" fillId="4" borderId="11" xfId="1" applyNumberFormat="1" applyFont="1" applyFill="1" applyBorder="1"/>
    <xf numFmtId="166" fontId="6" fillId="5" borderId="11" xfId="2" applyNumberFormat="1" applyFont="1" applyFill="1" applyBorder="1" applyAlignment="1">
      <alignment horizontal="center"/>
    </xf>
    <xf numFmtId="9" fontId="6" fillId="2" borderId="13" xfId="2" applyFont="1" applyFill="1" applyBorder="1" applyAlignment="1">
      <alignment horizontal="center"/>
    </xf>
    <xf numFmtId="166" fontId="1" fillId="4" borderId="9" xfId="1" applyNumberFormat="1" applyFont="1" applyFill="1" applyBorder="1"/>
    <xf numFmtId="166" fontId="0" fillId="2" borderId="14" xfId="1" applyNumberFormat="1" applyFont="1" applyFill="1" applyBorder="1"/>
    <xf numFmtId="0" fontId="6" fillId="0" borderId="4" xfId="0" applyFont="1" applyBorder="1" applyAlignment="1">
      <alignment horizontal="right"/>
    </xf>
    <xf numFmtId="165" fontId="6" fillId="0" borderId="5" xfId="1" applyNumberFormat="1" applyFont="1" applyBorder="1"/>
    <xf numFmtId="0" fontId="0" fillId="5" borderId="1" xfId="0" applyFill="1" applyBorder="1"/>
    <xf numFmtId="0" fontId="1" fillId="5" borderId="3" xfId="0" applyFont="1" applyFill="1" applyBorder="1" applyAlignment="1">
      <alignment horizontal="right"/>
    </xf>
    <xf numFmtId="165" fontId="9" fillId="5" borderId="2" xfId="0" applyNumberFormat="1" applyFont="1" applyFill="1" applyBorder="1"/>
    <xf numFmtId="0" fontId="0" fillId="5" borderId="6" xfId="0" applyFill="1" applyBorder="1"/>
    <xf numFmtId="0" fontId="1" fillId="5" borderId="7" xfId="0" applyFont="1" applyFill="1" applyBorder="1" applyAlignment="1">
      <alignment horizontal="right"/>
    </xf>
    <xf numFmtId="9" fontId="9" fillId="5" borderId="8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165" fontId="6" fillId="3" borderId="5" xfId="1" applyNumberFormat="1" applyFont="1" applyFill="1" applyBorder="1"/>
    <xf numFmtId="0" fontId="0" fillId="4" borderId="4" xfId="0" applyFill="1" applyBorder="1"/>
    <xf numFmtId="0" fontId="6" fillId="4" borderId="4" xfId="0" applyFont="1" applyFill="1" applyBorder="1" applyAlignment="1">
      <alignment horizontal="right"/>
    </xf>
    <xf numFmtId="165" fontId="6" fillId="4" borderId="5" xfId="1" applyNumberFormat="1" applyFont="1" applyFill="1" applyBorder="1"/>
    <xf numFmtId="0" fontId="0" fillId="4" borderId="6" xfId="0" applyFill="1" applyBorder="1"/>
    <xf numFmtId="9" fontId="0" fillId="4" borderId="8" xfId="0" applyNumberFormat="1" applyFill="1" applyBorder="1"/>
    <xf numFmtId="166" fontId="1" fillId="5" borderId="9" xfId="1" applyNumberFormat="1" applyFont="1" applyFill="1" applyBorder="1"/>
    <xf numFmtId="9" fontId="8" fillId="0" borderId="0" xfId="0" applyNumberFormat="1" applyFont="1" applyFill="1" applyAlignment="1">
      <alignment horizontal="center"/>
    </xf>
    <xf numFmtId="0" fontId="8" fillId="0" borderId="15" xfId="0" applyFont="1" applyFill="1" applyBorder="1" applyAlignment="1">
      <alignment horizontal="center"/>
    </xf>
    <xf numFmtId="166" fontId="8" fillId="0" borderId="16" xfId="1" applyNumberFormat="1" applyFont="1" applyFill="1" applyBorder="1" applyAlignment="1">
      <alignment horizontal="center"/>
    </xf>
    <xf numFmtId="9" fontId="0" fillId="0" borderId="16" xfId="2" applyFont="1" applyBorder="1"/>
    <xf numFmtId="166" fontId="0" fillId="0" borderId="16" xfId="0" applyNumberFormat="1" applyFont="1" applyBorder="1"/>
    <xf numFmtId="166" fontId="0" fillId="0" borderId="16" xfId="1" applyNumberFormat="1" applyFont="1" applyBorder="1"/>
    <xf numFmtId="0" fontId="0" fillId="0" borderId="17" xfId="0" applyBorder="1"/>
    <xf numFmtId="0" fontId="0" fillId="0" borderId="18" xfId="0" applyBorder="1"/>
    <xf numFmtId="0" fontId="8" fillId="0" borderId="19" xfId="0" applyFont="1" applyFill="1" applyBorder="1" applyAlignment="1">
      <alignment horizontal="center"/>
    </xf>
    <xf numFmtId="166" fontId="8" fillId="0" borderId="20" xfId="1" applyNumberFormat="1" applyFont="1" applyFill="1" applyBorder="1" applyAlignment="1">
      <alignment horizontal="center"/>
    </xf>
    <xf numFmtId="166" fontId="0" fillId="0" borderId="20" xfId="1" applyNumberFormat="1" applyFont="1" applyBorder="1"/>
    <xf numFmtId="0" fontId="0" fillId="0" borderId="21" xfId="0" applyBorder="1"/>
    <xf numFmtId="0" fontId="8" fillId="0" borderId="22" xfId="0" applyFont="1" applyFill="1" applyBorder="1" applyAlignment="1">
      <alignment horizontal="center"/>
    </xf>
    <xf numFmtId="166" fontId="8" fillId="0" borderId="23" xfId="1" applyNumberFormat="1" applyFont="1" applyFill="1" applyBorder="1" applyAlignment="1">
      <alignment horizontal="center"/>
    </xf>
    <xf numFmtId="166" fontId="0" fillId="0" borderId="23" xfId="1" applyNumberFormat="1" applyFont="1" applyBorder="1"/>
    <xf numFmtId="0" fontId="0" fillId="0" borderId="24" xfId="0" applyBorder="1"/>
    <xf numFmtId="166" fontId="0" fillId="0" borderId="15" xfId="0" applyNumberFormat="1" applyFont="1" applyBorder="1"/>
    <xf numFmtId="166" fontId="0" fillId="0" borderId="17" xfId="0" applyNumberFormat="1" applyFont="1" applyBorder="1"/>
    <xf numFmtId="0" fontId="1" fillId="5" borderId="25" xfId="0" applyFont="1" applyFill="1" applyBorder="1"/>
    <xf numFmtId="0" fontId="0" fillId="5" borderId="26" xfId="0" applyFill="1" applyBorder="1"/>
    <xf numFmtId="166" fontId="6" fillId="5" borderId="26" xfId="2" applyNumberFormat="1" applyFont="1" applyFill="1" applyBorder="1" applyAlignment="1">
      <alignment horizontal="center"/>
    </xf>
    <xf numFmtId="166" fontId="1" fillId="5" borderId="26" xfId="1" applyNumberFormat="1" applyFont="1" applyFill="1" applyBorder="1"/>
    <xf numFmtId="166" fontId="1" fillId="5" borderId="27" xfId="1" applyNumberFormat="1" applyFont="1" applyFill="1" applyBorder="1"/>
    <xf numFmtId="0" fontId="10" fillId="7" borderId="0" xfId="0" applyFont="1" applyFill="1" applyAlignment="1">
      <alignment horizontal="center"/>
    </xf>
    <xf numFmtId="9" fontId="10" fillId="7" borderId="0" xfId="0" applyNumberFormat="1" applyFont="1" applyFill="1" applyAlignment="1">
      <alignment horizontal="center"/>
    </xf>
    <xf numFmtId="166" fontId="0" fillId="8" borderId="15" xfId="0" applyNumberFormat="1" applyFont="1" applyFill="1" applyBorder="1"/>
    <xf numFmtId="166" fontId="0" fillId="9" borderId="16" xfId="0" applyNumberFormat="1" applyFont="1" applyFill="1" applyBorder="1"/>
    <xf numFmtId="9" fontId="0" fillId="8" borderId="16" xfId="2" applyNumberFormat="1" applyFont="1" applyFill="1" applyBorder="1"/>
    <xf numFmtId="9" fontId="0" fillId="9" borderId="16" xfId="2" applyNumberFormat="1" applyFont="1" applyFill="1" applyBorder="1"/>
    <xf numFmtId="166" fontId="0" fillId="8" borderId="16" xfId="0" applyNumberFormat="1" applyFont="1" applyFill="1" applyBorder="1"/>
    <xf numFmtId="166" fontId="0" fillId="9" borderId="20" xfId="1" applyNumberFormat="1" applyFont="1" applyFill="1" applyBorder="1"/>
    <xf numFmtId="166" fontId="0" fillId="8" borderId="17" xfId="0" applyNumberFormat="1" applyFont="1" applyFill="1" applyBorder="1"/>
    <xf numFmtId="0" fontId="8" fillId="8" borderId="19" xfId="0" applyFont="1" applyFill="1" applyBorder="1" applyAlignment="1">
      <alignment horizontal="center"/>
    </xf>
    <xf numFmtId="166" fontId="8" fillId="9" borderId="20" xfId="1" applyNumberFormat="1" applyFont="1" applyFill="1" applyBorder="1" applyAlignment="1">
      <alignment horizontal="center"/>
    </xf>
    <xf numFmtId="166" fontId="0" fillId="8" borderId="20" xfId="1" applyNumberFormat="1" applyFont="1" applyFill="1" applyBorder="1"/>
    <xf numFmtId="0" fontId="0" fillId="8" borderId="21" xfId="0" applyFill="1" applyBorder="1"/>
    <xf numFmtId="166" fontId="0" fillId="10" borderId="20" xfId="1" applyNumberFormat="1" applyFont="1" applyFill="1" applyBorder="1"/>
    <xf numFmtId="9" fontId="0" fillId="11" borderId="16" xfId="2" applyNumberFormat="1" applyFont="1" applyFill="1" applyBorder="1"/>
    <xf numFmtId="9" fontId="0" fillId="10" borderId="16" xfId="2" applyNumberFormat="1" applyFont="1" applyFill="1" applyBorder="1"/>
    <xf numFmtId="0" fontId="0" fillId="0" borderId="28" xfId="0" applyBorder="1"/>
    <xf numFmtId="0" fontId="0" fillId="0" borderId="29" xfId="0" applyBorder="1"/>
    <xf numFmtId="0" fontId="0" fillId="0" borderId="15" xfId="0" applyBorder="1"/>
    <xf numFmtId="0" fontId="0" fillId="0" borderId="30" xfId="0" applyBorder="1"/>
    <xf numFmtId="0" fontId="0" fillId="0" borderId="16" xfId="0" applyBorder="1"/>
    <xf numFmtId="0" fontId="0" fillId="0" borderId="31" xfId="0" applyBorder="1"/>
    <xf numFmtId="0" fontId="1" fillId="0" borderId="28" xfId="0" applyFont="1" applyBorder="1"/>
    <xf numFmtId="0" fontId="1" fillId="0" borderId="30" xfId="0" applyFont="1" applyBorder="1"/>
    <xf numFmtId="0" fontId="1" fillId="0" borderId="31" xfId="0" applyFont="1" applyBorder="1"/>
    <xf numFmtId="166" fontId="0" fillId="0" borderId="0" xfId="0" applyNumberFormat="1" applyBorder="1"/>
    <xf numFmtId="9" fontId="0" fillId="0" borderId="0" xfId="0" applyNumberFormat="1" applyBorder="1"/>
    <xf numFmtId="165" fontId="0" fillId="0" borderId="0" xfId="0" applyNumberFormat="1" applyBorder="1"/>
    <xf numFmtId="9" fontId="0" fillId="0" borderId="18" xfId="0" applyNumberFormat="1" applyBorder="1"/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  <border diagonalUp="0" diagonalDown="0">
        <left style="medium">
          <color theme="1"/>
        </left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8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10C42-DE52-9243-AEE5-7FC01594A2F6}" name="Table1" displayName="Table1" ref="B2:K17" totalsRowShown="0" headerRowDxfId="9" dataDxfId="8">
  <tableColumns count="10">
    <tableColumn id="1" xr3:uid="{8D92A676-A5AF-4048-A881-CBEE415E40A2}" name="Column2"/>
    <tableColumn id="2" xr3:uid="{4BB84428-2152-B94C-8F74-746F8774808B}" name="Column1"/>
    <tableColumn id="3" xr3:uid="{56A04661-97F2-A24C-AF99-3CA7EDD9F6CE}" name="1" dataDxfId="7"/>
    <tableColumn id="8" xr3:uid="{2AD6B3E3-52C2-0E40-9E39-1520FD889C3C}" name="´%1" dataDxfId="6"/>
    <tableColumn id="4" xr3:uid="{24D2DC48-3388-694C-A427-2BEEB8525FC1}" name="2" dataDxfId="5"/>
    <tableColumn id="9" xr3:uid="{FEC9D45F-79CD-084E-AD90-D110B5C87278}" name="´%2" dataDxfId="4"/>
    <tableColumn id="5" xr3:uid="{BD3172EC-9702-2E40-B996-9C25ACB90D31}" name="3" dataDxfId="3"/>
    <tableColumn id="10" xr3:uid="{E0464E9F-8E32-514D-8D3D-6716A2042213}" name="´%3" dataDxfId="2"/>
    <tableColumn id="6" xr3:uid="{472DDDAC-EA15-3142-BE24-162746164180}" name="4" dataDxfId="1"/>
    <tableColumn id="7" xr3:uid="{E4FF236C-2B9E-E045-9BC4-23ADA3E52429}" name="´%4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2B915A-256E-3445-A70D-48BBFBEAE5F1}">
  <we:reference id="8bc018e3-f345-40d4-8f1d-97951765d531" version="1.5.0.0" store="EXCatalog" storeType="EXCatalog"/>
  <we:alternateReferences>
    <we:reference id="WA104380862" version="1.5.0.0" store="en-US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DCDD-5292-3B4B-84A4-4B5E804ED806}">
  <dimension ref="B1:N42"/>
  <sheetViews>
    <sheetView showGridLines="0" tabSelected="1" topLeftCell="A4" zoomScale="62" zoomScaleNormal="62" workbookViewId="0">
      <selection activeCell="S39" sqref="S39"/>
    </sheetView>
  </sheetViews>
  <sheetFormatPr defaultColWidth="11.19921875" defaultRowHeight="15.6" x14ac:dyDescent="0.3"/>
  <cols>
    <col min="1" max="1" width="4" customWidth="1"/>
    <col min="2" max="2" width="18.19921875" customWidth="1"/>
    <col min="3" max="3" width="14.5" customWidth="1"/>
    <col min="4" max="4" width="6" customWidth="1"/>
    <col min="5" max="5" width="10.296875" style="8" customWidth="1"/>
    <col min="6" max="6" width="18.296875" customWidth="1"/>
    <col min="7" max="7" width="15.19921875" customWidth="1"/>
    <col min="8" max="8" width="13" bestFit="1" customWidth="1"/>
    <col min="9" max="10" width="13.19921875" bestFit="1" customWidth="1"/>
    <col min="11" max="12" width="14.296875" bestFit="1" customWidth="1"/>
    <col min="14" max="14" width="11.796875" bestFit="1" customWidth="1"/>
  </cols>
  <sheetData>
    <row r="1" spans="2:12" x14ac:dyDescent="0.3">
      <c r="G1" s="4"/>
      <c r="H1" s="4"/>
    </row>
    <row r="3" spans="2:12" x14ac:dyDescent="0.3">
      <c r="H3">
        <v>1</v>
      </c>
      <c r="I3">
        <v>2</v>
      </c>
      <c r="J3">
        <v>3</v>
      </c>
      <c r="K3">
        <v>4</v>
      </c>
      <c r="L3">
        <v>5</v>
      </c>
    </row>
    <row r="4" spans="2:12" ht="16.2" thickBot="1" x14ac:dyDescent="0.35">
      <c r="B4" s="133" t="str">
        <f>HLOOKUP(C4,MODELOS!D1:J16,3,FALSE)</f>
        <v>TECNOLÓGICO</v>
      </c>
      <c r="C4" s="133">
        <v>2</v>
      </c>
      <c r="E4" s="131" t="s">
        <v>18</v>
      </c>
      <c r="F4" s="131"/>
      <c r="G4" s="34"/>
      <c r="H4" s="34"/>
      <c r="I4" s="34"/>
      <c r="J4" s="34"/>
      <c r="K4" s="34"/>
      <c r="L4" s="34"/>
    </row>
    <row r="5" spans="2:12" ht="28.95" customHeight="1" thickBot="1" x14ac:dyDescent="0.35">
      <c r="B5" s="133"/>
      <c r="C5" s="133"/>
      <c r="E5" s="132"/>
      <c r="F5" s="132"/>
      <c r="G5" s="32" t="s">
        <v>45</v>
      </c>
      <c r="H5" s="16" t="s">
        <v>1</v>
      </c>
      <c r="I5" s="31" t="s">
        <v>4</v>
      </c>
      <c r="J5" s="31" t="s">
        <v>5</v>
      </c>
      <c r="K5" s="31" t="s">
        <v>6</v>
      </c>
      <c r="L5" s="31" t="s">
        <v>7</v>
      </c>
    </row>
    <row r="6" spans="2:12" ht="16.2" thickBot="1" x14ac:dyDescent="0.35">
      <c r="D6" s="4"/>
    </row>
    <row r="7" spans="2:12" x14ac:dyDescent="0.3">
      <c r="B7" s="67"/>
      <c r="C7" s="68"/>
      <c r="D7" s="23" t="s">
        <v>47</v>
      </c>
      <c r="E7" s="9" t="s">
        <v>40</v>
      </c>
      <c r="F7" s="1"/>
      <c r="G7" s="18"/>
      <c r="H7" s="35">
        <f>SUM(H8:H9)</f>
        <v>200000</v>
      </c>
      <c r="I7" s="35">
        <f>SUM(I8:I9)</f>
        <v>240000</v>
      </c>
      <c r="J7" s="35">
        <f>SUM(J8:J9)</f>
        <v>288000</v>
      </c>
      <c r="K7" s="35">
        <f>SUM(K8:K9)</f>
        <v>345600</v>
      </c>
      <c r="L7" s="36">
        <f>SUM(L8:L9)</f>
        <v>414720</v>
      </c>
    </row>
    <row r="8" spans="2:12" x14ac:dyDescent="0.3">
      <c r="B8" s="69" t="s">
        <v>0</v>
      </c>
      <c r="C8" s="48">
        <f>HLOOKUP(C4,MODELOS!D1:J16,5,FALSE)</f>
        <v>200000</v>
      </c>
      <c r="D8" s="4"/>
      <c r="E8" s="10"/>
      <c r="F8" s="6" t="s">
        <v>12</v>
      </c>
      <c r="G8" s="49">
        <v>0.2</v>
      </c>
      <c r="H8" s="47">
        <f>C8</f>
        <v>200000</v>
      </c>
      <c r="I8" s="47">
        <f>H8*(1+$G$8)</f>
        <v>240000</v>
      </c>
      <c r="J8" s="47">
        <f>I8*(1+$G$8)</f>
        <v>288000</v>
      </c>
      <c r="K8" s="47">
        <f>J8*(1+$G$8)</f>
        <v>345600</v>
      </c>
      <c r="L8" s="48">
        <f>K8*(1+$G$8)</f>
        <v>414720</v>
      </c>
    </row>
    <row r="9" spans="2:12" ht="16.2" thickBot="1" x14ac:dyDescent="0.35">
      <c r="B9" s="70" t="s">
        <v>41</v>
      </c>
      <c r="C9" s="58">
        <v>1</v>
      </c>
      <c r="E9" s="11"/>
      <c r="F9" s="7"/>
      <c r="G9" s="24"/>
      <c r="H9" s="37"/>
      <c r="I9" s="37"/>
      <c r="J9" s="37"/>
      <c r="K9" s="37"/>
      <c r="L9" s="38"/>
    </row>
    <row r="10" spans="2:12" x14ac:dyDescent="0.3">
      <c r="B10" s="71" t="s">
        <v>42</v>
      </c>
      <c r="C10" s="72">
        <f>C8/C9</f>
        <v>200000</v>
      </c>
      <c r="G10" s="25"/>
      <c r="H10" s="17"/>
      <c r="I10" s="17"/>
      <c r="J10" s="17"/>
      <c r="K10" s="17"/>
      <c r="L10" s="17"/>
    </row>
    <row r="11" spans="2:12" ht="16.2" thickBot="1" x14ac:dyDescent="0.35">
      <c r="B11" s="59"/>
      <c r="C11" s="60"/>
      <c r="G11" s="25"/>
      <c r="H11" s="17"/>
      <c r="I11" s="17"/>
      <c r="J11" s="17"/>
      <c r="K11" s="17"/>
      <c r="L11" s="17"/>
    </row>
    <row r="12" spans="2:12" x14ac:dyDescent="0.3">
      <c r="B12" s="73"/>
      <c r="C12" s="42"/>
      <c r="D12" s="23" t="s">
        <v>48</v>
      </c>
      <c r="E12" s="12" t="s">
        <v>14</v>
      </c>
      <c r="F12" s="2"/>
      <c r="G12" s="26"/>
      <c r="H12" s="39">
        <f>SUM(H13:H17)</f>
        <v>150000</v>
      </c>
      <c r="I12" s="39">
        <f>SUM(I13:I17)</f>
        <v>157400</v>
      </c>
      <c r="J12" s="39">
        <f>SUM(J13:J17)</f>
        <v>165184</v>
      </c>
      <c r="K12" s="39">
        <f>SUM(K13:K17)</f>
        <v>173373.02000000002</v>
      </c>
      <c r="L12" s="40">
        <f>SUM(L13:L17)</f>
        <v>181989.29200000002</v>
      </c>
    </row>
    <row r="13" spans="2:12" x14ac:dyDescent="0.3">
      <c r="B13" s="73" t="s">
        <v>8</v>
      </c>
      <c r="C13" s="42">
        <f>HLOOKUP(C4,MODELOS!D1:J16,6,FALSE)</f>
        <v>70000</v>
      </c>
      <c r="E13" s="13"/>
      <c r="F13" s="3" t="s">
        <v>8</v>
      </c>
      <c r="G13" s="49">
        <v>0.04</v>
      </c>
      <c r="H13" s="41">
        <f>C13</f>
        <v>70000</v>
      </c>
      <c r="I13" s="41">
        <f>H13*(1+$G$13)</f>
        <v>72800</v>
      </c>
      <c r="J13" s="41">
        <f>I13*(1+$G$13)</f>
        <v>75712</v>
      </c>
      <c r="K13" s="41">
        <f>J13*(1+$G$13)</f>
        <v>78740.479999999996</v>
      </c>
      <c r="L13" s="42">
        <f>K13*(1+$G$13)</f>
        <v>81890.099199999997</v>
      </c>
    </row>
    <row r="14" spans="2:12" x14ac:dyDescent="0.3">
      <c r="B14" s="74" t="s">
        <v>43</v>
      </c>
      <c r="C14" s="75">
        <f>C13/C9</f>
        <v>70000</v>
      </c>
      <c r="E14" s="13"/>
      <c r="F14" s="3"/>
      <c r="G14" s="3"/>
      <c r="H14" s="41"/>
      <c r="I14" s="41"/>
      <c r="J14" s="41"/>
      <c r="K14" s="41"/>
      <c r="L14" s="42"/>
    </row>
    <row r="15" spans="2:12" x14ac:dyDescent="0.3">
      <c r="B15" s="73" t="s">
        <v>9</v>
      </c>
      <c r="C15" s="42">
        <f>HLOOKUP(C4,MODELOS!D1:J16,8,FALSE)</f>
        <v>20000</v>
      </c>
      <c r="E15" s="13"/>
      <c r="F15" s="3" t="s">
        <v>9</v>
      </c>
      <c r="G15" s="50">
        <v>0.05</v>
      </c>
      <c r="H15" s="41">
        <f>C15</f>
        <v>20000</v>
      </c>
      <c r="I15" s="41">
        <f>H15*(1+$G$15)</f>
        <v>21000</v>
      </c>
      <c r="J15" s="41">
        <f>I15*(1+$G$15)</f>
        <v>22050</v>
      </c>
      <c r="K15" s="41">
        <f>J15*(1+$G$15)</f>
        <v>23152.5</v>
      </c>
      <c r="L15" s="42">
        <f>K15*(1+$G$15)</f>
        <v>24310.125</v>
      </c>
    </row>
    <row r="16" spans="2:12" x14ac:dyDescent="0.3">
      <c r="B16" s="73" t="s">
        <v>10</v>
      </c>
      <c r="C16" s="42">
        <f>HLOOKUP(C4,MODELOS!D1:J16,9,FALSE)</f>
        <v>30000</v>
      </c>
      <c r="E16" s="13"/>
      <c r="F16" s="3" t="s">
        <v>10</v>
      </c>
      <c r="G16" s="50">
        <v>7.0000000000000007E-2</v>
      </c>
      <c r="H16" s="41">
        <f>C16</f>
        <v>30000</v>
      </c>
      <c r="I16" s="41">
        <f>H16*(1+$G$16)</f>
        <v>32100.000000000004</v>
      </c>
      <c r="J16" s="41">
        <f>I16*(1+$G$16)</f>
        <v>34347.000000000007</v>
      </c>
      <c r="K16" s="41">
        <f>J16*(1+$G$16)</f>
        <v>36751.290000000008</v>
      </c>
      <c r="L16" s="42">
        <f>K16*(1+$G$16)</f>
        <v>39323.880300000012</v>
      </c>
    </row>
    <row r="17" spans="2:14" ht="16.2" thickBot="1" x14ac:dyDescent="0.35">
      <c r="B17" s="73" t="s">
        <v>11</v>
      </c>
      <c r="C17" s="42">
        <f>HLOOKUP(C4,MODELOS!D1:J16,10,FALSE)</f>
        <v>30000</v>
      </c>
      <c r="E17" s="14"/>
      <c r="F17" s="5" t="s">
        <v>11</v>
      </c>
      <c r="G17" s="56">
        <v>0.05</v>
      </c>
      <c r="H17" s="43">
        <f>C17</f>
        <v>30000</v>
      </c>
      <c r="I17" s="43">
        <f>H17*(1+$G$17)</f>
        <v>31500</v>
      </c>
      <c r="J17" s="43">
        <f>I17*(1+$G$17)</f>
        <v>33075</v>
      </c>
      <c r="K17" s="43">
        <f>J17*(1+$G$17)</f>
        <v>34728.75</v>
      </c>
      <c r="L17" s="44">
        <f>K17*(1+$G$17)</f>
        <v>36465.1875</v>
      </c>
    </row>
    <row r="18" spans="2:14" ht="16.2" thickBot="1" x14ac:dyDescent="0.35">
      <c r="B18" s="73" t="s">
        <v>22</v>
      </c>
      <c r="C18" s="42">
        <f>C8-C13-C15-C16-C17</f>
        <v>50000</v>
      </c>
      <c r="E18" s="15"/>
      <c r="F18" s="4"/>
      <c r="G18" s="25"/>
      <c r="H18" s="17"/>
      <c r="I18" s="17"/>
      <c r="J18" s="17"/>
      <c r="K18" s="17"/>
      <c r="L18" s="17"/>
    </row>
    <row r="19" spans="2:14" ht="16.2" thickBot="1" x14ac:dyDescent="0.35">
      <c r="B19" s="73"/>
      <c r="C19" s="42"/>
      <c r="E19" s="19" t="s">
        <v>49</v>
      </c>
      <c r="F19" s="20"/>
      <c r="G19" s="27"/>
      <c r="H19" s="45">
        <f>H7-H12</f>
        <v>50000</v>
      </c>
      <c r="I19" s="45">
        <f>I7-I12</f>
        <v>82600</v>
      </c>
      <c r="J19" s="45">
        <f>J7-J12</f>
        <v>122816</v>
      </c>
      <c r="K19" s="45">
        <f>K7-K12</f>
        <v>172226.97999999998</v>
      </c>
      <c r="L19" s="78">
        <f>L7-L12</f>
        <v>232730.70799999998</v>
      </c>
    </row>
    <row r="20" spans="2:14" ht="16.2" thickBot="1" x14ac:dyDescent="0.35">
      <c r="B20" s="73"/>
      <c r="C20" s="42"/>
      <c r="E20" s="15"/>
      <c r="F20" s="4"/>
      <c r="G20" s="25"/>
      <c r="H20" s="17"/>
      <c r="I20" s="17"/>
      <c r="J20" s="17"/>
      <c r="K20" s="17"/>
      <c r="L20" s="17"/>
    </row>
    <row r="21" spans="2:14" ht="16.2" thickBot="1" x14ac:dyDescent="0.35">
      <c r="B21" s="73"/>
      <c r="C21" s="42"/>
      <c r="D21" s="23" t="s">
        <v>48</v>
      </c>
      <c r="E21" s="51" t="s">
        <v>15</v>
      </c>
      <c r="F21" s="52"/>
      <c r="G21" s="53">
        <v>0.4</v>
      </c>
      <c r="H21" s="54">
        <f>IF(H19-H23&gt;0,(H19-H23)*$G$21, 0)</f>
        <v>8000</v>
      </c>
      <c r="I21" s="54">
        <f>IF(I19-I23&gt;0,(I19-I23)*$G$21, 0)</f>
        <v>21040</v>
      </c>
      <c r="J21" s="54">
        <f>IF(J19-J23&gt;0,(J19-J23)*$G$21, 0)</f>
        <v>37126.400000000001</v>
      </c>
      <c r="K21" s="54">
        <f>IF(K19-K23&gt;0,(K19-K23)*$G$21, 0)</f>
        <v>68890.792000000001</v>
      </c>
      <c r="L21" s="57">
        <f>IF(L19-L23&gt;0,(L19-L23)*$G$21, 0)</f>
        <v>93092.283200000005</v>
      </c>
    </row>
    <row r="22" spans="2:14" ht="16.2" thickBot="1" x14ac:dyDescent="0.35">
      <c r="B22" s="73"/>
      <c r="C22" s="42"/>
      <c r="E22" s="15"/>
      <c r="F22" s="4"/>
      <c r="G22" s="25"/>
      <c r="H22" s="17"/>
      <c r="I22" s="17"/>
      <c r="J22" s="17"/>
      <c r="K22" s="17"/>
      <c r="L22" s="17"/>
    </row>
    <row r="23" spans="2:14" x14ac:dyDescent="0.3">
      <c r="B23" s="73"/>
      <c r="C23" s="42"/>
      <c r="D23" s="23" t="s">
        <v>47</v>
      </c>
      <c r="E23" s="12" t="s">
        <v>13</v>
      </c>
      <c r="F23" s="2"/>
      <c r="G23" s="28"/>
      <c r="H23" s="39">
        <f>SUM(H24:H25)</f>
        <v>30000</v>
      </c>
      <c r="I23" s="39">
        <f>SUM(I24:I25)</f>
        <v>30000</v>
      </c>
      <c r="J23" s="39">
        <f>SUM(J24:J25)</f>
        <v>30000</v>
      </c>
      <c r="K23" s="39">
        <f>SUM(K24:K25)</f>
        <v>0</v>
      </c>
      <c r="L23" s="40">
        <f>SUM(L24:L25)</f>
        <v>0</v>
      </c>
      <c r="N23" s="30"/>
    </row>
    <row r="24" spans="2:14" x14ac:dyDescent="0.3">
      <c r="B24" s="73" t="s">
        <v>2</v>
      </c>
      <c r="C24" s="42">
        <f>HLOOKUP(C4,MODELOS!D1:J16,14,FALSE)</f>
        <v>40000</v>
      </c>
      <c r="E24" s="13"/>
      <c r="F24" s="3" t="s">
        <v>2</v>
      </c>
      <c r="G24" s="21">
        <v>3</v>
      </c>
      <c r="H24" s="41">
        <f>IF(G24&gt;=1,C24/G24,0)</f>
        <v>13333.333333333334</v>
      </c>
      <c r="I24" s="41">
        <f>IF(G24&gt;=2,C24/G24,0)</f>
        <v>13333.333333333334</v>
      </c>
      <c r="J24" s="41">
        <f>IF(G24&gt;=3,C24/G24,0)</f>
        <v>13333.333333333334</v>
      </c>
      <c r="K24" s="41">
        <f>IF(G24&gt;=4,#REF!/G24,0)</f>
        <v>0</v>
      </c>
      <c r="L24" s="42">
        <f>IF(G24&gt;=5,#REF!/G24,0)</f>
        <v>0</v>
      </c>
      <c r="N24" s="46"/>
    </row>
    <row r="25" spans="2:14" ht="16.2" thickBot="1" x14ac:dyDescent="0.35">
      <c r="B25" s="73" t="s">
        <v>3</v>
      </c>
      <c r="C25" s="42">
        <f>HLOOKUP(C4,MODELOS!D1:J16,15,FALSE)</f>
        <v>50000</v>
      </c>
      <c r="E25" s="14"/>
      <c r="F25" s="5" t="s">
        <v>3</v>
      </c>
      <c r="G25" s="22">
        <v>3</v>
      </c>
      <c r="H25" s="43">
        <f>IF(G25&gt;=1,C25/G25,0)</f>
        <v>16666.666666666668</v>
      </c>
      <c r="I25" s="43">
        <f>IF(G25&gt;=2,C25/G25,0)</f>
        <v>16666.666666666668</v>
      </c>
      <c r="J25" s="43">
        <f>IF(G25&gt;=3,C25/G25,0)</f>
        <v>16666.666666666668</v>
      </c>
      <c r="K25" s="43">
        <f>IF(G25&gt;=4,#REF!/G25,0)</f>
        <v>0</v>
      </c>
      <c r="L25" s="44">
        <f>IF(G25&gt;=5,#REF!/G25,0)</f>
        <v>0</v>
      </c>
    </row>
    <row r="26" spans="2:14" ht="16.2" thickBot="1" x14ac:dyDescent="0.35">
      <c r="B26" s="73" t="s">
        <v>19</v>
      </c>
      <c r="C26" s="42">
        <f>(C13+C15+C16+C17)/2+C24+C25</f>
        <v>165000</v>
      </c>
      <c r="E26" s="15"/>
      <c r="F26" s="4"/>
      <c r="G26" s="25"/>
      <c r="H26" s="17"/>
      <c r="I26" s="17"/>
      <c r="J26" s="17"/>
      <c r="K26" s="17"/>
      <c r="L26" s="17"/>
    </row>
    <row r="27" spans="2:14" ht="16.2" thickBot="1" x14ac:dyDescent="0.35">
      <c r="B27" s="76" t="s">
        <v>44</v>
      </c>
      <c r="C27" s="77">
        <v>0.1</v>
      </c>
      <c r="D27" s="23" t="s">
        <v>48</v>
      </c>
      <c r="E27" s="51" t="s">
        <v>46</v>
      </c>
      <c r="F27" s="52"/>
      <c r="G27" s="53"/>
      <c r="H27" s="54">
        <f>C24</f>
        <v>40000</v>
      </c>
      <c r="I27" s="54"/>
      <c r="J27" s="54"/>
      <c r="K27" s="54"/>
      <c r="L27" s="57"/>
    </row>
    <row r="28" spans="2:14" ht="16.2" thickBot="1" x14ac:dyDescent="0.35"/>
    <row r="29" spans="2:14" ht="16.2" thickBot="1" x14ac:dyDescent="0.35">
      <c r="E29" s="19" t="s">
        <v>16</v>
      </c>
      <c r="F29" s="20"/>
      <c r="G29" s="55">
        <f>-C26</f>
        <v>-165000</v>
      </c>
      <c r="H29" s="45">
        <f>H19-H21+H23-H27</f>
        <v>32000</v>
      </c>
      <c r="I29" s="45">
        <f>I19-I21+I23-I27</f>
        <v>91560</v>
      </c>
      <c r="J29" s="45">
        <f>J19-J21+J23-J27</f>
        <v>115689.60000000001</v>
      </c>
      <c r="K29" s="45">
        <f>K19-K21+K23-K27</f>
        <v>103336.18799999998</v>
      </c>
      <c r="L29" s="78">
        <f>L19-L21+L23-L27</f>
        <v>139638.42479999998</v>
      </c>
      <c r="N29" t="s">
        <v>68</v>
      </c>
    </row>
    <row r="30" spans="2:14" ht="16.2" thickBot="1" x14ac:dyDescent="0.35">
      <c r="E30" s="15"/>
      <c r="F30" s="4"/>
      <c r="G30" s="25"/>
      <c r="H30" s="17"/>
      <c r="I30" s="17"/>
      <c r="J30" s="17"/>
      <c r="K30" s="17"/>
      <c r="L30" s="17"/>
    </row>
    <row r="31" spans="2:14" ht="16.2" thickBot="1" x14ac:dyDescent="0.35">
      <c r="E31" s="97" t="s">
        <v>59</v>
      </c>
      <c r="F31" s="98"/>
      <c r="G31" s="99">
        <f>G29</f>
        <v>-165000</v>
      </c>
      <c r="H31" s="100">
        <f>H29/POWER(1+$C$27,H3)</f>
        <v>29090.909090909088</v>
      </c>
      <c r="I31" s="100">
        <f>I29/POWER(1+$C$27,I3)</f>
        <v>75669.421487603293</v>
      </c>
      <c r="J31" s="100">
        <f>J29/POWER(1+$C$27,J3)</f>
        <v>86919.308790383147</v>
      </c>
      <c r="K31" s="100">
        <f t="shared" ref="K31" si="0">K29/POWER(1+$C$27,K3)</f>
        <v>70580.006830134516</v>
      </c>
      <c r="L31" s="101">
        <f>L29/POWER(1+$C$27,L3)</f>
        <v>86704.475476712309</v>
      </c>
    </row>
    <row r="32" spans="2:14" ht="16.2" thickBot="1" x14ac:dyDescent="0.35">
      <c r="E32" s="15"/>
      <c r="F32" s="4"/>
      <c r="G32" s="25"/>
      <c r="H32" s="17"/>
      <c r="I32" s="17"/>
      <c r="J32" s="17"/>
      <c r="K32" s="17"/>
      <c r="L32" s="17"/>
    </row>
    <row r="33" spans="5:12" x14ac:dyDescent="0.3">
      <c r="F33" s="61"/>
      <c r="G33" s="62" t="s">
        <v>17</v>
      </c>
      <c r="H33" s="63">
        <f>NPV(C27,H29:L29)+G29</f>
        <v>183964.12167574232</v>
      </c>
    </row>
    <row r="34" spans="5:12" ht="16.2" thickBot="1" x14ac:dyDescent="0.35">
      <c r="F34" s="64"/>
      <c r="G34" s="65" t="s">
        <v>20</v>
      </c>
      <c r="H34" s="66">
        <f>IRR(G29:L29)</f>
        <v>0.39882203593211596</v>
      </c>
    </row>
    <row r="37" spans="5:12" ht="16.2" thickBot="1" x14ac:dyDescent="0.35">
      <c r="E37" s="8" t="s">
        <v>74</v>
      </c>
    </row>
    <row r="38" spans="5:12" x14ac:dyDescent="0.3">
      <c r="E38" s="124"/>
      <c r="F38" s="119"/>
      <c r="G38" s="119"/>
      <c r="H38" s="120"/>
      <c r="I38" s="118"/>
      <c r="J38" s="119"/>
      <c r="K38" s="119"/>
      <c r="L38" s="120"/>
    </row>
    <row r="39" spans="5:12" x14ac:dyDescent="0.3">
      <c r="E39" s="125" t="s">
        <v>71</v>
      </c>
      <c r="F39" s="127">
        <f>H12</f>
        <v>150000</v>
      </c>
      <c r="G39" s="128">
        <f>G13</f>
        <v>0.04</v>
      </c>
      <c r="H39" s="122" t="s">
        <v>72</v>
      </c>
      <c r="I39" s="121" t="s">
        <v>69</v>
      </c>
      <c r="J39" s="127">
        <f>H8</f>
        <v>200000</v>
      </c>
      <c r="K39" s="128">
        <f>G8</f>
        <v>0.2</v>
      </c>
      <c r="L39" s="122" t="s">
        <v>70</v>
      </c>
    </row>
    <row r="40" spans="5:12" x14ac:dyDescent="0.3">
      <c r="E40" s="125"/>
      <c r="F40" s="4"/>
      <c r="G40" s="4"/>
      <c r="H40" s="122"/>
      <c r="I40" s="121" t="s">
        <v>22</v>
      </c>
      <c r="J40" s="127">
        <f>H19</f>
        <v>50000</v>
      </c>
      <c r="K40" s="4"/>
      <c r="L40" s="122"/>
    </row>
    <row r="41" spans="5:12" x14ac:dyDescent="0.3">
      <c r="E41" s="125"/>
      <c r="F41" s="4"/>
      <c r="G41" s="4"/>
      <c r="H41" s="122"/>
      <c r="I41" s="121" t="s">
        <v>73</v>
      </c>
      <c r="J41" s="129">
        <f>H33</f>
        <v>183964.12167574232</v>
      </c>
      <c r="K41" s="4"/>
      <c r="L41" s="122"/>
    </row>
    <row r="42" spans="5:12" ht="16.2" thickBot="1" x14ac:dyDescent="0.35">
      <c r="E42" s="126" t="s">
        <v>44</v>
      </c>
      <c r="F42" s="130">
        <f>C27</f>
        <v>0.1</v>
      </c>
      <c r="G42" s="86"/>
      <c r="H42" s="85"/>
      <c r="I42" s="123" t="s">
        <v>20</v>
      </c>
      <c r="J42" s="130">
        <f>H34</f>
        <v>0.39882203593211596</v>
      </c>
      <c r="K42" s="86"/>
      <c r="L42" s="85"/>
    </row>
  </sheetData>
  <mergeCells count="3">
    <mergeCell ref="E4:F5"/>
    <mergeCell ref="B4:B5"/>
    <mergeCell ref="C4:C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929-E0A0-5F48-B862-07B1462F5678}">
  <dimension ref="B1:N25"/>
  <sheetViews>
    <sheetView showGridLines="0" zoomScale="79" zoomScaleNormal="79" workbookViewId="0">
      <selection activeCell="F6" sqref="F6"/>
    </sheetView>
  </sheetViews>
  <sheetFormatPr defaultColWidth="11.19921875" defaultRowHeight="15.6" x14ac:dyDescent="0.3"/>
  <cols>
    <col min="3" max="3" width="10.69921875" customWidth="1"/>
    <col min="4" max="4" width="17" style="29" customWidth="1"/>
    <col min="5" max="5" width="6" style="29" customWidth="1"/>
    <col min="6" max="6" width="17" style="29" customWidth="1"/>
    <col min="7" max="7" width="6" style="29" customWidth="1"/>
    <col min="8" max="8" width="17" style="29" customWidth="1"/>
    <col min="9" max="9" width="6" style="29" customWidth="1"/>
    <col min="10" max="10" width="17" style="29" customWidth="1"/>
    <col min="11" max="11" width="6" customWidth="1"/>
    <col min="13" max="13" width="14.5" bestFit="1" customWidth="1"/>
  </cols>
  <sheetData>
    <row r="1" spans="2:14" x14ac:dyDescent="0.3">
      <c r="D1" s="29">
        <v>1</v>
      </c>
      <c r="F1" s="29">
        <v>2</v>
      </c>
      <c r="H1" s="29">
        <v>3</v>
      </c>
      <c r="J1" s="29">
        <v>4</v>
      </c>
    </row>
    <row r="2" spans="2:14" ht="18.600000000000001" thickBot="1" x14ac:dyDescent="0.4">
      <c r="B2" t="s">
        <v>35</v>
      </c>
      <c r="C2" t="s">
        <v>34</v>
      </c>
      <c r="D2" s="33" t="s">
        <v>36</v>
      </c>
      <c r="E2" s="79" t="s">
        <v>51</v>
      </c>
      <c r="F2" s="33" t="s">
        <v>37</v>
      </c>
      <c r="G2" s="79" t="s">
        <v>50</v>
      </c>
      <c r="H2" s="33" t="s">
        <v>38</v>
      </c>
      <c r="I2" s="79" t="s">
        <v>52</v>
      </c>
      <c r="J2" s="33" t="s">
        <v>39</v>
      </c>
      <c r="K2" s="79" t="s">
        <v>53</v>
      </c>
      <c r="M2" s="102">
        <v>5</v>
      </c>
      <c r="N2" s="103" t="s">
        <v>60</v>
      </c>
    </row>
    <row r="3" spans="2:14" ht="24" customHeight="1" x14ac:dyDescent="0.35">
      <c r="D3" s="87" t="s">
        <v>24</v>
      </c>
      <c r="E3" s="80"/>
      <c r="F3" s="91" t="s">
        <v>25</v>
      </c>
      <c r="G3" s="80"/>
      <c r="H3" s="91" t="s">
        <v>33</v>
      </c>
      <c r="I3" s="80"/>
      <c r="J3" s="91" t="s">
        <v>26</v>
      </c>
      <c r="K3" s="95"/>
      <c r="M3" s="111" t="s">
        <v>61</v>
      </c>
      <c r="N3" s="104"/>
    </row>
    <row r="4" spans="2:14" ht="18" x14ac:dyDescent="0.35">
      <c r="D4" s="88" t="s">
        <v>29</v>
      </c>
      <c r="E4" s="81"/>
      <c r="F4" s="92" t="s">
        <v>30</v>
      </c>
      <c r="G4" s="81"/>
      <c r="H4" s="92" t="s">
        <v>31</v>
      </c>
      <c r="I4" s="81"/>
      <c r="J4" s="92" t="s">
        <v>32</v>
      </c>
      <c r="K4" s="83"/>
      <c r="M4" s="112" t="s">
        <v>62</v>
      </c>
      <c r="N4" s="105"/>
    </row>
    <row r="5" spans="2:14" x14ac:dyDescent="0.3">
      <c r="B5" s="4" t="s">
        <v>0</v>
      </c>
      <c r="C5" s="4"/>
      <c r="D5" s="89">
        <v>1700000</v>
      </c>
      <c r="E5" s="82">
        <f>SUM(E6:E12)</f>
        <v>1</v>
      </c>
      <c r="F5" s="93">
        <v>200000</v>
      </c>
      <c r="G5" s="82">
        <f>SUM(G6:G12)</f>
        <v>1</v>
      </c>
      <c r="H5" s="93">
        <v>4000000</v>
      </c>
      <c r="I5" s="82">
        <f>SUM(I6:I12)</f>
        <v>1</v>
      </c>
      <c r="J5" s="93">
        <v>10000000</v>
      </c>
      <c r="K5" s="82">
        <f>SUM(K6:K12)</f>
        <v>1</v>
      </c>
      <c r="M5" s="115">
        <v>1500000</v>
      </c>
      <c r="N5" s="106">
        <f>SUM(N6:N12)</f>
        <v>1</v>
      </c>
    </row>
    <row r="6" spans="2:14" x14ac:dyDescent="0.3">
      <c r="B6" s="4" t="s">
        <v>27</v>
      </c>
      <c r="C6" s="4"/>
      <c r="D6" s="89">
        <f>$D$5*E6</f>
        <v>680000</v>
      </c>
      <c r="E6" s="82">
        <v>0.4</v>
      </c>
      <c r="F6" s="93">
        <f>$F$5*G6</f>
        <v>70000</v>
      </c>
      <c r="G6" s="82">
        <v>0.35</v>
      </c>
      <c r="H6" s="93">
        <f>$H$5*I6</f>
        <v>1200000</v>
      </c>
      <c r="I6" s="82">
        <v>0.3</v>
      </c>
      <c r="J6" s="93">
        <f>$J$5*K6</f>
        <v>3000000</v>
      </c>
      <c r="K6" s="82">
        <v>0.3</v>
      </c>
      <c r="M6" s="109">
        <f>$M$5*N6</f>
        <v>450000</v>
      </c>
      <c r="N6" s="116">
        <v>0.3</v>
      </c>
    </row>
    <row r="7" spans="2:14" x14ac:dyDescent="0.3">
      <c r="B7" s="4"/>
      <c r="C7" s="4"/>
      <c r="D7" s="89"/>
      <c r="E7" s="82"/>
      <c r="F7" s="93"/>
      <c r="G7" s="82"/>
      <c r="H7" s="93"/>
      <c r="I7" s="82"/>
      <c r="J7" s="93"/>
      <c r="K7" s="82"/>
      <c r="M7" s="113"/>
      <c r="N7" s="106"/>
    </row>
    <row r="8" spans="2:14" x14ac:dyDescent="0.3">
      <c r="B8" s="4" t="s">
        <v>28</v>
      </c>
      <c r="C8" s="4"/>
      <c r="D8" s="89">
        <f>$D$5*E8</f>
        <v>170000</v>
      </c>
      <c r="E8" s="82">
        <v>0.1</v>
      </c>
      <c r="F8" s="93">
        <f>$F$5*G8</f>
        <v>20000</v>
      </c>
      <c r="G8" s="82">
        <v>0.1</v>
      </c>
      <c r="H8" s="93">
        <f>$H$5*I8</f>
        <v>200000</v>
      </c>
      <c r="I8" s="82">
        <v>0.05</v>
      </c>
      <c r="J8" s="93">
        <f>$J$5*K8</f>
        <v>500000</v>
      </c>
      <c r="K8" s="82">
        <v>0.05</v>
      </c>
      <c r="M8" s="109">
        <f t="shared" ref="M8:M10" si="0">$M$5*N8</f>
        <v>75000</v>
      </c>
      <c r="N8" s="116">
        <v>0.05</v>
      </c>
    </row>
    <row r="9" spans="2:14" x14ac:dyDescent="0.3">
      <c r="B9" s="4" t="s">
        <v>21</v>
      </c>
      <c r="C9" s="4"/>
      <c r="D9" s="89">
        <f t="shared" ref="D9:D10" si="1">$D$5*E9</f>
        <v>340000</v>
      </c>
      <c r="E9" s="82">
        <v>0.2</v>
      </c>
      <c r="F9" s="93">
        <f>$F$5*G9</f>
        <v>30000</v>
      </c>
      <c r="G9" s="82">
        <v>0.15</v>
      </c>
      <c r="H9" s="93">
        <f>$H$5*I9</f>
        <v>1000000</v>
      </c>
      <c r="I9" s="82">
        <v>0.25</v>
      </c>
      <c r="J9" s="93">
        <f>$J$5*K9</f>
        <v>2500000</v>
      </c>
      <c r="K9" s="82">
        <v>0.25</v>
      </c>
      <c r="M9" s="109">
        <f t="shared" si="0"/>
        <v>375000</v>
      </c>
      <c r="N9" s="117">
        <v>0.25</v>
      </c>
    </row>
    <row r="10" spans="2:14" x14ac:dyDescent="0.3">
      <c r="B10" s="4" t="s">
        <v>23</v>
      </c>
      <c r="C10" s="4"/>
      <c r="D10" s="89">
        <f t="shared" si="1"/>
        <v>255000</v>
      </c>
      <c r="E10" s="82">
        <v>0.15</v>
      </c>
      <c r="F10" s="93">
        <f>$F$5*G10</f>
        <v>30000</v>
      </c>
      <c r="G10" s="82">
        <v>0.15</v>
      </c>
      <c r="H10" s="93">
        <f>$H$5*I10</f>
        <v>1000000</v>
      </c>
      <c r="I10" s="82">
        <v>0.25</v>
      </c>
      <c r="J10" s="93">
        <f>$J$5*K10</f>
        <v>2000000</v>
      </c>
      <c r="K10" s="82">
        <v>0.2</v>
      </c>
      <c r="M10" s="109">
        <f t="shared" si="0"/>
        <v>300000</v>
      </c>
      <c r="N10" s="116">
        <v>0.2</v>
      </c>
    </row>
    <row r="11" spans="2:14" x14ac:dyDescent="0.3">
      <c r="B11" s="4"/>
      <c r="C11" s="4"/>
      <c r="D11" s="89"/>
      <c r="E11" s="83"/>
      <c r="F11" s="93"/>
      <c r="G11" s="83"/>
      <c r="H11" s="93"/>
      <c r="I11" s="83"/>
      <c r="J11" s="93"/>
      <c r="K11" s="83"/>
      <c r="M11" s="113"/>
      <c r="N11" s="108"/>
    </row>
    <row r="12" spans="2:14" x14ac:dyDescent="0.3">
      <c r="B12" s="4" t="s">
        <v>22</v>
      </c>
      <c r="C12" s="4"/>
      <c r="D12" s="89">
        <f>D5-D6-D8-D9-D10</f>
        <v>255000</v>
      </c>
      <c r="E12" s="82">
        <f>Table1[[#This Row],[1]]/D5</f>
        <v>0.15</v>
      </c>
      <c r="F12" s="93">
        <f>F5-F6-F8-F9-F10</f>
        <v>50000</v>
      </c>
      <c r="G12" s="82">
        <f>Table1[[#This Row],[2]]/F5</f>
        <v>0.25</v>
      </c>
      <c r="H12" s="93">
        <f>H5-H6-H8-H9-H10</f>
        <v>600000</v>
      </c>
      <c r="I12" s="82">
        <f>Table1[[#This Row],[3]]/H5</f>
        <v>0.15</v>
      </c>
      <c r="J12" s="93">
        <f>J5-J6-J8-J9-J10</f>
        <v>2000000</v>
      </c>
      <c r="K12" s="82">
        <f>Table1[[#This Row],[4]]/J5</f>
        <v>0.2</v>
      </c>
      <c r="M12" s="109">
        <f>M5-M6-M8-M9-M10</f>
        <v>300000</v>
      </c>
      <c r="N12" s="107">
        <f>M12/M5</f>
        <v>0.2</v>
      </c>
    </row>
    <row r="13" spans="2:14" x14ac:dyDescent="0.3">
      <c r="B13" s="4"/>
      <c r="C13" s="4"/>
      <c r="D13" s="89"/>
      <c r="E13" s="84"/>
      <c r="F13" s="93"/>
      <c r="G13" s="84"/>
      <c r="H13" s="93"/>
      <c r="I13" s="84"/>
      <c r="J13" s="93"/>
      <c r="K13" s="83"/>
      <c r="M13" s="113"/>
      <c r="N13" s="108"/>
    </row>
    <row r="14" spans="2:14" x14ac:dyDescent="0.3">
      <c r="B14" s="4" t="s">
        <v>2</v>
      </c>
      <c r="C14" s="4"/>
      <c r="D14" s="89">
        <v>500000</v>
      </c>
      <c r="E14" s="84"/>
      <c r="F14" s="93">
        <v>40000</v>
      </c>
      <c r="G14" s="84"/>
      <c r="H14" s="93">
        <v>200000</v>
      </c>
      <c r="I14" s="84"/>
      <c r="J14" s="93">
        <v>5000000</v>
      </c>
      <c r="K14" s="83"/>
      <c r="M14" s="109">
        <v>2500000</v>
      </c>
      <c r="N14" s="105"/>
    </row>
    <row r="15" spans="2:14" x14ac:dyDescent="0.3">
      <c r="B15" s="4" t="s">
        <v>3</v>
      </c>
      <c r="C15" s="4"/>
      <c r="D15" s="89"/>
      <c r="E15" s="84"/>
      <c r="F15" s="93">
        <v>50000</v>
      </c>
      <c r="G15" s="84"/>
      <c r="H15" s="93">
        <v>100000</v>
      </c>
      <c r="I15" s="84"/>
      <c r="J15" s="93">
        <v>1000000</v>
      </c>
      <c r="K15" s="83"/>
      <c r="M15" s="113">
        <v>500000</v>
      </c>
      <c r="N15" s="108"/>
    </row>
    <row r="16" spans="2:14" x14ac:dyDescent="0.3">
      <c r="B16" s="4" t="s">
        <v>19</v>
      </c>
      <c r="C16" s="17"/>
      <c r="D16" s="89">
        <f>(D6+D8+D9+D10)/2+D14+D15</f>
        <v>1222500</v>
      </c>
      <c r="E16" s="84"/>
      <c r="F16" s="89">
        <f>(F6+F8+F9+F10)/2+F14+F15</f>
        <v>165000</v>
      </c>
      <c r="G16" s="84"/>
      <c r="H16" s="89">
        <f>(H6+H8+H9+H10)/2+H14+H15</f>
        <v>2000000</v>
      </c>
      <c r="I16" s="84"/>
      <c r="J16" s="89">
        <f>(J6+J8+J9+J10)/2+J14+J15</f>
        <v>10000000</v>
      </c>
      <c r="K16" s="83"/>
      <c r="M16" s="109">
        <f>(M6+M8+M9+M10)/2+M14+M15</f>
        <v>3600000</v>
      </c>
      <c r="N16" s="105"/>
    </row>
    <row r="17" spans="2:14" ht="16.2" thickBot="1" x14ac:dyDescent="0.35">
      <c r="D17" s="90"/>
      <c r="E17" s="85"/>
      <c r="F17" s="94"/>
      <c r="G17" s="85"/>
      <c r="H17" s="94"/>
      <c r="I17" s="85"/>
      <c r="J17" s="94"/>
      <c r="K17" s="96"/>
      <c r="M17" s="114"/>
      <c r="N17" s="110"/>
    </row>
    <row r="20" spans="2:14" x14ac:dyDescent="0.3">
      <c r="B20" t="s">
        <v>54</v>
      </c>
    </row>
    <row r="21" spans="2:14" x14ac:dyDescent="0.3">
      <c r="B21" t="s">
        <v>55</v>
      </c>
      <c r="C21" t="s">
        <v>56</v>
      </c>
    </row>
    <row r="22" spans="2:14" x14ac:dyDescent="0.3">
      <c r="B22" t="s">
        <v>57</v>
      </c>
      <c r="C22" t="s">
        <v>63</v>
      </c>
    </row>
    <row r="23" spans="2:14" x14ac:dyDescent="0.3">
      <c r="B23" t="s">
        <v>58</v>
      </c>
      <c r="C23" t="s">
        <v>64</v>
      </c>
    </row>
    <row r="24" spans="2:14" x14ac:dyDescent="0.3">
      <c r="B24" t="s">
        <v>65</v>
      </c>
      <c r="C24" t="s">
        <v>66</v>
      </c>
    </row>
    <row r="25" spans="2:14" x14ac:dyDescent="0.3">
      <c r="C2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 1</vt:lpstr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Miguel Torres Delgado</dc:creator>
  <cp:lastModifiedBy>Faustino Vazquez</cp:lastModifiedBy>
  <dcterms:created xsi:type="dcterms:W3CDTF">2020-07-15T18:35:00Z</dcterms:created>
  <dcterms:modified xsi:type="dcterms:W3CDTF">2022-06-17T18:26:50Z</dcterms:modified>
</cp:coreProperties>
</file>