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fcbff1cd22cca/Documentos/Tec/Second Semester/Analisis Estadistico/"/>
    </mc:Choice>
  </mc:AlternateContent>
  <xr:revisionPtr revIDLastSave="1302" documentId="8_{9CD45BA7-14EB-4002-B42C-C0AF7E8BC5D3}" xr6:coauthVersionLast="47" xr6:coauthVersionMax="47" xr10:uidLastSave="{FFBF39FB-F439-4E12-8343-4876EF079737}"/>
  <bookViews>
    <workbookView xWindow="11424" yWindow="0" windowWidth="11712" windowHeight="12336" xr2:uid="{7077C8E8-8887-4C28-942B-B7F3A71DA5E2}"/>
  </bookViews>
  <sheets>
    <sheet name="Varianza y Desviacion" sheetId="1" r:id="rId1"/>
    <sheet name="Sheet1" sheetId="9" r:id="rId2"/>
    <sheet name="Covarianza" sheetId="2" r:id="rId3"/>
    <sheet name="Regresion Lineal" sheetId="3" r:id="rId4"/>
    <sheet name="Examen1" sheetId="7" r:id="rId5"/>
    <sheet name="Examen2" sheetId="8" r:id="rId6"/>
    <sheet name="Examen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D5" i="2"/>
  <c r="U7" i="3"/>
  <c r="K14" i="3"/>
  <c r="G2" i="3" s="1"/>
  <c r="K12" i="3"/>
  <c r="F2" i="3" s="1"/>
  <c r="L1" i="1"/>
  <c r="D3" i="1"/>
  <c r="B20" i="7"/>
  <c r="B25" i="7"/>
  <c r="U5" i="6"/>
  <c r="B28" i="7"/>
  <c r="E28" i="7"/>
  <c r="D28" i="7"/>
  <c r="D27" i="7"/>
  <c r="C27" i="7"/>
  <c r="C28" i="7"/>
  <c r="C26" i="7"/>
  <c r="B26" i="7"/>
  <c r="B27" i="7"/>
  <c r="Q3" i="2"/>
  <c r="E20" i="7"/>
  <c r="D20" i="7"/>
  <c r="D19" i="7"/>
  <c r="C20" i="7"/>
  <c r="C19" i="7"/>
  <c r="C18" i="7"/>
  <c r="B19" i="7"/>
  <c r="B18" i="7"/>
  <c r="B17" i="7"/>
  <c r="Q6" i="8"/>
  <c r="D5" i="8"/>
  <c r="Q3" i="8"/>
  <c r="D3" i="8"/>
  <c r="F4" i="8" s="1"/>
  <c r="I4" i="8" s="1"/>
  <c r="D1" i="8"/>
  <c r="E9" i="8" s="1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K6" i="6"/>
  <c r="E6" i="6"/>
  <c r="D6" i="6"/>
  <c r="C6" i="6"/>
  <c r="E5" i="6"/>
  <c r="D5" i="6"/>
  <c r="C5" i="6"/>
  <c r="E4" i="6"/>
  <c r="D4" i="6"/>
  <c r="C4" i="6"/>
  <c r="E3" i="6"/>
  <c r="D3" i="6"/>
  <c r="C3" i="6"/>
  <c r="K2" i="6"/>
  <c r="G7" i="6" s="1"/>
  <c r="E2" i="6"/>
  <c r="D2" i="6"/>
  <c r="C2" i="6"/>
  <c r="K1" i="6"/>
  <c r="F8" i="6" s="1"/>
  <c r="U5" i="3"/>
  <c r="E6" i="3"/>
  <c r="E5" i="3"/>
  <c r="K2" i="3"/>
  <c r="K6" i="3"/>
  <c r="K1" i="3"/>
  <c r="E2" i="3"/>
  <c r="E3" i="3"/>
  <c r="E4" i="3"/>
  <c r="D2" i="3"/>
  <c r="D3" i="3"/>
  <c r="D4" i="3"/>
  <c r="D5" i="3"/>
  <c r="D6" i="3"/>
  <c r="C3" i="3"/>
  <c r="C4" i="3"/>
  <c r="C2" i="3"/>
  <c r="G5" i="3" l="1"/>
  <c r="G6" i="3"/>
  <c r="G4" i="3"/>
  <c r="G3" i="3"/>
  <c r="H2" i="3"/>
  <c r="F6" i="3"/>
  <c r="F5" i="3"/>
  <c r="F4" i="3"/>
  <c r="F3" i="3"/>
  <c r="K9" i="3" s="1" a="1"/>
  <c r="K9" i="3" s="1"/>
  <c r="H9" i="8"/>
  <c r="E5" i="8"/>
  <c r="F7" i="8"/>
  <c r="I7" i="8" s="1"/>
  <c r="F5" i="8"/>
  <c r="I5" i="8" s="1"/>
  <c r="E10" i="8"/>
  <c r="F10" i="8"/>
  <c r="I10" i="8" s="1"/>
  <c r="E3" i="8"/>
  <c r="F3" i="8"/>
  <c r="I3" i="8" s="1"/>
  <c r="E7" i="8"/>
  <c r="E6" i="8"/>
  <c r="F6" i="8"/>
  <c r="I6" i="8" s="1"/>
  <c r="F8" i="8"/>
  <c r="I8" i="8" s="1"/>
  <c r="F9" i="8"/>
  <c r="I9" i="8" s="1"/>
  <c r="E2" i="8"/>
  <c r="F2" i="8"/>
  <c r="I2" i="8" s="1"/>
  <c r="E4" i="8"/>
  <c r="E8" i="8"/>
  <c r="K5" i="6"/>
  <c r="G2" i="6"/>
  <c r="K4" i="6"/>
  <c r="G5" i="6"/>
  <c r="F9" i="6"/>
  <c r="G9" i="6"/>
  <c r="F12" i="6"/>
  <c r="F4" i="6"/>
  <c r="G12" i="6"/>
  <c r="K3" i="6"/>
  <c r="G4" i="6"/>
  <c r="G8" i="6"/>
  <c r="H8" i="6" s="1"/>
  <c r="F6" i="6"/>
  <c r="G3" i="6"/>
  <c r="G6" i="6"/>
  <c r="F3" i="6"/>
  <c r="F5" i="6"/>
  <c r="H5" i="6" s="1"/>
  <c r="G11" i="6"/>
  <c r="F2" i="6"/>
  <c r="F11" i="6"/>
  <c r="F10" i="6"/>
  <c r="F7" i="6"/>
  <c r="H7" i="6" s="1"/>
  <c r="G10" i="6"/>
  <c r="C6" i="3"/>
  <c r="C5" i="3"/>
  <c r="K5" i="3"/>
  <c r="K4" i="3"/>
  <c r="Q6" i="2"/>
  <c r="P1" i="6" l="1"/>
  <c r="U1" i="6" s="1"/>
  <c r="H11" i="6"/>
  <c r="H6" i="8"/>
  <c r="G6" i="8"/>
  <c r="H8" i="8"/>
  <c r="G8" i="8"/>
  <c r="L3" i="8"/>
  <c r="H5" i="8"/>
  <c r="G5" i="8"/>
  <c r="H7" i="8"/>
  <c r="G7" i="8"/>
  <c r="H3" i="8"/>
  <c r="G3" i="8"/>
  <c r="H4" i="8"/>
  <c r="G4" i="8"/>
  <c r="H10" i="8"/>
  <c r="G10" i="8"/>
  <c r="H2" i="8"/>
  <c r="G2" i="8"/>
  <c r="G9" i="8"/>
  <c r="H3" i="6"/>
  <c r="P3" i="6"/>
  <c r="U3" i="6" s="1"/>
  <c r="H10" i="6"/>
  <c r="H9" i="6"/>
  <c r="H4" i="6"/>
  <c r="H12" i="6"/>
  <c r="H2" i="6"/>
  <c r="K9" i="6" a="1"/>
  <c r="K9" i="6" s="1"/>
  <c r="H6" i="6"/>
  <c r="K10" i="6" a="1"/>
  <c r="K10" i="6" s="1"/>
  <c r="K10" i="3" a="1"/>
  <c r="K10" i="3" s="1"/>
  <c r="H6" i="3"/>
  <c r="H3" i="3"/>
  <c r="H4" i="3"/>
  <c r="H5" i="3"/>
  <c r="K3" i="3"/>
  <c r="D3" i="2"/>
  <c r="F2" i="2" s="1"/>
  <c r="D1" i="2"/>
  <c r="E2" i="2" l="1"/>
  <c r="H2" i="2" s="1"/>
  <c r="I2" i="2"/>
  <c r="P3" i="3"/>
  <c r="P1" i="3"/>
  <c r="U1" i="3" s="1"/>
  <c r="L1" i="8"/>
  <c r="L2" i="8"/>
  <c r="K8" i="6"/>
  <c r="U7" i="6" s="1"/>
  <c r="K8" i="3"/>
  <c r="G2" i="2" l="1"/>
  <c r="U3" i="3"/>
  <c r="Q1" i="8"/>
  <c r="Q4" i="8"/>
  <c r="Q7" i="8" s="1"/>
  <c r="E8" i="2"/>
  <c r="H8" i="2" s="1"/>
  <c r="D1" i="1"/>
  <c r="E13" i="1" s="1"/>
  <c r="F13" i="1" s="1"/>
  <c r="E2" i="1" l="1"/>
  <c r="F2" i="1" s="1"/>
  <c r="F9" i="2"/>
  <c r="I9" i="2" s="1"/>
  <c r="E10" i="2"/>
  <c r="H10" i="2" s="1"/>
  <c r="F8" i="2"/>
  <c r="I8" i="2" s="1"/>
  <c r="E9" i="2"/>
  <c r="H9" i="2" s="1"/>
  <c r="F7" i="2"/>
  <c r="I7" i="2" s="1"/>
  <c r="F11" i="2"/>
  <c r="I11" i="2" s="1"/>
  <c r="F6" i="2"/>
  <c r="I6" i="2" s="1"/>
  <c r="E11" i="2"/>
  <c r="H11" i="2" s="1"/>
  <c r="E7" i="2"/>
  <c r="H7" i="2" s="1"/>
  <c r="F5" i="2"/>
  <c r="I5" i="2" s="1"/>
  <c r="F10" i="2"/>
  <c r="I10" i="2" s="1"/>
  <c r="E6" i="2"/>
  <c r="H6" i="2" s="1"/>
  <c r="F4" i="2"/>
  <c r="I4" i="2" s="1"/>
  <c r="E5" i="2"/>
  <c r="H5" i="2" s="1"/>
  <c r="F3" i="2"/>
  <c r="I3" i="2" s="1"/>
  <c r="E4" i="2"/>
  <c r="H4" i="2" s="1"/>
  <c r="E3" i="2"/>
  <c r="H3" i="2" s="1"/>
  <c r="E8" i="1"/>
  <c r="F8" i="1" s="1"/>
  <c r="E7" i="1"/>
  <c r="F7" i="1" s="1"/>
  <c r="E15" i="1"/>
  <c r="F15" i="1" s="1"/>
  <c r="E12" i="1"/>
  <c r="F12" i="1" s="1"/>
  <c r="E9" i="1"/>
  <c r="F9" i="1" s="1"/>
  <c r="E6" i="1"/>
  <c r="F6" i="1" s="1"/>
  <c r="E11" i="1"/>
  <c r="F11" i="1" s="1"/>
  <c r="E5" i="1"/>
  <c r="F5" i="1" s="1"/>
  <c r="E10" i="1"/>
  <c r="F10" i="1" s="1"/>
  <c r="E16" i="1"/>
  <c r="F16" i="1" s="1"/>
  <c r="E4" i="1"/>
  <c r="F4" i="1" s="1"/>
  <c r="E3" i="1"/>
  <c r="F3" i="1" s="1"/>
  <c r="E14" i="1"/>
  <c r="F14" i="1" s="1"/>
  <c r="L2" i="2" l="1"/>
  <c r="L3" i="2"/>
  <c r="G11" i="2"/>
  <c r="G7" i="2"/>
  <c r="G8" i="2"/>
  <c r="G9" i="2"/>
  <c r="G3" i="2"/>
  <c r="G4" i="2"/>
  <c r="G5" i="2"/>
  <c r="G10" i="2"/>
  <c r="G6" i="2"/>
  <c r="L1" i="2" l="1"/>
  <c r="Q1" i="2" l="1"/>
  <c r="Q4" i="2"/>
  <c r="Q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<sst xmlns="http://schemas.openxmlformats.org/spreadsheetml/2006/main" count="113" uniqueCount="52">
  <si>
    <t xml:space="preserve">X </t>
  </si>
  <si>
    <t xml:space="preserve">Desviacion  (𝑥𝑖−¯𝑥) </t>
  </si>
  <si>
    <t xml:space="preserve">Desviacion cuadratica </t>
  </si>
  <si>
    <t xml:space="preserve">Varianza muestral </t>
  </si>
  <si>
    <t>n</t>
  </si>
  <si>
    <t xml:space="preserve">Desviacion estanda muestral </t>
  </si>
  <si>
    <t>X  media</t>
  </si>
  <si>
    <t xml:space="preserve">n </t>
  </si>
  <si>
    <t>x</t>
  </si>
  <si>
    <t>y</t>
  </si>
  <si>
    <t xml:space="preserve">(𝑥𝑖−¯𝑥) </t>
  </si>
  <si>
    <t xml:space="preserve">(y𝑖−¯y) </t>
  </si>
  <si>
    <t>y  media</t>
  </si>
  <si>
    <t xml:space="preserve">∑(𝑥𝑖−¯𝑥) (y𝑖−¯y) </t>
  </si>
  <si>
    <t xml:space="preserve">(𝑥𝑖−¯𝑥) (y𝑖−¯y) </t>
  </si>
  <si>
    <t>Covarianza</t>
  </si>
  <si>
    <t>Coeficiente de correlacion muestral</t>
  </si>
  <si>
    <t>√(∑〖(𝑥𝑖−¯𝑥)〗^2 )</t>
  </si>
  <si>
    <t>(𝑥𝑖−¯𝑥) ^2</t>
  </si>
  <si>
    <t>(y𝑖−¯y) ^2</t>
  </si>
  <si>
    <t>√(∑〖(y𝑖−¯y)〗^2 )</t>
  </si>
  <si>
    <t>Coeficiente de determinacion</t>
  </si>
  <si>
    <t>xy</t>
  </si>
  <si>
    <t>x^2</t>
  </si>
  <si>
    <t>y^2</t>
  </si>
  <si>
    <t>∑𝑥</t>
  </si>
  <si>
    <t>∑y</t>
  </si>
  <si>
    <t>∑𝑥y</t>
  </si>
  <si>
    <t>∑𝑥^2</t>
  </si>
  <si>
    <t>∑y^2</t>
  </si>
  <si>
    <t>m</t>
  </si>
  <si>
    <t>N</t>
  </si>
  <si>
    <t>b</t>
  </si>
  <si>
    <t>General Equation</t>
  </si>
  <si>
    <t>Evaluate x</t>
  </si>
  <si>
    <t>(xi-x)</t>
  </si>
  <si>
    <t>(yi-x)2</t>
  </si>
  <si>
    <t>Temperatura</t>
  </si>
  <si>
    <t>Densidad</t>
  </si>
  <si>
    <t>Calor Especifico</t>
  </si>
  <si>
    <t>Temperatura (°C)</t>
  </si>
  <si>
    <t>Densidad(kg/m3)</t>
  </si>
  <si>
    <t>Viscosidad(cP)</t>
  </si>
  <si>
    <t>Tension Superficial (N/m)</t>
  </si>
  <si>
    <t>Calor Especifico/J/g °C)</t>
  </si>
  <si>
    <t>Viscosidad</t>
  </si>
  <si>
    <t>Tension Superficial</t>
  </si>
  <si>
    <t>Calor especifico</t>
  </si>
  <si>
    <t>Coeficiente de correlacion muestral r</t>
  </si>
  <si>
    <t>Coeficiente de determinacion r^2</t>
  </si>
  <si>
    <t>(yi-y)2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</si>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</sst>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F3F3F"/>
      <name val="Verdana"/>
      <family val="2"/>
    </font>
    <font>
      <sz val="11"/>
      <color theme="8" tint="-0.249977111117893"/>
      <name val="Calibri"/>
      <family val="2"/>
      <scheme val="minor"/>
    </font>
    <font>
      <b/>
      <sz val="7"/>
      <color rgb="FF3F3F3F"/>
      <name val="Verdana"/>
      <family val="2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46ADC7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AFD7E4"/>
      </left>
      <right style="thick">
        <color rgb="FFAFD7E4"/>
      </right>
      <top style="thick">
        <color rgb="FFAFD7E4"/>
      </top>
      <bottom/>
      <diagonal/>
    </border>
    <border>
      <left style="thick">
        <color rgb="FFAFD7E4"/>
      </left>
      <right style="thick">
        <color rgb="FFAFD7E4"/>
      </right>
      <top/>
      <bottom/>
      <diagonal/>
    </border>
    <border>
      <left style="thick">
        <color rgb="FFAFD7E4"/>
      </left>
      <right/>
      <top/>
      <bottom/>
      <diagonal/>
    </border>
    <border>
      <left/>
      <right/>
      <top style="thick">
        <color rgb="FFAFD7E4"/>
      </top>
      <bottom/>
      <diagonal/>
    </border>
    <border>
      <left style="thick">
        <color rgb="FFAFD7E4"/>
      </left>
      <right style="thick">
        <color rgb="FFAFD7E4"/>
      </right>
      <top/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2" tint="-9.9978637043366805E-2"/>
      </top>
      <bottom/>
      <diagonal/>
    </border>
    <border>
      <left style="thick">
        <color rgb="FFAFD7E4"/>
      </left>
      <right style="thick">
        <color rgb="FFAFD7E4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ck">
        <color rgb="FFAFD7E4"/>
      </right>
      <top/>
      <bottom style="thin">
        <color theme="4" tint="0.39997558519241921"/>
      </bottom>
      <diagonal/>
    </border>
    <border>
      <left style="thick">
        <color rgb="FFAFD7E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AFD7E4"/>
      </left>
      <right/>
      <top style="thick">
        <color rgb="FFAFD7E4"/>
      </top>
      <bottom/>
      <diagonal/>
    </border>
    <border>
      <left/>
      <right style="thick">
        <color rgb="FFAFD7E4"/>
      </right>
      <top style="thick">
        <color rgb="FFAFD7E4"/>
      </top>
      <bottom/>
      <diagonal/>
    </border>
    <border>
      <left/>
      <right style="thick">
        <color rgb="FFAFD7E4"/>
      </right>
      <top/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6" fillId="2" borderId="18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2" fillId="0" borderId="2" xfId="2"/>
    <xf numFmtId="0" fontId="0" fillId="0" borderId="10" xfId="0" applyBorder="1"/>
    <xf numFmtId="0" fontId="2" fillId="0" borderId="0" xfId="0" applyFont="1"/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7" fillId="5" borderId="0" xfId="4" applyAlignment="1">
      <alignment horizontal="center" vertical="center"/>
    </xf>
    <xf numFmtId="0" fontId="8" fillId="6" borderId="0" xfId="5" applyAlignment="1">
      <alignment horizontal="center" vertical="center"/>
    </xf>
    <xf numFmtId="0" fontId="9" fillId="0" borderId="0" xfId="0" applyFont="1"/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2" xfId="2" applyAlignment="1">
      <alignment horizontal="center"/>
    </xf>
    <xf numFmtId="0" fontId="1" fillId="2" borderId="1" xfId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2" xfId="2" applyAlignment="1"/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16" xfId="2" applyBorder="1" applyAlignment="1">
      <alignment horizontal="center"/>
    </xf>
    <xf numFmtId="0" fontId="2" fillId="0" borderId="17" xfId="2" applyBorder="1" applyAlignment="1">
      <alignment horizontal="center"/>
    </xf>
    <xf numFmtId="0" fontId="1" fillId="2" borderId="0" xfId="1" applyFill="1" applyBorder="1" applyAlignment="1">
      <alignment horizontal="center" vertical="center"/>
    </xf>
    <xf numFmtId="0" fontId="0" fillId="0" borderId="0" xfId="0"/>
    <xf numFmtId="0" fontId="6" fillId="2" borderId="18" xfId="3" applyAlignment="1">
      <alignment horizontal="center"/>
    </xf>
  </cellXfs>
  <cellStyles count="6">
    <cellStyle name="Bad" xfId="5" builtinId="27"/>
    <cellStyle name="Calculation" xfId="3" builtinId="22"/>
    <cellStyle name="Good" xfId="4" builtinId="26"/>
    <cellStyle name="Linked Cell" xfId="1" builtinId="24"/>
    <cellStyle name="Normal" xfId="0" builtinId="0"/>
    <cellStyle name="Total" xfId="2" builtinId="25"/>
  </cellStyles>
  <dxfs count="9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AFD7E4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AFD7E4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AFD7E4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AFD7E4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rgb="FFAFD7E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F3F3F"/>
        <name val="Verdana"/>
        <family val="2"/>
        <scheme val="none"/>
      </font>
      <fill>
        <patternFill patternType="solid">
          <fgColor indexed="64"/>
          <bgColor rgb="FF46ADC7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928695532776711E-2"/>
                  <c:y val="-0.24370229007633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Covarianza!$A$2:$A$11</c:f>
              <c:numCache>
                <c:formatCode>General</c:formatCode>
                <c:ptCount val="10"/>
                <c:pt idx="0">
                  <c:v>8100</c:v>
                </c:pt>
                <c:pt idx="1">
                  <c:v>6600</c:v>
                </c:pt>
                <c:pt idx="2">
                  <c:v>8700</c:v>
                </c:pt>
                <c:pt idx="3">
                  <c:v>8700</c:v>
                </c:pt>
                <c:pt idx="4">
                  <c:v>9900</c:v>
                </c:pt>
                <c:pt idx="5">
                  <c:v>8800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13</c:v>
                </c:pt>
              </c:numCache>
            </c:numRef>
          </c:xVal>
          <c:yVal>
            <c:numRef>
              <c:f>Covarianza!$B$2:$B$11</c:f>
              <c:numCache>
                <c:formatCode>General</c:formatCode>
                <c:ptCount val="10"/>
                <c:pt idx="0">
                  <c:v>17.899999999999999</c:v>
                </c:pt>
                <c:pt idx="1">
                  <c:v>18.8</c:v>
                </c:pt>
                <c:pt idx="2">
                  <c:v>19.600000000000001</c:v>
                </c:pt>
                <c:pt idx="3">
                  <c:v>19</c:v>
                </c:pt>
                <c:pt idx="4">
                  <c:v>20.9</c:v>
                </c:pt>
                <c:pt idx="5">
                  <c:v>16.5</c:v>
                </c:pt>
                <c:pt idx="6">
                  <c:v>1.98</c:v>
                </c:pt>
                <c:pt idx="7">
                  <c:v>2.0699999999999998</c:v>
                </c:pt>
                <c:pt idx="8">
                  <c:v>2.1</c:v>
                </c:pt>
                <c:pt idx="9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BF-49FF-A04D-276B7B450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809919"/>
        <c:axId val="1504811167"/>
      </c:scatterChart>
      <c:valAx>
        <c:axId val="150480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11167"/>
        <c:crosses val="autoZero"/>
        <c:crossBetween val="midCat"/>
      </c:valAx>
      <c:valAx>
        <c:axId val="150481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0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'Regresion Lineal'!$B$1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031393265239003E-2"/>
                  <c:y val="-0.25456043495326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'Regresion Lineal'!$A$2:$A$6</c:f>
              <c:numCache>
                <c:formatCode>General</c:formatCode>
                <c:ptCount val="5"/>
                <c:pt idx="0">
                  <c:v>8100</c:v>
                </c:pt>
                <c:pt idx="1">
                  <c:v>6600</c:v>
                </c:pt>
                <c:pt idx="2">
                  <c:v>8700</c:v>
                </c:pt>
                <c:pt idx="3">
                  <c:v>8700</c:v>
                </c:pt>
                <c:pt idx="4">
                  <c:v>8800</c:v>
                </c:pt>
              </c:numCache>
            </c:numRef>
          </c:xVal>
          <c:yVal>
            <c:numRef>
              <c:f>'Regresion Lineal'!$B$2:$B$6</c:f>
              <c:numCache>
                <c:formatCode>General</c:formatCode>
                <c:ptCount val="5"/>
                <c:pt idx="0">
                  <c:v>17.899999999999999</c:v>
                </c:pt>
                <c:pt idx="1">
                  <c:v>18.8</c:v>
                </c:pt>
                <c:pt idx="2">
                  <c:v>19.600000000000001</c:v>
                </c:pt>
                <c:pt idx="3">
                  <c:v>19</c:v>
                </c:pt>
                <c:pt idx="4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C-40AA-A78B-7CFEA7280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45040"/>
        <c:axId val="406645456"/>
      </c:scatterChart>
      <c:valAx>
        <c:axId val="40664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45456"/>
        <c:crosses val="autoZero"/>
        <c:crossBetween val="midCat"/>
      </c:valAx>
      <c:valAx>
        <c:axId val="4066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4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Tension vs Calor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466972878390201E-2"/>
                  <c:y val="-0.52984142607174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Examen1!$D$2:$D$12</c:f>
              <c:numCache>
                <c:formatCode>General</c:formatCode>
                <c:ptCount val="11"/>
                <c:pt idx="0">
                  <c:v>7.5639999999999999E-2</c:v>
                </c:pt>
                <c:pt idx="1">
                  <c:v>7.4230000000000004E-2</c:v>
                </c:pt>
                <c:pt idx="2">
                  <c:v>7.2749999999999995E-2</c:v>
                </c:pt>
                <c:pt idx="3">
                  <c:v>7.1199999999999999E-2</c:v>
                </c:pt>
                <c:pt idx="4">
                  <c:v>6.9599999999999995E-2</c:v>
                </c:pt>
                <c:pt idx="5">
                  <c:v>6.794E-2</c:v>
                </c:pt>
                <c:pt idx="6">
                  <c:v>6.6239999999999993E-2</c:v>
                </c:pt>
                <c:pt idx="7">
                  <c:v>6.447E-2</c:v>
                </c:pt>
                <c:pt idx="8">
                  <c:v>6.2670000000000003E-2</c:v>
                </c:pt>
                <c:pt idx="9">
                  <c:v>6.08E-2</c:v>
                </c:pt>
                <c:pt idx="10">
                  <c:v>5.8909999999999997E-2</c:v>
                </c:pt>
              </c:numCache>
            </c:numRef>
          </c:xVal>
          <c:yVal>
            <c:numRef>
              <c:f>Examen1!$E$2:$E$12</c:f>
              <c:numCache>
                <c:formatCode>General</c:formatCode>
                <c:ptCount val="11"/>
                <c:pt idx="0">
                  <c:v>421.76</c:v>
                </c:pt>
                <c:pt idx="1">
                  <c:v>419.21</c:v>
                </c:pt>
                <c:pt idx="2">
                  <c:v>418.18</c:v>
                </c:pt>
                <c:pt idx="3">
                  <c:v>417.84</c:v>
                </c:pt>
                <c:pt idx="4">
                  <c:v>417.85</c:v>
                </c:pt>
                <c:pt idx="5">
                  <c:v>418.06</c:v>
                </c:pt>
                <c:pt idx="6">
                  <c:v>418.43</c:v>
                </c:pt>
                <c:pt idx="7">
                  <c:v>418.95</c:v>
                </c:pt>
                <c:pt idx="8">
                  <c:v>419.63</c:v>
                </c:pt>
                <c:pt idx="9">
                  <c:v>420.5</c:v>
                </c:pt>
                <c:pt idx="10">
                  <c:v>421.59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3-4CCF-B1F2-C2C9AEB10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446543"/>
        <c:axId val="2012088463"/>
      </c:scatterChart>
      <c:valAx>
        <c:axId val="196644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Tension Superficial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88463"/>
        <c:crosses val="autoZero"/>
        <c:crossBetween val="midCat"/>
      </c:valAx>
      <c:valAx>
        <c:axId val="201208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Calor</a:t>
                </a:r>
                <a:r>
                  <a:rPr lang="en-GB" baseline="0"/>
                  <a:t> Especifico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44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Calor vs Viscosidad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437664041994751E-2"/>
                  <c:y val="-0.43419655876348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Examen1!$C$2:$C$12</c:f>
              <c:numCache>
                <c:formatCode>General</c:formatCode>
                <c:ptCount val="11"/>
                <c:pt idx="0">
                  <c:v>1783</c:v>
                </c:pt>
                <c:pt idx="1">
                  <c:v>1307</c:v>
                </c:pt>
                <c:pt idx="2">
                  <c:v>1002</c:v>
                </c:pt>
                <c:pt idx="3">
                  <c:v>797.7</c:v>
                </c:pt>
                <c:pt idx="4">
                  <c:v>653.20000000000005</c:v>
                </c:pt>
                <c:pt idx="5">
                  <c:v>547</c:v>
                </c:pt>
                <c:pt idx="6">
                  <c:v>466.5</c:v>
                </c:pt>
                <c:pt idx="7">
                  <c:v>404</c:v>
                </c:pt>
                <c:pt idx="8">
                  <c:v>354.4</c:v>
                </c:pt>
                <c:pt idx="9">
                  <c:v>314.5</c:v>
                </c:pt>
                <c:pt idx="10">
                  <c:v>261.8</c:v>
                </c:pt>
              </c:numCache>
            </c:numRef>
          </c:xVal>
          <c:yVal>
            <c:numRef>
              <c:f>Examen1!$E$2:$E$12</c:f>
              <c:numCache>
                <c:formatCode>General</c:formatCode>
                <c:ptCount val="11"/>
                <c:pt idx="0">
                  <c:v>421.76</c:v>
                </c:pt>
                <c:pt idx="1">
                  <c:v>419.21</c:v>
                </c:pt>
                <c:pt idx="2">
                  <c:v>418.18</c:v>
                </c:pt>
                <c:pt idx="3">
                  <c:v>417.84</c:v>
                </c:pt>
                <c:pt idx="4">
                  <c:v>417.85</c:v>
                </c:pt>
                <c:pt idx="5">
                  <c:v>418.06</c:v>
                </c:pt>
                <c:pt idx="6">
                  <c:v>418.43</c:v>
                </c:pt>
                <c:pt idx="7">
                  <c:v>418.95</c:v>
                </c:pt>
                <c:pt idx="8">
                  <c:v>419.63</c:v>
                </c:pt>
                <c:pt idx="9">
                  <c:v>420.5</c:v>
                </c:pt>
                <c:pt idx="10">
                  <c:v>421.59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0-4232-B827-891B76B35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306431"/>
        <c:axId val="1747305183"/>
      </c:scatterChart>
      <c:valAx>
        <c:axId val="174730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Viscosidad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05183"/>
        <c:crosses val="autoZero"/>
        <c:crossBetween val="midCat"/>
      </c:valAx>
      <c:valAx>
        <c:axId val="174730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Calor Especifico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0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Calor vs</a:t>
            </a:r>
            <a:r>
              <a:rPr lang="en-GB" baseline="0"/>
              <a:t> Densidad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027287868919602"/>
                  <c:y val="-0.46949500953938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Examen1!$B$2:$B$12</c:f>
              <c:numCache>
                <c:formatCode>General</c:formatCode>
                <c:ptCount val="11"/>
                <c:pt idx="0">
                  <c:v>999.8</c:v>
                </c:pt>
                <c:pt idx="1">
                  <c:v>999.7</c:v>
                </c:pt>
                <c:pt idx="2">
                  <c:v>998.2</c:v>
                </c:pt>
                <c:pt idx="3">
                  <c:v>995.6</c:v>
                </c:pt>
                <c:pt idx="4">
                  <c:v>992.2</c:v>
                </c:pt>
                <c:pt idx="5">
                  <c:v>988.1</c:v>
                </c:pt>
                <c:pt idx="6">
                  <c:v>983.2</c:v>
                </c:pt>
                <c:pt idx="7">
                  <c:v>977.8</c:v>
                </c:pt>
                <c:pt idx="8">
                  <c:v>971.8</c:v>
                </c:pt>
                <c:pt idx="9">
                  <c:v>965.3</c:v>
                </c:pt>
                <c:pt idx="10">
                  <c:v>958.4</c:v>
                </c:pt>
              </c:numCache>
            </c:numRef>
          </c:xVal>
          <c:yVal>
            <c:numRef>
              <c:f>Examen1!$E$2:$E$12</c:f>
              <c:numCache>
                <c:formatCode>General</c:formatCode>
                <c:ptCount val="11"/>
                <c:pt idx="0">
                  <c:v>421.76</c:v>
                </c:pt>
                <c:pt idx="1">
                  <c:v>419.21</c:v>
                </c:pt>
                <c:pt idx="2">
                  <c:v>418.18</c:v>
                </c:pt>
                <c:pt idx="3">
                  <c:v>417.84</c:v>
                </c:pt>
                <c:pt idx="4">
                  <c:v>417.85</c:v>
                </c:pt>
                <c:pt idx="5">
                  <c:v>418.06</c:v>
                </c:pt>
                <c:pt idx="6">
                  <c:v>418.43</c:v>
                </c:pt>
                <c:pt idx="7">
                  <c:v>418.95</c:v>
                </c:pt>
                <c:pt idx="8">
                  <c:v>419.63</c:v>
                </c:pt>
                <c:pt idx="9">
                  <c:v>420.5</c:v>
                </c:pt>
                <c:pt idx="10">
                  <c:v>421.59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E-4AC6-BDC8-24FCE4686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682799"/>
        <c:axId val="2089681967"/>
      </c:scatterChart>
      <c:valAx>
        <c:axId val="208968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Densidad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681967"/>
        <c:crosses val="autoZero"/>
        <c:crossBetween val="midCat"/>
      </c:valAx>
      <c:valAx>
        <c:axId val="20896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Calor Especifico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68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Temperature vs Calor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26202974628172"/>
                  <c:y val="-0.37756525226013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Examen1!$A$2:$A$12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Examen1!$E$2:$E$12</c:f>
              <c:numCache>
                <c:formatCode>General</c:formatCode>
                <c:ptCount val="11"/>
                <c:pt idx="0">
                  <c:v>421.76</c:v>
                </c:pt>
                <c:pt idx="1">
                  <c:v>419.21</c:v>
                </c:pt>
                <c:pt idx="2">
                  <c:v>418.18</c:v>
                </c:pt>
                <c:pt idx="3">
                  <c:v>417.84</c:v>
                </c:pt>
                <c:pt idx="4">
                  <c:v>417.85</c:v>
                </c:pt>
                <c:pt idx="5">
                  <c:v>418.06</c:v>
                </c:pt>
                <c:pt idx="6">
                  <c:v>418.43</c:v>
                </c:pt>
                <c:pt idx="7">
                  <c:v>418.95</c:v>
                </c:pt>
                <c:pt idx="8">
                  <c:v>419.63</c:v>
                </c:pt>
                <c:pt idx="9">
                  <c:v>420.5</c:v>
                </c:pt>
                <c:pt idx="10">
                  <c:v>421.59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0B-4531-BF21-2EC7EC0BF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098943"/>
        <c:axId val="2092104351"/>
      </c:scatterChart>
      <c:valAx>
        <c:axId val="209209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04351"/>
        <c:crosses val="autoZero"/>
        <c:crossBetween val="midCat"/>
      </c:valAx>
      <c:valAx>
        <c:axId val="209210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Calor Especifico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9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928695532776711E-2"/>
                  <c:y val="-0.24370229007633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Covarianza!$A$2:$A$11</c:f>
              <c:numCache>
                <c:formatCode>General</c:formatCode>
                <c:ptCount val="10"/>
                <c:pt idx="0">
                  <c:v>8100</c:v>
                </c:pt>
                <c:pt idx="1">
                  <c:v>6600</c:v>
                </c:pt>
                <c:pt idx="2">
                  <c:v>8700</c:v>
                </c:pt>
                <c:pt idx="3">
                  <c:v>8700</c:v>
                </c:pt>
                <c:pt idx="4">
                  <c:v>9900</c:v>
                </c:pt>
                <c:pt idx="5">
                  <c:v>8800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13</c:v>
                </c:pt>
              </c:numCache>
            </c:numRef>
          </c:xVal>
          <c:yVal>
            <c:numRef>
              <c:f>Covarianza!$B$2:$B$11</c:f>
              <c:numCache>
                <c:formatCode>General</c:formatCode>
                <c:ptCount val="10"/>
                <c:pt idx="0">
                  <c:v>17.899999999999999</c:v>
                </c:pt>
                <c:pt idx="1">
                  <c:v>18.8</c:v>
                </c:pt>
                <c:pt idx="2">
                  <c:v>19.600000000000001</c:v>
                </c:pt>
                <c:pt idx="3">
                  <c:v>19</c:v>
                </c:pt>
                <c:pt idx="4">
                  <c:v>20.9</c:v>
                </c:pt>
                <c:pt idx="5">
                  <c:v>16.5</c:v>
                </c:pt>
                <c:pt idx="6">
                  <c:v>1.98</c:v>
                </c:pt>
                <c:pt idx="7">
                  <c:v>2.0699999999999998</c:v>
                </c:pt>
                <c:pt idx="8">
                  <c:v>2.1</c:v>
                </c:pt>
                <c:pt idx="9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7F-4827-A939-68C3BFA6D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809919"/>
        <c:axId val="1504811167"/>
      </c:scatterChart>
      <c:valAx>
        <c:axId val="150480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11167"/>
        <c:crosses val="autoZero"/>
        <c:crossBetween val="midCat"/>
      </c:valAx>
      <c:valAx>
        <c:axId val="150481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0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'Regresion Lineal'!$B$1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878827646544183E-2"/>
                  <c:y val="-0.178087634878973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1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>
                <a:glow rad="25400">
                  <a:schemeClr val="lt1"/>
                </a:glow>
              </a:effectLst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>
                <a:glow rad="25400">
                  <a:schemeClr val="lt1"/>
                </a:glow>
              </a:effectLst>
            </c:spPr>
          </c:errBars>
          <c:xVal>
            <c:numRef>
              <c:f>'Regresion Lineal'!$A$2:$A$6</c:f>
              <c:numCache>
                <c:formatCode>General</c:formatCode>
                <c:ptCount val="5"/>
                <c:pt idx="0">
                  <c:v>8100</c:v>
                </c:pt>
                <c:pt idx="1">
                  <c:v>6600</c:v>
                </c:pt>
                <c:pt idx="2">
                  <c:v>8700</c:v>
                </c:pt>
                <c:pt idx="3">
                  <c:v>8700</c:v>
                </c:pt>
                <c:pt idx="4">
                  <c:v>8800</c:v>
                </c:pt>
              </c:numCache>
            </c:numRef>
          </c:xVal>
          <c:yVal>
            <c:numRef>
              <c:f>'Regresion Lineal'!$B$2:$B$6</c:f>
              <c:numCache>
                <c:formatCode>General</c:formatCode>
                <c:ptCount val="5"/>
                <c:pt idx="0">
                  <c:v>17.899999999999999</c:v>
                </c:pt>
                <c:pt idx="1">
                  <c:v>18.8</c:v>
                </c:pt>
                <c:pt idx="2">
                  <c:v>19.600000000000001</c:v>
                </c:pt>
                <c:pt idx="3">
                  <c:v>19</c:v>
                </c:pt>
                <c:pt idx="4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FA-4603-93C0-1B21C8A5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45040"/>
        <c:axId val="406645456"/>
      </c:scatterChart>
      <c:valAx>
        <c:axId val="40664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45456"/>
        <c:crosses val="autoZero"/>
        <c:crossBetween val="midCat"/>
      </c:valAx>
      <c:valAx>
        <c:axId val="4066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4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312421</xdr:colOff>
      <xdr:row>0</xdr:row>
      <xdr:rowOff>15240</xdr:rowOff>
    </xdr:from>
    <xdr:to>
      <xdr:col>10</xdr:col>
      <xdr:colOff>822961</xdr:colOff>
      <xdr:row>1</xdr:row>
      <xdr:rowOff>211523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3E5817-C516-3D57-7C76-C8E4471B8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1" y="15240"/>
          <a:ext cx="1729740" cy="394403"/>
        </a:xfrm>
        <a:prstGeom prst="rect">
          <a:avLst/>
        </a:prstGeom>
      </xdr:spPr>
    </xdr:pic>
    <xdr:clientData/>
  </xdr:twoCellAnchor>
  <xdr:twoCellAnchor editAs="oneCell">
    <xdr:from>
      <xdr:col>9</xdr:col>
      <xdr:colOff>236221</xdr:colOff>
      <xdr:row>2</xdr:row>
      <xdr:rowOff>49930</xdr:rowOff>
    </xdr:from>
    <xdr:to>
      <xdr:col>10</xdr:col>
      <xdr:colOff>327661</xdr:colOff>
      <xdr:row>3</xdr:row>
      <xdr:rowOff>137189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5CFBF3-9979-2561-8DB2-C2CD77088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1601" y="514750"/>
          <a:ext cx="701040" cy="285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426721</xdr:colOff>
      <xdr:row>0</xdr:row>
      <xdr:rowOff>15241</xdr:rowOff>
    </xdr:from>
    <xdr:to>
      <xdr:col>15</xdr:col>
      <xdr:colOff>643890</xdr:colOff>
      <xdr:row>1</xdr:row>
      <xdr:rowOff>147740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26E6ED-BC41-4132-86DB-BD9C64939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9701" y="15241"/>
          <a:ext cx="1424939" cy="324904"/>
        </a:xfrm>
        <a:prstGeom prst="rect">
          <a:avLst/>
        </a:prstGeom>
      </xdr:spPr>
    </xdr:pic>
    <xdr:clientData/>
  </xdr:twoCellAnchor>
  <xdr:twoCellAnchor editAs="oneCell">
    <xdr:from>
      <xdr:col>13</xdr:col>
      <xdr:colOff>373381</xdr:colOff>
      <xdr:row>0</xdr:row>
      <xdr:rowOff>0</xdr:rowOff>
    </xdr:from>
    <xdr:to>
      <xdr:col>15</xdr:col>
      <xdr:colOff>842158</xdr:colOff>
      <xdr:row>1</xdr:row>
      <xdr:rowOff>186722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D6CC27-67DD-3CAD-677D-C4691F17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6361" y="0"/>
          <a:ext cx="1691787" cy="365792"/>
        </a:xfrm>
        <a:prstGeom prst="rect">
          <a:avLst/>
        </a:prstGeom>
      </xdr:spPr>
    </xdr:pic>
    <xdr:clientData/>
  </xdr:twoCellAnchor>
  <xdr:oneCellAnchor>
    <xdr:from>
      <xdr:col>13</xdr:col>
      <xdr:colOff>243840</xdr:colOff>
      <xdr:row>3</xdr:row>
      <xdr:rowOff>76200</xdr:rowOff>
    </xdr:from>
    <xdr:ext cx="1861599" cy="404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9CFB746-E348-481C-8919-432343A06DC0}"/>
                </a:ext>
              </a:extLst>
            </xdr:cNvPr>
            <xdr:cNvSpPr txBox="1"/>
          </xdr:nvSpPr>
          <xdr:spPr>
            <a:xfrm>
              <a:off x="8983980" y="670560"/>
              <a:ext cx="1861599" cy="404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𝑥𝑖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bar>
                                  <m:barPr>
                                    <m:pos m:val="top"/>
                                    <m:ctrlP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barPr>
                                  <m:e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bar>
                              </m:e>
                            </m:d>
                          </m:e>
                        </m:nary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bar>
                          <m:barPr>
                            <m:pos m:val="top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ba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𝑥𝑖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ba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𝑦𝑖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ba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9CFB746-E348-481C-8919-432343A06DC0}"/>
                </a:ext>
              </a:extLst>
            </xdr:cNvPr>
            <xdr:cNvSpPr txBox="1"/>
          </xdr:nvSpPr>
          <xdr:spPr>
            <a:xfrm>
              <a:off x="8983980" y="670560"/>
              <a:ext cx="1861599" cy="404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𝑟</a:t>
              </a:r>
              <a:r>
                <a:rPr lang="es-MX" sz="1100" b="0" i="0">
                  <a:latin typeface="Cambria Math" panose="02040503050406030204" pitchFamily="18" charset="0"/>
                </a:rPr>
                <a:t>=  (∑▒(𝑥𝑖−¯𝑥) (𝑦𝑖−¯𝑦))/(√(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∑▒〖(𝑥𝑖−¯𝑥)〗^2 ) √(∑▒〖(𝑦𝑖−¯𝑦)〗^2 ))</a:t>
              </a:r>
              <a:endParaRPr lang="en-GB" sz="1100"/>
            </a:p>
          </xdr:txBody>
        </xdr:sp>
      </mc:Fallback>
    </mc:AlternateContent>
    <xdr:clientData/>
  </xdr:oneCellAnchor>
  <xdr:twoCellAnchor editAs="oneCell">
    <xdr:from>
      <xdr:col>18</xdr:col>
      <xdr:colOff>15240</xdr:colOff>
      <xdr:row>0</xdr:row>
      <xdr:rowOff>0</xdr:rowOff>
    </xdr:from>
    <xdr:to>
      <xdr:col>24</xdr:col>
      <xdr:colOff>575676</xdr:colOff>
      <xdr:row>6</xdr:row>
      <xdr:rowOff>110619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712552-F4C2-F48C-8DAE-9C6C84C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78000" y="0"/>
          <a:ext cx="4221846" cy="1486029"/>
        </a:xfrm>
        <a:prstGeom prst="rect">
          <a:avLst/>
        </a:prstGeom>
      </xdr:spPr>
    </xdr:pic>
    <xdr:clientData/>
  </xdr:twoCellAnchor>
  <xdr:twoCellAnchor>
    <xdr:from>
      <xdr:col>12</xdr:col>
      <xdr:colOff>45720</xdr:colOff>
      <xdr:row>9</xdr:row>
      <xdr:rowOff>121920</xdr:rowOff>
    </xdr:from>
    <xdr:to>
      <xdr:col>16</xdr:col>
      <xdr:colOff>571500</xdr:colOff>
      <xdr:row>20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B9C6BF-794C-213F-799C-02E500464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14</xdr:col>
      <xdr:colOff>525780</xdr:colOff>
      <xdr:row>6</xdr:row>
      <xdr:rowOff>68580</xdr:rowOff>
    </xdr:from>
    <xdr:ext cx="1712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3CAE027-A3CC-4892-948C-8D62C6CF45F5}"/>
                </a:ext>
              </a:extLst>
            </xdr:cNvPr>
            <xdr:cNvSpPr txBox="1"/>
          </xdr:nvSpPr>
          <xdr:spPr>
            <a:xfrm>
              <a:off x="11948160" y="1455420"/>
              <a:ext cx="1712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3CAE027-A3CC-4892-948C-8D62C6CF45F5}"/>
                </a:ext>
              </a:extLst>
            </xdr:cNvPr>
            <xdr:cNvSpPr txBox="1"/>
          </xdr:nvSpPr>
          <xdr:spPr>
            <a:xfrm>
              <a:off x="11948160" y="1455420"/>
              <a:ext cx="1712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𝑟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137160</xdr:colOff>
      <xdr:row>0</xdr:row>
      <xdr:rowOff>22860</xdr:rowOff>
    </xdr:from>
    <xdr:to>
      <xdr:col>14</xdr:col>
      <xdr:colOff>1129663</xdr:colOff>
      <xdr:row>1</xdr:row>
      <xdr:rowOff>373380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52492-063C-BCDD-5941-9E7BAB124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2720" y="22860"/>
          <a:ext cx="2240279" cy="525780"/>
        </a:xfrm>
        <a:prstGeom prst="rect">
          <a:avLst/>
        </a:prstGeom>
      </xdr:spPr>
    </xdr:pic>
    <xdr:clientData/>
  </xdr:twoCellAnchor>
  <xdr:twoCellAnchor editAs="oneCell">
    <xdr:from>
      <xdr:col>12</xdr:col>
      <xdr:colOff>121921</xdr:colOff>
      <xdr:row>2</xdr:row>
      <xdr:rowOff>60960</xdr:rowOff>
    </xdr:from>
    <xdr:to>
      <xdr:col>14</xdr:col>
      <xdr:colOff>1127759</xdr:colOff>
      <xdr:row>3</xdr:row>
      <xdr:rowOff>303839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7DCE88-19AF-D563-DBB6-6E093B9C1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7481" y="655320"/>
          <a:ext cx="2225039" cy="440999"/>
        </a:xfrm>
        <a:prstGeom prst="rect">
          <a:avLst/>
        </a:prstGeom>
      </xdr:spPr>
    </xdr:pic>
    <xdr:clientData/>
  </xdr:twoCellAnchor>
  <xdr:oneCellAnchor>
    <xdr:from>
      <xdr:col>18</xdr:col>
      <xdr:colOff>91440</xdr:colOff>
      <xdr:row>1</xdr:row>
      <xdr:rowOff>7620</xdr:rowOff>
    </xdr:from>
    <xdr:ext cx="7418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00E20D8-B211-BAD9-7131-F41FD49459D2}"/>
                </a:ext>
              </a:extLst>
            </xdr:cNvPr>
            <xdr:cNvSpPr txBox="1"/>
          </xdr:nvSpPr>
          <xdr:spPr>
            <a:xfrm>
              <a:off x="10721340" y="205740"/>
              <a:ext cx="7418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𝑚𝑥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00E20D8-B211-BAD9-7131-F41FD49459D2}"/>
                </a:ext>
              </a:extLst>
            </xdr:cNvPr>
            <xdr:cNvSpPr txBox="1"/>
          </xdr:nvSpPr>
          <xdr:spPr>
            <a:xfrm>
              <a:off x="10721340" y="205740"/>
              <a:ext cx="7418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𝑦</a:t>
              </a:r>
              <a:r>
                <a:rPr lang="es-MX" sz="1100" b="0" i="0">
                  <a:latin typeface="Cambria Math" panose="02040503050406030204" pitchFamily="18" charset="0"/>
                </a:rPr>
                <a:t>=𝑚𝑥+𝑏</a:t>
              </a:r>
              <a:endParaRPr lang="es-MX" sz="1100" b="0"/>
            </a:p>
          </xdr:txBody>
        </xdr:sp>
      </mc:Fallback>
    </mc:AlternateContent>
    <xdr:clientData/>
  </xdr:oneCellAnchor>
  <xdr:twoCellAnchor>
    <xdr:from>
      <xdr:col>8</xdr:col>
      <xdr:colOff>314010</xdr:colOff>
      <xdr:row>19</xdr:row>
      <xdr:rowOff>187485</xdr:rowOff>
    </xdr:from>
    <xdr:to>
      <xdr:col>18</xdr:col>
      <xdr:colOff>282861</xdr:colOff>
      <xdr:row>41</xdr:row>
      <xdr:rowOff>157005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FD451E6-088F-9075-198A-92D8524DA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243840</xdr:colOff>
      <xdr:row>6</xdr:row>
      <xdr:rowOff>76200</xdr:rowOff>
    </xdr:from>
    <xdr:ext cx="1861599" cy="404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539B653-6127-409B-940A-19BA99869391}"/>
                </a:ext>
              </a:extLst>
            </xdr:cNvPr>
            <xdr:cNvSpPr txBox="1"/>
          </xdr:nvSpPr>
          <xdr:spPr>
            <a:xfrm>
              <a:off x="11132820" y="670560"/>
              <a:ext cx="1861599" cy="404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𝑥𝑖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bar>
                                  <m:barPr>
                                    <m:pos m:val="top"/>
                                    <m:ctrlP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barPr>
                                  <m:e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bar>
                              </m:e>
                            </m:d>
                          </m:e>
                        </m:nary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bar>
                          <m:barPr>
                            <m:pos m:val="top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ba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𝑥𝑖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ba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𝑦𝑖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ba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539B653-6127-409B-940A-19BA99869391}"/>
                </a:ext>
              </a:extLst>
            </xdr:cNvPr>
            <xdr:cNvSpPr txBox="1"/>
          </xdr:nvSpPr>
          <xdr:spPr>
            <a:xfrm>
              <a:off x="11132820" y="670560"/>
              <a:ext cx="1861599" cy="404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𝑟</a:t>
              </a:r>
              <a:r>
                <a:rPr lang="es-MX" sz="1100" b="0" i="0">
                  <a:latin typeface="Cambria Math" panose="02040503050406030204" pitchFamily="18" charset="0"/>
                </a:rPr>
                <a:t>=  (∑▒(𝑥𝑖−¯𝑥) (𝑦𝑖−¯𝑦))/(√(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∑▒〖(𝑥𝑖−¯𝑥)〗^2 ) √(∑▒〖(𝑦𝑖−¯𝑦)〗^2 ))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364435</xdr:colOff>
      <xdr:row>0</xdr:row>
      <xdr:rowOff>32302</xdr:rowOff>
    </xdr:from>
    <xdr:to>
      <xdr:col>13</xdr:col>
      <xdr:colOff>405848</xdr:colOff>
      <xdr:row>14</xdr:row>
      <xdr:rowOff>74544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B149E-4F16-18D1-56DB-7202DBAB6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339587</xdr:colOff>
      <xdr:row>14</xdr:row>
      <xdr:rowOff>139977</xdr:rowOff>
    </xdr:from>
    <xdr:to>
      <xdr:col>13</xdr:col>
      <xdr:colOff>397565</xdr:colOff>
      <xdr:row>28</xdr:row>
      <xdr:rowOff>157370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AEDB5F-5394-F35A-BEA1-9681DE6D5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530087</xdr:colOff>
      <xdr:row>0</xdr:row>
      <xdr:rowOff>65432</xdr:rowOff>
    </xdr:from>
    <xdr:to>
      <xdr:col>20</xdr:col>
      <xdr:colOff>231913</xdr:colOff>
      <xdr:row>14</xdr:row>
      <xdr:rowOff>82827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18182D-3383-3F50-F00F-D316055D7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521804</xdr:colOff>
      <xdr:row>14</xdr:row>
      <xdr:rowOff>156542</xdr:rowOff>
    </xdr:from>
    <xdr:to>
      <xdr:col>20</xdr:col>
      <xdr:colOff>273325</xdr:colOff>
      <xdr:row>28</xdr:row>
      <xdr:rowOff>165652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CF8C1E-1A7E-EB6B-BC46-1DD2AB9E0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426721</xdr:colOff>
      <xdr:row>0</xdr:row>
      <xdr:rowOff>15241</xdr:rowOff>
    </xdr:from>
    <xdr:to>
      <xdr:col>15</xdr:col>
      <xdr:colOff>632460</xdr:colOff>
      <xdr:row>1</xdr:row>
      <xdr:rowOff>157265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E9AF7-4B85-4730-9D98-06F65DE64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5701" y="15241"/>
          <a:ext cx="1424939" cy="324904"/>
        </a:xfrm>
        <a:prstGeom prst="rect">
          <a:avLst/>
        </a:prstGeom>
      </xdr:spPr>
    </xdr:pic>
    <xdr:clientData/>
  </xdr:twoCellAnchor>
  <xdr:twoCellAnchor editAs="oneCell">
    <xdr:from>
      <xdr:col>13</xdr:col>
      <xdr:colOff>373381</xdr:colOff>
      <xdr:row>0</xdr:row>
      <xdr:rowOff>0</xdr:rowOff>
    </xdr:from>
    <xdr:to>
      <xdr:col>15</xdr:col>
      <xdr:colOff>845968</xdr:colOff>
      <xdr:row>1</xdr:row>
      <xdr:rowOff>198152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587B3B-436D-43F6-9E51-ED6BDE29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2361" y="0"/>
          <a:ext cx="1691787" cy="365792"/>
        </a:xfrm>
        <a:prstGeom prst="rect">
          <a:avLst/>
        </a:prstGeom>
      </xdr:spPr>
    </xdr:pic>
    <xdr:clientData/>
  </xdr:twoCellAnchor>
  <xdr:oneCellAnchor>
    <xdr:from>
      <xdr:col>13</xdr:col>
      <xdr:colOff>243840</xdr:colOff>
      <xdr:row>3</xdr:row>
      <xdr:rowOff>76200</xdr:rowOff>
    </xdr:from>
    <xdr:ext cx="1861599" cy="404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FD7F7C9-0ACD-41C9-B34F-FE56445F7FDC}"/>
                </a:ext>
              </a:extLst>
            </xdr:cNvPr>
            <xdr:cNvSpPr txBox="1"/>
          </xdr:nvSpPr>
          <xdr:spPr>
            <a:xfrm>
              <a:off x="11132820" y="670560"/>
              <a:ext cx="1861599" cy="404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𝑥𝑖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bar>
                                  <m:barPr>
                                    <m:pos m:val="top"/>
                                    <m:ctrlP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barPr>
                                  <m:e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bar>
                              </m:e>
                            </m:d>
                          </m:e>
                        </m:nary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bar>
                          <m:barPr>
                            <m:pos m:val="top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ba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𝑥𝑖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ba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𝑦𝑖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ba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FD7F7C9-0ACD-41C9-B34F-FE56445F7FDC}"/>
                </a:ext>
              </a:extLst>
            </xdr:cNvPr>
            <xdr:cNvSpPr txBox="1"/>
          </xdr:nvSpPr>
          <xdr:spPr>
            <a:xfrm>
              <a:off x="11132820" y="670560"/>
              <a:ext cx="1861599" cy="404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𝑟</a:t>
              </a:r>
              <a:r>
                <a:rPr lang="es-MX" sz="1100" b="0" i="0">
                  <a:latin typeface="Cambria Math" panose="02040503050406030204" pitchFamily="18" charset="0"/>
                </a:rPr>
                <a:t>=  (∑▒(𝑥𝑖−¯𝑥) (𝑦𝑖−¯𝑦))/(√(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∑▒〖(𝑥𝑖−¯𝑥)〗^2 ) √(∑▒〖(𝑦𝑖−¯𝑦)〗^2 ))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12</xdr:col>
      <xdr:colOff>45720</xdr:colOff>
      <xdr:row>9</xdr:row>
      <xdr:rowOff>121920</xdr:rowOff>
    </xdr:from>
    <xdr:to>
      <xdr:col>16</xdr:col>
      <xdr:colOff>571500</xdr:colOff>
      <xdr:row>20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DED02A-AD77-4558-B861-10FB4AF07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14</xdr:col>
      <xdr:colOff>525780</xdr:colOff>
      <xdr:row>6</xdr:row>
      <xdr:rowOff>68580</xdr:rowOff>
    </xdr:from>
    <xdr:ext cx="1712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C2B275E-0511-478D-BE96-96A0B89A1183}"/>
                </a:ext>
              </a:extLst>
            </xdr:cNvPr>
            <xdr:cNvSpPr txBox="1"/>
          </xdr:nvSpPr>
          <xdr:spPr>
            <a:xfrm>
              <a:off x="12024360" y="1455420"/>
              <a:ext cx="1712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C2B275E-0511-478D-BE96-96A0B89A1183}"/>
                </a:ext>
              </a:extLst>
            </xdr:cNvPr>
            <xdr:cNvSpPr txBox="1"/>
          </xdr:nvSpPr>
          <xdr:spPr>
            <a:xfrm>
              <a:off x="12024360" y="1455420"/>
              <a:ext cx="1712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𝑟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137160</xdr:colOff>
      <xdr:row>0</xdr:row>
      <xdr:rowOff>22860</xdr:rowOff>
    </xdr:from>
    <xdr:to>
      <xdr:col>14</xdr:col>
      <xdr:colOff>1158239</xdr:colOff>
      <xdr:row>1</xdr:row>
      <xdr:rowOff>396240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6783CE-5E03-40CC-8D38-9E44CE11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3860" y="22860"/>
          <a:ext cx="2240279" cy="525780"/>
        </a:xfrm>
        <a:prstGeom prst="rect">
          <a:avLst/>
        </a:prstGeom>
      </xdr:spPr>
    </xdr:pic>
    <xdr:clientData/>
  </xdr:twoCellAnchor>
  <xdr:twoCellAnchor editAs="oneCell">
    <xdr:from>
      <xdr:col>12</xdr:col>
      <xdr:colOff>121921</xdr:colOff>
      <xdr:row>2</xdr:row>
      <xdr:rowOff>60960</xdr:rowOff>
    </xdr:from>
    <xdr:to>
      <xdr:col>14</xdr:col>
      <xdr:colOff>1127760</xdr:colOff>
      <xdr:row>3</xdr:row>
      <xdr:rowOff>44759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8AB846-4FAB-4DFE-8F15-CB4CBA222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8621" y="632460"/>
          <a:ext cx="2225039" cy="440999"/>
        </a:xfrm>
        <a:prstGeom prst="rect">
          <a:avLst/>
        </a:prstGeom>
      </xdr:spPr>
    </xdr:pic>
    <xdr:clientData/>
  </xdr:twoCellAnchor>
  <xdr:oneCellAnchor>
    <xdr:from>
      <xdr:col>18</xdr:col>
      <xdr:colOff>91440</xdr:colOff>
      <xdr:row>1</xdr:row>
      <xdr:rowOff>7620</xdr:rowOff>
    </xdr:from>
    <xdr:ext cx="7418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02745C8-3083-4650-8857-64E40EAB8852}"/>
                </a:ext>
              </a:extLst>
            </xdr:cNvPr>
            <xdr:cNvSpPr txBox="1"/>
          </xdr:nvSpPr>
          <xdr:spPr>
            <a:xfrm>
              <a:off x="12306300" y="182880"/>
              <a:ext cx="7418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𝑚𝑥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02745C8-3083-4650-8857-64E40EAB8852}"/>
                </a:ext>
              </a:extLst>
            </xdr:cNvPr>
            <xdr:cNvSpPr txBox="1"/>
          </xdr:nvSpPr>
          <xdr:spPr>
            <a:xfrm>
              <a:off x="12306300" y="182880"/>
              <a:ext cx="7418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𝑦</a:t>
              </a:r>
              <a:r>
                <a:rPr lang="es-MX" sz="1100" b="0" i="0">
                  <a:latin typeface="Cambria Math" panose="02040503050406030204" pitchFamily="18" charset="0"/>
                </a:rPr>
                <a:t>=𝑚𝑥+𝑏</a:t>
              </a:r>
              <a:endParaRPr lang="es-MX" sz="1100" b="0"/>
            </a:p>
          </xdr:txBody>
        </xdr:sp>
      </mc:Fallback>
    </mc:AlternateContent>
    <xdr:clientData/>
  </xdr:oneCellAnchor>
  <xdr:twoCellAnchor>
    <xdr:from>
      <xdr:col>15</xdr:col>
      <xdr:colOff>594360</xdr:colOff>
      <xdr:row>12</xdr:row>
      <xdr:rowOff>30480</xdr:rowOff>
    </xdr:from>
    <xdr:to>
      <xdr:col>20</xdr:col>
      <xdr:colOff>1203960</xdr:colOff>
      <xdr:row>27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A5A76-6662-427C-9BCE-91E6D0948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243840</xdr:colOff>
      <xdr:row>6</xdr:row>
      <xdr:rowOff>76200</xdr:rowOff>
    </xdr:from>
    <xdr:ext cx="1861599" cy="404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6DB02E-171F-4213-884E-5FFC5E5B90D2}"/>
                </a:ext>
              </a:extLst>
            </xdr:cNvPr>
            <xdr:cNvSpPr txBox="1"/>
          </xdr:nvSpPr>
          <xdr:spPr>
            <a:xfrm>
              <a:off x="11849100" y="1630680"/>
              <a:ext cx="1861599" cy="404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𝑥𝑖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bar>
                                  <m:barPr>
                                    <m:pos m:val="top"/>
                                    <m:ctrlP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barPr>
                                  <m:e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bar>
                              </m:e>
                            </m:d>
                          </m:e>
                        </m:nary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bar>
                          <m:barPr>
                            <m:pos m:val="top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ba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𝑥𝑖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ba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𝑦𝑖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s-MX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ba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6DB02E-171F-4213-884E-5FFC5E5B90D2}"/>
                </a:ext>
              </a:extLst>
            </xdr:cNvPr>
            <xdr:cNvSpPr txBox="1"/>
          </xdr:nvSpPr>
          <xdr:spPr>
            <a:xfrm>
              <a:off x="11849100" y="1630680"/>
              <a:ext cx="1861599" cy="404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𝑟</a:t>
              </a:r>
              <a:r>
                <a:rPr lang="es-MX" sz="1100" b="0" i="0">
                  <a:latin typeface="Cambria Math" panose="02040503050406030204" pitchFamily="18" charset="0"/>
                </a:rPr>
                <a:t>=  (∑▒(𝑥𝑖−¯𝑥) (𝑦𝑖−¯𝑦))/(√(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∑▒〖(𝑥𝑖−¯𝑥)〗^2 ) √(∑▒〖(𝑦𝑖−¯𝑦)〗^2 ))</a:t>
              </a:r>
              <a:endParaRPr lang="en-GB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E5298-402E-466B-8ABB-0A879FAFFD68}" name="x" displayName="x" ref="B1:B16" totalsRowShown="0" headerRowDxfId="94" dataDxfId="93" tableBorderDxfId="92">
  <autoFilter ref="B1:B16" xr:uid="{F8CE5298-402E-466B-8ABB-0A879FAFFD68}"/>
  <tableColumns count="1">
    <tableColumn id="1" xr3:uid="{6DF59EEF-3DC5-41C1-9444-8759B2651F0F}" name="X " dataDxfId="91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DE66CF-EBC8-46F5-A25D-60866F57FCE4}" name="Table4" displayName="Table4" ref="E1:F16" totalsRowShown="0" headerRowDxfId="90" dataDxfId="89">
  <autoFilter ref="E1:F16" xr:uid="{C4DE66CF-EBC8-46F5-A25D-60866F57FCE4}"/>
  <tableColumns count="2">
    <tableColumn id="1" xr3:uid="{5085D290-C476-4B16-B8B8-27CC96882BD5}" name="Desviacion  (𝑥𝑖−¯𝑥) " dataDxfId="88">
      <calculatedColumnFormula>x[[#This Row],[X ]]-$D$1</calculatedColumnFormula>
    </tableColumn>
    <tableColumn id="3" xr3:uid="{F7DA061C-B1D7-47C5-BAAE-2C862AFDB99B}" name="Desviacion cuadratica " dataDxfId="87">
      <calculatedColumnFormula>Table4[[#This Row],[Desviacion  (𝑥𝑖−¯𝑥) ]]^2</calculatedColumnFormula>
    </tableColumn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19442E-3D57-4186-ACC6-FC8EF66C88B8}" name="Table5" displayName="Table5" ref="A1:A16" totalsRowShown="0" headerRowDxfId="86" dataDxfId="84" headerRowBorderDxfId="85" tableBorderDxfId="83">
  <autoFilter ref="A1:A16" xr:uid="{DC19442E-3D57-4186-ACC6-FC8EF66C88B8}"/>
  <tableColumns count="1">
    <tableColumn id="1" xr3:uid="{2467CB57-8382-4431-B5C4-0EDFD1894C0D}" name="n" dataDxfId="82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AC1D45-8F75-4F7D-A18E-DC6DDB4DCC59}" name="xvalues" displayName="xvalues" ref="A1:A7" totalsRowShown="0" headerRowDxfId="81" dataDxfId="80" tableBorderDxfId="79">
  <autoFilter ref="A1:A7" xr:uid="{86AC1D45-8F75-4F7D-A18E-DC6DDB4DCC59}"/>
  <tableColumns count="1">
    <tableColumn id="1" xr3:uid="{C3DD63B2-80A9-4590-853F-3B4C03B6B977}" name="x" dataDxfId="78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BDD971-3BE8-4C34-84F7-B2E91020B19F}" name="yvalues" displayName="yvalues" ref="B1:B7" totalsRowShown="0" headerRowDxfId="77" dataDxfId="76" tableBorderDxfId="75">
  <autoFilter ref="B1:B7" xr:uid="{66BDD971-3BE8-4C34-84F7-B2E91020B19F}"/>
  <tableColumns count="1">
    <tableColumn id="1" xr3:uid="{A4E1DCE4-B944-4317-AA03-801DCB7C8EB7}" name="y" dataDxfId="74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5A3D01-B5B3-4632-81BB-2E87CCFF9B11}" name="Table10" displayName="Table10" ref="E1:E7" totalsRowShown="0" headerRowDxfId="73" dataDxfId="72" tableBorderDxfId="71">
  <autoFilter ref="E1:E7" xr:uid="{E95A3D01-B5B3-4632-81BB-2E87CCFF9B11}"/>
  <tableColumns count="1">
    <tableColumn id="1" xr3:uid="{9D74DA10-34CB-469F-9453-C20B0438613F}" name="(𝑥𝑖−¯𝑥) " dataDxfId="70">
      <calculatedColumnFormula>xvalues[[#This Row],[x]]-$D$1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DE892D-DB5D-45E4-B22B-B5D50302E74C}" name="Table11" displayName="Table11" ref="F1:F7" totalsRowShown="0" headerRowDxfId="69" dataDxfId="68" tableBorderDxfId="67">
  <autoFilter ref="F1:F7" xr:uid="{6ADE892D-DB5D-45E4-B22B-B5D50302E74C}"/>
  <tableColumns count="1">
    <tableColumn id="1" xr3:uid="{F1F0E414-B39B-45BF-AA24-E655FA20AEF0}" name="(y𝑖−¯y) " dataDxfId="66">
      <calculatedColumnFormula>yvalues[[#This Row],[y]]-$D$3</calculatedColumnFormula>
    </tableColumn>
  </tableColumns>
  <tableStyleInfo name="TableStyleLight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8A561B-6FEA-4D00-804A-924D36FF34DF}" name="xtimesyvalues" displayName="xtimesyvalues" ref="G1:G7" totalsRowShown="0" headerRowDxfId="65" dataDxfId="64">
  <autoFilter ref="G1:G7" xr:uid="{838A561B-6FEA-4D00-804A-924D36FF34DF}"/>
  <tableColumns count="1">
    <tableColumn id="1" xr3:uid="{43B0B0C0-52A3-402E-889F-9B0CF3F09DD3}" name="(𝑥𝑖−¯𝑥) (y𝑖−¯y) " dataDxfId="63">
      <calculatedColumnFormula>Table10[[#This Row],[(𝑥𝑖−¯𝑥) ]]*Table11[[#This Row],[(y𝑖−¯y) ]]</calculatedColumnFormula>
    </tableColumn>
  </tableColumns>
  <tableStyleInfo name="TableStyleLight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917C4-2E49-4CA9-8401-0AE2A7BE262E}" name="Table102" displayName="Table102" ref="H1:H7" totalsRowShown="0" headerRowDxfId="62" dataDxfId="61" tableBorderDxfId="60">
  <autoFilter ref="H1:H7" xr:uid="{FB9917C4-2E49-4CA9-8401-0AE2A7BE262E}"/>
  <tableColumns count="1">
    <tableColumn id="1" xr3:uid="{731023A8-BCF4-435E-A89D-482B1C86AF0A}" name="(𝑥𝑖−¯𝑥) ^2" dataDxfId="59">
      <calculatedColumnFormula>Table10[[#This Row],[(𝑥𝑖−¯𝑥) ]]^2</calculatedColumnFormula>
    </tableColumn>
  </tableColumns>
  <tableStyleInfo name="TableStyleLight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803090-0E2B-43D0-B30E-567E194AF233}" name="Table114" displayName="Table114" ref="I1:I7" totalsRowShown="0" headerRowDxfId="58" dataDxfId="57" tableBorderDxfId="56">
  <autoFilter ref="I1:I7" xr:uid="{5A803090-0E2B-43D0-B30E-567E194AF233}"/>
  <tableColumns count="1">
    <tableColumn id="1" xr3:uid="{B83F62B0-4A6E-4E73-BBEE-29D5BB267863}" name="(y𝑖−¯y) ^2" dataDxfId="55">
      <calculatedColumnFormula>Table11[[#This Row],[(y𝑖−¯y) ]]^2</calculatedColumnFormula>
    </tableColumn>
  </tableColumns>
  <tableStyleInfo name="TableStyleLight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E8392-F81A-4777-A30D-2A05ED7F9886}" name="Table6" displayName="Table6" ref="A1:B6" totalsRowShown="0" headerRowDxfId="54" dataDxfId="53">
  <autoFilter ref="A1:B6" xr:uid="{509E8392-F81A-4777-A30D-2A05ED7F9886}"/>
  <tableColumns count="2">
    <tableColumn id="1" xr3:uid="{A916D46E-B49F-4E62-9174-5DD17E3D6EB8}" name="x" dataDxfId="52"/>
    <tableColumn id="2" xr3:uid="{057E1ABF-0119-4D39-AFF6-970D872D6268}" name="y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4788F-369C-43DA-AC7D-129734D242F7}" name="Table7" displayName="Table7" ref="C1:H6" totalsRowShown="0" headerRowDxfId="50" dataDxfId="48" headerRowBorderDxfId="49" tableBorderDxfId="47">
  <autoFilter ref="C1:H6" xr:uid="{AE34788F-369C-43DA-AC7D-129734D242F7}"/>
  <tableColumns count="6">
    <tableColumn id="1" xr3:uid="{B62C1EA4-11FC-4E62-BCD3-0943C2A9777D}" name="xy" dataDxfId="46">
      <calculatedColumnFormula>SUM(Table6[[#This Row],[x]]*Table6[[#This Row],[y]])</calculatedColumnFormula>
    </tableColumn>
    <tableColumn id="2" xr3:uid="{40D01D58-343F-4884-BB1C-F7A79E67C488}" name="x^2" dataDxfId="45">
      <calculatedColumnFormula>Table6[[#This Row],[x]]^2</calculatedColumnFormula>
    </tableColumn>
    <tableColumn id="3" xr3:uid="{CC7D18B7-83E5-4165-B48C-D42B9641D16D}" name="y^2" dataDxfId="44">
      <calculatedColumnFormula>Table6[[#This Row],[y]]^2</calculatedColumnFormula>
    </tableColumn>
    <tableColumn id="4" xr3:uid="{BA80B55E-7468-4035-8929-9A10A07981C8}" name="(xi-x)" dataDxfId="43">
      <calculatedColumnFormula>Table6[[#This Row],[x]]-$K$12</calculatedColumnFormula>
    </tableColumn>
    <tableColumn id="5" xr3:uid="{B04E66B0-F319-47C3-A6F3-F90D3A088C71}" name="(yi-y)2" dataDxfId="42">
      <calculatedColumnFormula>Table6[[#This Row],[y]]-$K$14</calculatedColumnFormula>
    </tableColumn>
    <tableColumn id="6" xr3:uid="{121D6666-44CB-4BE5-AD46-C77DA953101A}" name="(𝑥𝑖−¯𝑥) (y𝑖−¯y) " dataDxfId="41">
      <calculatedColumnFormula>Table7[[#This Row],[(xi-x)]]*Table7[[#This Row],[(yi-y)2]]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5C7A9B-A7CB-4BF2-8291-6186962FA886}" name="Table32" displayName="Table32" ref="A1:E12" totalsRowShown="0">
  <autoFilter ref="A1:E12" xr:uid="{A65C7A9B-A7CB-4BF2-8291-6186962FA886}"/>
  <tableColumns count="5">
    <tableColumn id="1" xr3:uid="{D945EFDF-BF78-4CDF-9937-B551FF2D7598}" name="Temperatura (°C)"/>
    <tableColumn id="2" xr3:uid="{DAEECDA2-4302-4228-925F-E7AF85FACEE3}" name="Densidad(kg/m3)"/>
    <tableColumn id="3" xr3:uid="{636C3767-8855-40ED-BC5A-A3CD5E0E9B9F}" name="Viscosidad(cP)"/>
    <tableColumn id="4" xr3:uid="{53D8B1E4-35E3-43E4-9819-97F7D725376B}" name="Tension Superficial (N/m)"/>
    <tableColumn id="5" xr3:uid="{C69C1695-3D1A-4159-816C-D1DFF2308755}" name="Calor Especifico/J/g °C)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6E9631B-124E-4234-B2D8-60AD24CB7AEB}" name="xvalues26" displayName="xvalues26" ref="A1:A10" totalsRowShown="0" headerRowDxfId="40" dataDxfId="39" tableBorderDxfId="38">
  <autoFilter ref="A1:A10" xr:uid="{16E9631B-124E-4234-B2D8-60AD24CB7AEB}"/>
  <tableColumns count="1">
    <tableColumn id="1" xr3:uid="{BCB043BA-F96D-4347-B586-030AB2768B40}" name="x" dataDxfId="37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7738889-D9AF-4F84-A81B-3D6866EE495C}" name="yvalues27" displayName="yvalues27" ref="B1:B10" totalsRowShown="0" headerRowDxfId="36" dataDxfId="35" tableBorderDxfId="34">
  <autoFilter ref="B1:B10" xr:uid="{27738889-D9AF-4F84-A81B-3D6866EE495C}"/>
  <tableColumns count="1">
    <tableColumn id="1" xr3:uid="{221470FB-BBBD-4361-AC8A-8833002D7FE2}" name="y" dataDxfId="33"/>
  </tableColumns>
  <tableStyleInfo name="TableStyleLight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210A4B8-B25A-4948-9760-58E6A4A6990F}" name="Table1028" displayName="Table1028" ref="E1:E10" totalsRowShown="0" headerRowDxfId="32" dataDxfId="31" tableBorderDxfId="30">
  <autoFilter ref="E1:E10" xr:uid="{F210A4B8-B25A-4948-9760-58E6A4A6990F}"/>
  <tableColumns count="1">
    <tableColumn id="1" xr3:uid="{30E971A3-9263-4D81-888C-337EBEA6F7CD}" name="(𝑥𝑖−¯𝑥) " dataDxfId="29">
      <calculatedColumnFormula>xvalues26[[#This Row],[x]]-$D$1</calculatedColumnFormula>
    </tableColumn>
  </tableColumns>
  <tableStyleInfo name="TableStyleLight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911C553-D079-4899-B484-2949D09CFCE6}" name="Table1129" displayName="Table1129" ref="F1:F10" totalsRowShown="0" headerRowDxfId="28" dataDxfId="27" tableBorderDxfId="26">
  <autoFilter ref="F1:F10" xr:uid="{6911C553-D079-4899-B484-2949D09CFCE6}"/>
  <tableColumns count="1">
    <tableColumn id="1" xr3:uid="{593D55F6-B313-4D31-B619-D28BEB81CD93}" name="(y𝑖−¯y) " dataDxfId="25">
      <calculatedColumnFormula>yvalues27[[#This Row],[y]]-$D$3</calculatedColumnFormula>
    </tableColumn>
  </tableColumns>
  <tableStyleInfo name="TableStyleLight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B0450E-F270-4A08-A5AB-2321F0C5A965}" name="xtimesyvalues30" displayName="xtimesyvalues30" ref="G1:G10" totalsRowShown="0" headerRowDxfId="24" dataDxfId="23">
  <autoFilter ref="G1:G10" xr:uid="{BEB0450E-F270-4A08-A5AB-2321F0C5A965}"/>
  <tableColumns count="1">
    <tableColumn id="1" xr3:uid="{2A85F03B-FF7F-49BA-8FC2-77D01F82EFDD}" name="(𝑥𝑖−¯𝑥) (y𝑖−¯y) " dataDxfId="22">
      <calculatedColumnFormula>Table1028[[#This Row],[(𝑥𝑖−¯𝑥) ]]*Table1129[[#This Row],[(y𝑖−¯y) ]]</calculatedColumnFormula>
    </tableColumn>
  </tableColumns>
  <tableStyleInfo name="TableStyleLight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2DBA8DD-9451-4B0A-9BCA-DBC13D664026}" name="Table10231" displayName="Table10231" ref="H1:H10" totalsRowShown="0" headerRowDxfId="21" dataDxfId="20" tableBorderDxfId="19">
  <autoFilter ref="H1:H10" xr:uid="{F2DBA8DD-9451-4B0A-9BCA-DBC13D664026}"/>
  <tableColumns count="1">
    <tableColumn id="1" xr3:uid="{AD77A058-A5C9-482A-AA68-760297158A48}" name="(𝑥𝑖−¯𝑥) ^2" dataDxfId="18">
      <calculatedColumnFormula>Table1028[[#This Row],[(𝑥𝑖−¯𝑥) ]]^2</calculatedColumnFormula>
    </tableColumn>
  </tableColumns>
  <tableStyleInfo name="TableStyleLight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F0FEAFE-FCC2-414E-B774-055BF24977F7}" name="Table11432" displayName="Table11432" ref="I1:I10" totalsRowShown="0" headerRowDxfId="17" dataDxfId="16" tableBorderDxfId="15">
  <autoFilter ref="I1:I10" xr:uid="{0F0FEAFE-FCC2-414E-B774-055BF24977F7}"/>
  <tableColumns count="1">
    <tableColumn id="1" xr3:uid="{8FA2DFC5-F4CC-4FA4-A6F4-47D9232F933C}" name="(y𝑖−¯y) ^2" dataDxfId="14">
      <calculatedColumnFormula>Table1129[[#This Row],[(y𝑖−¯y) ]]^2</calculatedColumnFormula>
    </tableColumn>
  </tableColumns>
  <tableStyleInfo name="TableStyleLight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0A387FA-4BBD-41C0-8C99-C2CA70999FFB}" name="Table624" displayName="Table624" ref="A1:B12" totalsRowShown="0" headerRowDxfId="13" dataDxfId="12">
  <autoFilter ref="A1:B12" xr:uid="{70A387FA-4BBD-41C0-8C99-C2CA70999FFB}"/>
  <tableColumns count="2">
    <tableColumn id="1" xr3:uid="{78A624DA-BEB5-4328-B463-A4672B2811A1}" name="x" dataDxfId="11"/>
    <tableColumn id="2" xr3:uid="{DB4170EC-4E1B-42A3-952E-1A99BF1EA927}" name="y" dataDxfId="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CD5315C-547C-403B-A01F-B53AF16EB4B4}" name="Table725" displayName="Table725" ref="C1:H12" totalsRowShown="0" headerRowDxfId="9" dataDxfId="7" headerRowBorderDxfId="8" tableBorderDxfId="6">
  <autoFilter ref="C1:H12" xr:uid="{CCD5315C-547C-403B-A01F-B53AF16EB4B4}"/>
  <tableColumns count="6">
    <tableColumn id="1" xr3:uid="{86905284-1EB1-48F1-9FF2-FC39B83C3840}" name="xy" dataDxfId="5">
      <calculatedColumnFormula>SUM(Table624[[#This Row],[x]]*Table624[[#This Row],[y]])</calculatedColumnFormula>
    </tableColumn>
    <tableColumn id="2" xr3:uid="{494D676B-C309-456F-B3F8-DF4953A05710}" name="x^2" dataDxfId="4">
      <calculatedColumnFormula>Table624[[#This Row],[x]]^2</calculatedColumnFormula>
    </tableColumn>
    <tableColumn id="3" xr3:uid="{00B2A999-92ED-4D37-A77C-FA783BA539E0}" name="y^2" dataDxfId="3">
      <calculatedColumnFormula>Table624[[#This Row],[y]]^2</calculatedColumnFormula>
    </tableColumn>
    <tableColumn id="4" xr3:uid="{45E3913C-F659-478A-95DD-85CED00F35B6}" name="(xi-x)" dataDxfId="2">
      <calculatedColumnFormula>Table624[[#This Row],[x]]-$K$1</calculatedColumnFormula>
    </tableColumn>
    <tableColumn id="5" xr3:uid="{F348BAB6-B33C-47F4-B0CA-6F6EB4CFFE7B}" name="(yi-x)2" dataDxfId="1">
      <calculatedColumnFormula>Table624[[#This Row],[y]]-$K$2</calculatedColumnFormula>
    </tableColumn>
    <tableColumn id="6" xr3:uid="{366B194E-2DCF-4874-AAA8-6F8B97C48EC2}" name="(𝑥𝑖−¯𝑥) (y𝑖−¯y) " dataDxfId="0">
      <calculatedColumnFormula>Table725[[#This Row],[(xi-x)]]*Table725[[#This Row],[(yi-x)2]]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5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A66F-BDD5-4A81-82FC-C65ED2ABE6A6}">
  <sheetPr>
    <tabColor rgb="FF0070C0"/>
  </sheetPr>
  <dimension ref="A1:L19"/>
  <sheetViews>
    <sheetView tabSelected="1" topLeftCell="F1" workbookViewId="0">
      <selection activeCell="L3" sqref="L3:L4"/>
    </sheetView>
  </sheetViews>
  <sheetFormatPr defaultRowHeight="14.4" x14ac:dyDescent="0.3"/>
  <cols>
    <col min="3" max="3" width="9.44140625" bestFit="1" customWidth="1"/>
    <col min="4" max="4" width="12.109375" customWidth="1"/>
    <col min="5" max="5" width="21.88671875" bestFit="1" customWidth="1"/>
    <col min="6" max="6" width="23.88671875" bestFit="1" customWidth="1"/>
    <col min="8" max="8" width="24.6640625" bestFit="1" customWidth="1"/>
    <col min="11" max="11" width="17.6640625" customWidth="1"/>
  </cols>
  <sheetData>
    <row r="1" spans="1:12" ht="15.6" thickTop="1" thickBot="1" x14ac:dyDescent="0.35">
      <c r="A1" s="5" t="s">
        <v>4</v>
      </c>
      <c r="B1" s="2" t="s">
        <v>0</v>
      </c>
      <c r="C1" s="25" t="s">
        <v>6</v>
      </c>
      <c r="D1" s="27">
        <f>AVERAGE(x[[X ]])</f>
        <v>8</v>
      </c>
      <c r="E1" s="3" t="s">
        <v>1</v>
      </c>
      <c r="F1" s="4" t="s">
        <v>2</v>
      </c>
      <c r="H1" s="21" t="s">
        <v>3</v>
      </c>
      <c r="I1" s="23"/>
      <c r="J1" s="23"/>
      <c r="K1" s="23"/>
      <c r="L1" s="24">
        <f>(SUM(Table4[[Desviacion cuadratica ]])/($D$3-1))</f>
        <v>20</v>
      </c>
    </row>
    <row r="2" spans="1:12" ht="21" customHeight="1" thickTop="1" thickBot="1" x14ac:dyDescent="0.35">
      <c r="A2" s="1">
        <v>1</v>
      </c>
      <c r="B2" s="1">
        <v>1</v>
      </c>
      <c r="C2" s="26"/>
      <c r="D2" s="27"/>
      <c r="E2" s="1">
        <f>x[[#This Row],[X ]]-$D$1</f>
        <v>-7</v>
      </c>
      <c r="F2" s="1">
        <f>Table4[[#This Row],[Desviacion  (𝑥𝑖−¯𝑥) ]]^2</f>
        <v>49</v>
      </c>
      <c r="H2" s="22"/>
      <c r="I2" s="23"/>
      <c r="J2" s="23"/>
      <c r="K2" s="23"/>
      <c r="L2" s="24"/>
    </row>
    <row r="3" spans="1:12" ht="15.6" thickTop="1" thickBot="1" x14ac:dyDescent="0.35">
      <c r="A3" s="1">
        <v>2</v>
      </c>
      <c r="B3" s="1">
        <v>2</v>
      </c>
      <c r="C3" s="25" t="s">
        <v>7</v>
      </c>
      <c r="D3" s="27">
        <f>COUNT(x[[X ]])</f>
        <v>15</v>
      </c>
      <c r="E3" s="1">
        <f>x[[#This Row],[X ]]-$D$1</f>
        <v>-6</v>
      </c>
      <c r="F3" s="1">
        <f>Table4[[#This Row],[Desviacion  (𝑥𝑖−¯𝑥) ]]^2</f>
        <v>36</v>
      </c>
      <c r="H3" s="21" t="s">
        <v>5</v>
      </c>
      <c r="I3" s="23"/>
      <c r="J3" s="23"/>
      <c r="K3" s="23"/>
      <c r="L3" s="24">
        <f>SQRT(L1)</f>
        <v>4.4721359549995796</v>
      </c>
    </row>
    <row r="4" spans="1:12" ht="15.6" thickTop="1" thickBot="1" x14ac:dyDescent="0.35">
      <c r="A4" s="1">
        <v>3</v>
      </c>
      <c r="B4" s="1">
        <v>3</v>
      </c>
      <c r="C4" s="26"/>
      <c r="D4" s="27"/>
      <c r="E4" s="1">
        <f>x[[#This Row],[X ]]-$D$1</f>
        <v>-5</v>
      </c>
      <c r="F4" s="1">
        <f>Table4[[#This Row],[Desviacion  (𝑥𝑖−¯𝑥) ]]^2</f>
        <v>25</v>
      </c>
      <c r="H4" s="22"/>
      <c r="I4" s="23"/>
      <c r="J4" s="23"/>
      <c r="K4" s="23"/>
      <c r="L4" s="24"/>
    </row>
    <row r="5" spans="1:12" ht="15" thickTop="1" x14ac:dyDescent="0.3">
      <c r="A5" s="1">
        <v>4</v>
      </c>
      <c r="B5" s="1">
        <v>4</v>
      </c>
      <c r="C5" s="1"/>
      <c r="E5" s="1">
        <f>x[[#This Row],[X ]]-$D$1</f>
        <v>-4</v>
      </c>
      <c r="F5" s="1">
        <f>Table4[[#This Row],[Desviacion  (𝑥𝑖−¯𝑥) ]]^2</f>
        <v>16</v>
      </c>
    </row>
    <row r="6" spans="1:12" x14ac:dyDescent="0.3">
      <c r="A6" s="1">
        <v>5</v>
      </c>
      <c r="B6" s="1">
        <v>5</v>
      </c>
      <c r="C6" s="1"/>
      <c r="E6" s="1">
        <f>x[[#This Row],[X ]]-$D$1</f>
        <v>-3</v>
      </c>
      <c r="F6" s="1">
        <f>Table4[[#This Row],[Desviacion  (𝑥𝑖−¯𝑥) ]]^2</f>
        <v>9</v>
      </c>
    </row>
    <row r="7" spans="1:12" x14ac:dyDescent="0.3">
      <c r="A7" s="1">
        <v>6</v>
      </c>
      <c r="B7" s="1">
        <v>6</v>
      </c>
      <c r="C7" s="1"/>
      <c r="E7" s="1">
        <f>x[[#This Row],[X ]]-$D$1</f>
        <v>-2</v>
      </c>
      <c r="F7" s="1">
        <f>Table4[[#This Row],[Desviacion  (𝑥𝑖−¯𝑥) ]]^2</f>
        <v>4</v>
      </c>
    </row>
    <row r="8" spans="1:12" x14ac:dyDescent="0.3">
      <c r="A8" s="1">
        <v>7</v>
      </c>
      <c r="B8" s="1">
        <v>7</v>
      </c>
      <c r="C8" s="1"/>
      <c r="E8" s="1">
        <f>x[[#This Row],[X ]]-$D$1</f>
        <v>-1</v>
      </c>
      <c r="F8" s="1">
        <f>Table4[[#This Row],[Desviacion  (𝑥𝑖−¯𝑥) ]]^2</f>
        <v>1</v>
      </c>
    </row>
    <row r="9" spans="1:12" x14ac:dyDescent="0.3">
      <c r="A9" s="1">
        <v>8</v>
      </c>
      <c r="B9" s="1">
        <v>8</v>
      </c>
      <c r="C9" s="1"/>
      <c r="E9" s="1">
        <f>x[[#This Row],[X ]]-$D$1</f>
        <v>0</v>
      </c>
      <c r="F9" s="1">
        <f>Table4[[#This Row],[Desviacion  (𝑥𝑖−¯𝑥) ]]^2</f>
        <v>0</v>
      </c>
    </row>
    <row r="10" spans="1:12" x14ac:dyDescent="0.3">
      <c r="A10" s="1">
        <v>9</v>
      </c>
      <c r="B10" s="1">
        <v>9</v>
      </c>
      <c r="C10" s="1"/>
      <c r="E10" s="1">
        <f>x[[#This Row],[X ]]-$D$1</f>
        <v>1</v>
      </c>
      <c r="F10" s="1">
        <f>Table4[[#This Row],[Desviacion  (𝑥𝑖−¯𝑥) ]]^2</f>
        <v>1</v>
      </c>
    </row>
    <row r="11" spans="1:12" x14ac:dyDescent="0.3">
      <c r="A11" s="1">
        <v>10</v>
      </c>
      <c r="B11" s="1">
        <v>10</v>
      </c>
      <c r="C11" s="1"/>
      <c r="E11" s="1">
        <f>x[[#This Row],[X ]]-$D$1</f>
        <v>2</v>
      </c>
      <c r="F11" s="1">
        <f>Table4[[#This Row],[Desviacion  (𝑥𝑖−¯𝑥) ]]^2</f>
        <v>4</v>
      </c>
    </row>
    <row r="12" spans="1:12" x14ac:dyDescent="0.3">
      <c r="A12" s="1">
        <v>11</v>
      </c>
      <c r="B12" s="1">
        <v>11</v>
      </c>
      <c r="C12" s="1"/>
      <c r="E12" s="1">
        <f>x[[#This Row],[X ]]-$D$1</f>
        <v>3</v>
      </c>
      <c r="F12" s="1">
        <f>Table4[[#This Row],[Desviacion  (𝑥𝑖−¯𝑥) ]]^2</f>
        <v>9</v>
      </c>
    </row>
    <row r="13" spans="1:12" x14ac:dyDescent="0.3">
      <c r="A13" s="1">
        <v>12</v>
      </c>
      <c r="B13" s="1">
        <v>12</v>
      </c>
      <c r="C13" s="1"/>
      <c r="E13" s="1">
        <f>x[[#This Row],[X ]]-$D$1</f>
        <v>4</v>
      </c>
      <c r="F13" s="1">
        <f>Table4[[#This Row],[Desviacion  (𝑥𝑖−¯𝑥) ]]^2</f>
        <v>16</v>
      </c>
    </row>
    <row r="14" spans="1:12" x14ac:dyDescent="0.3">
      <c r="A14" s="1">
        <v>13</v>
      </c>
      <c r="B14" s="1">
        <v>13</v>
      </c>
      <c r="C14" s="1"/>
      <c r="E14" s="1">
        <f>x[[#This Row],[X ]]-$D$1</f>
        <v>5</v>
      </c>
      <c r="F14" s="1">
        <f>Table4[[#This Row],[Desviacion  (𝑥𝑖−¯𝑥) ]]^2</f>
        <v>25</v>
      </c>
    </row>
    <row r="15" spans="1:12" x14ac:dyDescent="0.3">
      <c r="A15" s="1">
        <v>14</v>
      </c>
      <c r="B15" s="1">
        <v>14</v>
      </c>
      <c r="C15" s="1"/>
      <c r="E15" s="1">
        <f>x[[#This Row],[X ]]-$D$1</f>
        <v>6</v>
      </c>
      <c r="F15" s="1">
        <f>Table4[[#This Row],[Desviacion  (𝑥𝑖−¯𝑥) ]]^2</f>
        <v>36</v>
      </c>
    </row>
    <row r="16" spans="1:12" x14ac:dyDescent="0.3">
      <c r="A16" s="1">
        <v>15</v>
      </c>
      <c r="B16" s="1">
        <v>15</v>
      </c>
      <c r="C16" s="1"/>
      <c r="E16" s="1">
        <f>x[[#This Row],[X ]]-$D$1</f>
        <v>7</v>
      </c>
      <c r="F16" s="1">
        <f>Table4[[#This Row],[Desviacion  (𝑥𝑖−¯𝑥) ]]^2</f>
        <v>49</v>
      </c>
    </row>
    <row r="18" ht="21.6" customHeight="1" x14ac:dyDescent="0.3"/>
    <row r="19" ht="18.600000000000001" customHeight="1" x14ac:dyDescent="0.3"/>
  </sheetData>
  <mergeCells count="10">
    <mergeCell ref="H3:H4"/>
    <mergeCell ref="I3:K4"/>
    <mergeCell ref="L3:L4"/>
    <mergeCell ref="C1:C2"/>
    <mergeCell ref="C3:C4"/>
    <mergeCell ref="D3:D4"/>
    <mergeCell ref="L1:L2"/>
    <mergeCell ref="H1:H2"/>
    <mergeCell ref="I1:K2"/>
    <mergeCell ref="D1:D2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E506-5950-4F1F-AAC2-2C6A67E4E6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A814-22DB-4753-A7BC-7567473EAB43}">
  <sheetPr>
    <tabColor rgb="FF002060"/>
  </sheetPr>
  <dimension ref="A1:Q17"/>
  <sheetViews>
    <sheetView topLeftCell="M1" zoomScale="98" zoomScaleNormal="98" workbookViewId="0">
      <selection activeCell="U5" sqref="U5"/>
    </sheetView>
  </sheetViews>
  <sheetFormatPr defaultRowHeight="14.4" x14ac:dyDescent="0.3"/>
  <cols>
    <col min="5" max="5" width="12" style="1" bestFit="1" customWidth="1"/>
    <col min="6" max="6" width="12.33203125" style="1" bestFit="1" customWidth="1"/>
    <col min="7" max="7" width="20" style="1" bestFit="1" customWidth="1"/>
    <col min="8" max="8" width="14.109375" bestFit="1" customWidth="1"/>
    <col min="9" max="9" width="14.33203125" bestFit="1" customWidth="1"/>
    <col min="11" max="11" width="14.109375" bestFit="1" customWidth="1"/>
    <col min="12" max="12" width="14.33203125" bestFit="1" customWidth="1"/>
    <col min="13" max="13" width="13.33203125" customWidth="1"/>
    <col min="14" max="14" width="8.88671875" customWidth="1"/>
    <col min="16" max="16" width="17.6640625" customWidth="1"/>
  </cols>
  <sheetData>
    <row r="1" spans="1:17" ht="15.6" customHeight="1" thickTop="1" thickBot="1" x14ac:dyDescent="0.35">
      <c r="A1" s="10" t="s">
        <v>8</v>
      </c>
      <c r="B1" s="6" t="s">
        <v>9</v>
      </c>
      <c r="C1" s="25" t="s">
        <v>6</v>
      </c>
      <c r="D1" s="27">
        <f>AVERAGE(xvalues[x])</f>
        <v>8466.6666666666661</v>
      </c>
      <c r="E1" s="2" t="s">
        <v>10</v>
      </c>
      <c r="F1" s="2" t="s">
        <v>11</v>
      </c>
      <c r="G1" s="3" t="s">
        <v>14</v>
      </c>
      <c r="H1" s="2" t="s">
        <v>18</v>
      </c>
      <c r="I1" s="3" t="s">
        <v>19</v>
      </c>
      <c r="J1" s="28" t="s">
        <v>13</v>
      </c>
      <c r="K1" s="28"/>
      <c r="L1" s="11">
        <f>SUM(xtimesyvalues[(𝑥𝑖−¯𝑥) (y𝑖−¯y) ])</f>
        <v>2806.6666666666642</v>
      </c>
      <c r="M1" s="21" t="s">
        <v>15</v>
      </c>
      <c r="N1" s="23"/>
      <c r="O1" s="23"/>
      <c r="P1" s="23"/>
      <c r="Q1" s="24">
        <f>L1/($D$5-1)</f>
        <v>561.3333333333328</v>
      </c>
    </row>
    <row r="2" spans="1:17" ht="15.6" thickTop="1" thickBot="1" x14ac:dyDescent="0.35">
      <c r="A2" s="20">
        <v>8100</v>
      </c>
      <c r="B2" s="20">
        <v>17.899999999999999</v>
      </c>
      <c r="C2" s="26"/>
      <c r="D2" s="27"/>
      <c r="E2" s="1">
        <f>xvalues[[#This Row],[x]]-$D$1</f>
        <v>-366.66666666666606</v>
      </c>
      <c r="F2" s="1">
        <f>yvalues[[#This Row],[y]]-$D$3</f>
        <v>-0.88333333333333641</v>
      </c>
      <c r="G2" s="1">
        <f>Table10[[#This Row],[(𝑥𝑖−¯𝑥) ]]*Table11[[#This Row],[(y𝑖−¯y) ]]</f>
        <v>323.88888888888948</v>
      </c>
      <c r="H2" s="1">
        <f>Table10[[#This Row],[(𝑥𝑖−¯𝑥) ]]^2</f>
        <v>134444.444444444</v>
      </c>
      <c r="I2" s="1">
        <f>Table11[[#This Row],[(y𝑖−¯y) ]]^2</f>
        <v>0.78027777777778318</v>
      </c>
      <c r="J2" s="28" t="s">
        <v>17</v>
      </c>
      <c r="K2" s="28"/>
      <c r="L2" s="11">
        <f>SQRT(SUM(Table102[(𝑥𝑖−¯𝑥) ^2]))</f>
        <v>2427.6188608044167</v>
      </c>
      <c r="M2" s="22"/>
      <c r="N2" s="23"/>
      <c r="O2" s="23"/>
      <c r="P2" s="23"/>
      <c r="Q2" s="24"/>
    </row>
    <row r="3" spans="1:17" ht="15.6" thickTop="1" thickBot="1" x14ac:dyDescent="0.35">
      <c r="A3" s="20">
        <v>6600</v>
      </c>
      <c r="B3" s="20">
        <v>18.8</v>
      </c>
      <c r="C3" s="25" t="s">
        <v>12</v>
      </c>
      <c r="D3" s="27">
        <f>AVERAGE(yvalues[y])</f>
        <v>18.783333333333335</v>
      </c>
      <c r="E3" s="1">
        <f>xvalues[[#This Row],[x]]-$D$1</f>
        <v>-1866.6666666666661</v>
      </c>
      <c r="F3" s="1">
        <f>yvalues[[#This Row],[y]]-$D$3</f>
        <v>1.6666666666665719E-2</v>
      </c>
      <c r="G3" s="1">
        <f>Table10[[#This Row],[(𝑥𝑖−¯𝑥) ]]*Table11[[#This Row],[(y𝑖−¯y) ]]</f>
        <v>-31.111111111109331</v>
      </c>
      <c r="H3" s="1">
        <f>Table10[[#This Row],[(𝑥𝑖−¯𝑥) ]]^2</f>
        <v>3484444.4444444422</v>
      </c>
      <c r="I3" s="1">
        <f>Table11[[#This Row],[(y𝑖−¯y) ]]^2</f>
        <v>2.7777777777774617E-4</v>
      </c>
      <c r="J3" s="28" t="s">
        <v>20</v>
      </c>
      <c r="K3" s="28"/>
      <c r="L3" s="11">
        <f>SQRT(SUM(Table114[(y𝑖−¯y) ^2]))</f>
        <v>3.3448966102606716</v>
      </c>
      <c r="Q3">
        <f>_xlfn.COVARIANCE.S(xvalues[x],yvalues[y])</f>
        <v>561.3333333333328</v>
      </c>
    </row>
    <row r="4" spans="1:17" ht="15.6" thickTop="1" thickBot="1" x14ac:dyDescent="0.35">
      <c r="A4" s="20">
        <v>8700</v>
      </c>
      <c r="B4" s="20">
        <v>19.600000000000001</v>
      </c>
      <c r="C4" s="26"/>
      <c r="D4" s="27"/>
      <c r="E4" s="1">
        <f>xvalues[[#This Row],[x]]-$D$1</f>
        <v>233.33333333333394</v>
      </c>
      <c r="F4" s="1">
        <f>yvalues[[#This Row],[y]]-$D$3</f>
        <v>0.81666666666666643</v>
      </c>
      <c r="G4" s="1">
        <f>Table10[[#This Row],[(𝑥𝑖−¯𝑥) ]]*Table11[[#This Row],[(y𝑖−¯y) ]]</f>
        <v>190.555555555556</v>
      </c>
      <c r="H4" s="1">
        <f>Table10[[#This Row],[(𝑥𝑖−¯𝑥) ]]^2</f>
        <v>54444.444444444729</v>
      </c>
      <c r="I4" s="1">
        <f>Table11[[#This Row],[(y𝑖−¯y) ]]^2</f>
        <v>0.66694444444444401</v>
      </c>
      <c r="M4" s="21" t="s">
        <v>16</v>
      </c>
      <c r="N4" s="23"/>
      <c r="O4" s="23"/>
      <c r="P4" s="23"/>
      <c r="Q4" s="24">
        <f>L1/(L2*L3)</f>
        <v>0.34564289611692767</v>
      </c>
    </row>
    <row r="5" spans="1:17" ht="31.2" customHeight="1" thickTop="1" thickBot="1" x14ac:dyDescent="0.35">
      <c r="A5" s="20">
        <v>8700</v>
      </c>
      <c r="B5" s="20">
        <v>19</v>
      </c>
      <c r="C5" s="25" t="s">
        <v>7</v>
      </c>
      <c r="D5" s="27">
        <f>COUNT(xvalues[x])</f>
        <v>6</v>
      </c>
      <c r="E5" s="1">
        <f>xvalues[[#This Row],[x]]-$D$1</f>
        <v>233.33333333333394</v>
      </c>
      <c r="F5" s="1">
        <f>yvalues[[#This Row],[y]]-$D$3</f>
        <v>0.21666666666666501</v>
      </c>
      <c r="G5" s="1">
        <f>Table10[[#This Row],[(𝑥𝑖−¯𝑥) ]]*Table11[[#This Row],[(y𝑖−¯y) ]]</f>
        <v>50.555555555555301</v>
      </c>
      <c r="H5" s="1">
        <f>Table10[[#This Row],[(𝑥𝑖−¯𝑥) ]]^2</f>
        <v>54444.444444444729</v>
      </c>
      <c r="I5" s="1">
        <f>Table11[[#This Row],[(y𝑖−¯y) ]]^2</f>
        <v>4.6944444444443727E-2</v>
      </c>
      <c r="M5" s="22"/>
      <c r="N5" s="23"/>
      <c r="O5" s="23"/>
      <c r="P5" s="23"/>
      <c r="Q5" s="24"/>
    </row>
    <row r="6" spans="1:17" ht="15.6" thickTop="1" thickBot="1" x14ac:dyDescent="0.35">
      <c r="A6" s="20">
        <v>9900</v>
      </c>
      <c r="B6" s="20">
        <v>20.9</v>
      </c>
      <c r="C6" s="26"/>
      <c r="D6" s="27"/>
      <c r="E6" s="1">
        <f>xvalues[[#This Row],[x]]-$D$1</f>
        <v>1433.3333333333339</v>
      </c>
      <c r="F6" s="1">
        <f>yvalues[[#This Row],[y]]-$D$3</f>
        <v>2.1166666666666636</v>
      </c>
      <c r="G6" s="1">
        <f>Table10[[#This Row],[(𝑥𝑖−¯𝑥) ]]*Table11[[#This Row],[(y𝑖−¯y) ]]</f>
        <v>3033.888888888886</v>
      </c>
      <c r="H6" s="1">
        <f>Table10[[#This Row],[(𝑥𝑖−¯𝑥) ]]^2</f>
        <v>2054444.4444444461</v>
      </c>
      <c r="I6" s="1">
        <f>Table11[[#This Row],[(y𝑖−¯y) ]]^2</f>
        <v>4.4802777777777649</v>
      </c>
      <c r="Q6">
        <f>CORREL(xvalues[x],yvalues[y])</f>
        <v>0.34564289611692761</v>
      </c>
    </row>
    <row r="7" spans="1:17" ht="15.6" thickTop="1" thickBot="1" x14ac:dyDescent="0.35">
      <c r="A7" s="20">
        <v>8800</v>
      </c>
      <c r="B7" s="20">
        <v>16.5</v>
      </c>
      <c r="E7" s="1">
        <f>xvalues[[#This Row],[x]]-$D$1</f>
        <v>333.33333333333394</v>
      </c>
      <c r="F7" s="1">
        <f>yvalues[[#This Row],[y]]-$D$3</f>
        <v>-2.283333333333335</v>
      </c>
      <c r="G7" s="1">
        <f>Table10[[#This Row],[(𝑥𝑖−¯𝑥) ]]*Table11[[#This Row],[(y𝑖−¯y) ]]</f>
        <v>-761.11111111111302</v>
      </c>
      <c r="H7" s="1">
        <f>Table10[[#This Row],[(𝑥𝑖−¯𝑥) ]]^2</f>
        <v>111111.11111111152</v>
      </c>
      <c r="I7" s="1">
        <f>Table11[[#This Row],[(y𝑖−¯y) ]]^2</f>
        <v>5.2136111111111187</v>
      </c>
      <c r="M7" s="21" t="s">
        <v>21</v>
      </c>
      <c r="N7" s="23"/>
      <c r="O7" s="23"/>
      <c r="P7" s="23"/>
      <c r="Q7" s="24">
        <f>Q4^2</f>
        <v>0.11946901163609724</v>
      </c>
    </row>
    <row r="8" spans="1:17" ht="15.6" thickTop="1" thickBot="1" x14ac:dyDescent="0.35">
      <c r="A8" s="9">
        <v>15</v>
      </c>
      <c r="B8" s="9">
        <v>1.98</v>
      </c>
      <c r="E8" s="1" t="e">
        <f>xvalues[[#This Row],[x]]-$D$1</f>
        <v>#VALUE!</v>
      </c>
      <c r="F8" s="1" t="e">
        <f>yvalues[[#This Row],[y]]-$D$3</f>
        <v>#VALUE!</v>
      </c>
      <c r="G8" s="1" t="e">
        <f>Table10[[#This Row],[(𝑥𝑖−¯𝑥) ]]*Table11[[#This Row],[(y𝑖−¯y) ]]</f>
        <v>#VALUE!</v>
      </c>
      <c r="H8" s="1" t="e">
        <f>Table10[[#This Row],[(𝑥𝑖−¯𝑥) ]]^2</f>
        <v>#VALUE!</v>
      </c>
      <c r="I8" s="1" t="e">
        <f>Table11[[#This Row],[(y𝑖−¯y) ]]^2</f>
        <v>#VALUE!</v>
      </c>
      <c r="K8" s="13"/>
      <c r="M8" s="22"/>
      <c r="N8" s="23"/>
      <c r="O8" s="23"/>
      <c r="P8" s="23"/>
      <c r="Q8" s="24"/>
    </row>
    <row r="9" spans="1:17" ht="15" thickTop="1" x14ac:dyDescent="0.3">
      <c r="A9" s="8">
        <v>15</v>
      </c>
      <c r="B9" s="8">
        <v>2.0699999999999998</v>
      </c>
      <c r="E9" s="1" t="e">
        <f>xvalues[[#This Row],[x]]-$D$1</f>
        <v>#VALUE!</v>
      </c>
      <c r="F9" s="1" t="e">
        <f>yvalues[[#This Row],[y]]-$D$3</f>
        <v>#VALUE!</v>
      </c>
      <c r="G9" s="1" t="e">
        <f>Table10[[#This Row],[(𝑥𝑖−¯𝑥) ]]*Table11[[#This Row],[(y𝑖−¯y) ]]</f>
        <v>#VALUE!</v>
      </c>
      <c r="H9" s="1" t="e">
        <f>Table10[[#This Row],[(𝑥𝑖−¯𝑥) ]]^2</f>
        <v>#VALUE!</v>
      </c>
      <c r="I9" s="1" t="e">
        <f>Table11[[#This Row],[(y𝑖−¯y) ]]^2</f>
        <v>#VALUE!</v>
      </c>
    </row>
    <row r="10" spans="1:17" x14ac:dyDescent="0.3">
      <c r="A10" s="9">
        <v>15</v>
      </c>
      <c r="B10" s="9">
        <v>2.1</v>
      </c>
      <c r="E10" s="1" t="e">
        <f>xvalues[[#This Row],[x]]-$D$1</f>
        <v>#VALUE!</v>
      </c>
      <c r="F10" s="1" t="e">
        <f>yvalues[[#This Row],[y]]-$D$3</f>
        <v>#VALUE!</v>
      </c>
      <c r="G10" s="1" t="e">
        <f>Table10[[#This Row],[(𝑥𝑖−¯𝑥) ]]*Table11[[#This Row],[(y𝑖−¯y) ]]</f>
        <v>#VALUE!</v>
      </c>
      <c r="H10" s="1" t="e">
        <f>Table10[[#This Row],[(𝑥𝑖−¯𝑥) ]]^2</f>
        <v>#VALUE!</v>
      </c>
      <c r="I10" s="1" t="e">
        <f>Table11[[#This Row],[(y𝑖−¯y) ]]^2</f>
        <v>#VALUE!</v>
      </c>
    </row>
    <row r="11" spans="1:17" x14ac:dyDescent="0.3">
      <c r="A11" s="8">
        <v>13</v>
      </c>
      <c r="B11" s="8">
        <v>18</v>
      </c>
      <c r="E11" s="1" t="e">
        <f>xvalues[[#This Row],[x]]-$D$1</f>
        <v>#VALUE!</v>
      </c>
      <c r="F11" s="1" t="e">
        <f>yvalues[[#This Row],[y]]-$D$3</f>
        <v>#VALUE!</v>
      </c>
      <c r="G11" s="1" t="e">
        <f>Table10[[#This Row],[(𝑥𝑖−¯𝑥) ]]*Table11[[#This Row],[(y𝑖−¯y) ]]</f>
        <v>#VALUE!</v>
      </c>
      <c r="H11" s="1" t="e">
        <f>Table10[[#This Row],[(𝑥𝑖−¯𝑥) ]]^2</f>
        <v>#VALUE!</v>
      </c>
      <c r="I11" s="1" t="e">
        <f>Table11[[#This Row],[(y𝑖−¯y) ]]^2</f>
        <v>#VALUE!</v>
      </c>
    </row>
    <row r="17" spans="11:11" x14ac:dyDescent="0.3">
      <c r="K17" s="12"/>
    </row>
  </sheetData>
  <mergeCells count="18">
    <mergeCell ref="C5:C6"/>
    <mergeCell ref="D5:D6"/>
    <mergeCell ref="C3:C4"/>
    <mergeCell ref="D3:D4"/>
    <mergeCell ref="Q1:Q2"/>
    <mergeCell ref="J1:K1"/>
    <mergeCell ref="M1:M2"/>
    <mergeCell ref="N1:P2"/>
    <mergeCell ref="C1:C2"/>
    <mergeCell ref="D1:D2"/>
    <mergeCell ref="M4:M5"/>
    <mergeCell ref="N4:P5"/>
    <mergeCell ref="Q4:Q5"/>
    <mergeCell ref="Q7:Q8"/>
    <mergeCell ref="J2:K2"/>
    <mergeCell ref="J3:K3"/>
    <mergeCell ref="M7:M8"/>
    <mergeCell ref="N7:P8"/>
  </mergeCells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9489-18A8-435A-9028-B37DC6F9E099}">
  <sheetPr>
    <tabColor rgb="FF0070C0"/>
  </sheetPr>
  <dimension ref="A1:U15"/>
  <sheetViews>
    <sheetView zoomScale="91" zoomScaleNormal="91" workbookViewId="0">
      <selection activeCell="C7" sqref="C7"/>
    </sheetView>
  </sheetViews>
  <sheetFormatPr defaultRowHeight="14.4" x14ac:dyDescent="0.3"/>
  <cols>
    <col min="6" max="6" width="11" bestFit="1" customWidth="1"/>
    <col min="7" max="7" width="12.109375" bestFit="1" customWidth="1"/>
    <col min="8" max="8" width="20" bestFit="1" customWidth="1"/>
    <col min="11" max="11" width="13.109375" bestFit="1" customWidth="1"/>
    <col min="12" max="12" width="7.6640625" customWidth="1"/>
    <col min="15" max="15" width="17" customWidth="1"/>
    <col min="17" max="17" width="10.5546875" customWidth="1"/>
    <col min="20" max="20" width="14.6640625" customWidth="1"/>
    <col min="21" max="21" width="19.5546875" bestFit="1" customWidth="1"/>
  </cols>
  <sheetData>
    <row r="1" spans="1:21" ht="13.95" customHeight="1" thickTop="1" thickBot="1" x14ac:dyDescent="0.35">
      <c r="A1" s="10" t="s">
        <v>8</v>
      </c>
      <c r="B1" s="6" t="s">
        <v>9</v>
      </c>
      <c r="C1" s="14" t="s">
        <v>22</v>
      </c>
      <c r="D1" s="15" t="s">
        <v>23</v>
      </c>
      <c r="E1" s="15" t="s">
        <v>24</v>
      </c>
      <c r="F1" s="17" t="s">
        <v>35</v>
      </c>
      <c r="G1" s="17" t="s">
        <v>50</v>
      </c>
      <c r="H1" s="17" t="s">
        <v>14</v>
      </c>
      <c r="I1" s="30" t="s">
        <v>25</v>
      </c>
      <c r="J1" s="31"/>
      <c r="K1" s="11">
        <f>SUM(Table6[x])</f>
        <v>40900</v>
      </c>
      <c r="L1" s="21" t="s">
        <v>30</v>
      </c>
      <c r="M1" s="23"/>
      <c r="N1" s="23"/>
      <c r="O1" s="23"/>
      <c r="P1" s="24">
        <f>(K6*K3-(K1*K2))/((K6*K4)-(K1^2))</f>
        <v>-2.4329054842476462E-4</v>
      </c>
      <c r="Q1" s="21" t="s">
        <v>33</v>
      </c>
      <c r="R1" s="29"/>
      <c r="S1" s="29"/>
      <c r="T1" s="29"/>
      <c r="U1" s="24" t="str">
        <f>CONCATENATE("y = ",ROUNDDOWN(P1,4),"x + ",ROUNDDOWN(P3,4))</f>
        <v>y = -0.0002x + 20.3501</v>
      </c>
    </row>
    <row r="2" spans="1:21" ht="31.2" customHeight="1" thickTop="1" thickBot="1" x14ac:dyDescent="0.35">
      <c r="A2" s="20">
        <v>8100</v>
      </c>
      <c r="B2" s="20">
        <v>17.899999999999999</v>
      </c>
      <c r="C2" s="16">
        <f>SUM(Table6[[#This Row],[x]]*Table6[[#This Row],[y]])</f>
        <v>144990</v>
      </c>
      <c r="D2" s="16">
        <f>Table6[[#This Row],[x]]^2</f>
        <v>65610000</v>
      </c>
      <c r="E2" s="16">
        <f>Table6[[#This Row],[y]]^2</f>
        <v>320.40999999999997</v>
      </c>
      <c r="F2" s="16">
        <f>Table6[[#This Row],[x]]-$K$12</f>
        <v>-80</v>
      </c>
      <c r="G2" s="16">
        <f>Table6[[#This Row],[y]]-$K$14</f>
        <v>-0.46000000000000441</v>
      </c>
      <c r="H2" s="16">
        <f>Table7[[#This Row],[(xi-x)]]*Table7[[#This Row],[(yi-y)2]]</f>
        <v>36.800000000000352</v>
      </c>
      <c r="I2" s="30" t="s">
        <v>26</v>
      </c>
      <c r="J2" s="31"/>
      <c r="K2" s="11">
        <f>SUM(Table6[y])</f>
        <v>91.800000000000011</v>
      </c>
      <c r="L2" s="22"/>
      <c r="M2" s="23"/>
      <c r="N2" s="23"/>
      <c r="O2" s="23"/>
      <c r="P2" s="24"/>
      <c r="Q2" s="22"/>
      <c r="R2" s="29"/>
      <c r="S2" s="29"/>
      <c r="T2" s="29"/>
      <c r="U2" s="24"/>
    </row>
    <row r="3" spans="1:21" ht="15.6" thickTop="1" thickBot="1" x14ac:dyDescent="0.35">
      <c r="A3" s="20">
        <v>6600</v>
      </c>
      <c r="B3" s="20">
        <v>18.8</v>
      </c>
      <c r="C3" s="16">
        <f>SUM(Table6[[#This Row],[x]]*Table6[[#This Row],[y]])</f>
        <v>124080</v>
      </c>
      <c r="D3" s="16">
        <f>Table6[[#This Row],[x]]^2</f>
        <v>43560000</v>
      </c>
      <c r="E3" s="16">
        <f>Table6[[#This Row],[y]]^2</f>
        <v>353.44000000000005</v>
      </c>
      <c r="F3" s="16">
        <f>Table6[[#This Row],[x]]-$K$12</f>
        <v>-1580</v>
      </c>
      <c r="G3" s="16">
        <f>Table6[[#This Row],[y]]-$K$14</f>
        <v>0.43999999999999773</v>
      </c>
      <c r="H3" s="16">
        <f>Table7[[#This Row],[(xi-x)]]*Table7[[#This Row],[(yi-y)2]]</f>
        <v>-695.19999999999641</v>
      </c>
      <c r="I3" s="30" t="s">
        <v>27</v>
      </c>
      <c r="J3" s="31"/>
      <c r="K3" s="11">
        <f>SUM(Table7[xy])</f>
        <v>750090</v>
      </c>
      <c r="L3" s="21" t="s">
        <v>32</v>
      </c>
      <c r="M3" s="23"/>
      <c r="N3" s="23"/>
      <c r="O3" s="23"/>
      <c r="P3" s="24">
        <f>((K4*K2)-(K1*K3))/((K6*K4)-(K1^2))</f>
        <v>20.350116686114575</v>
      </c>
      <c r="Q3" s="21" t="s">
        <v>34</v>
      </c>
      <c r="R3" s="27">
        <v>92</v>
      </c>
      <c r="S3" s="27"/>
      <c r="T3" s="27"/>
      <c r="U3" s="24" t="str">
        <f>CONCATENATE("Y= ",ROUNDDOWN(P1*R3+P3,3))</f>
        <v>Y= 20.327</v>
      </c>
    </row>
    <row r="4" spans="1:21" ht="30.6" customHeight="1" thickTop="1" thickBot="1" x14ac:dyDescent="0.35">
      <c r="A4" s="20">
        <v>8700</v>
      </c>
      <c r="B4" s="20">
        <v>19.600000000000001</v>
      </c>
      <c r="C4" s="16">
        <f>SUM(Table6[[#This Row],[x]]*Table6[[#This Row],[y]])</f>
        <v>170520</v>
      </c>
      <c r="D4" s="16">
        <f>Table6[[#This Row],[x]]^2</f>
        <v>75690000</v>
      </c>
      <c r="E4" s="16">
        <f>Table6[[#This Row],[y]]^2</f>
        <v>384.16000000000008</v>
      </c>
      <c r="F4" s="16">
        <f>Table6[[#This Row],[x]]-$K$12</f>
        <v>520</v>
      </c>
      <c r="G4" s="16">
        <f>Table6[[#This Row],[y]]-$K$14</f>
        <v>1.2399999999999984</v>
      </c>
      <c r="H4" s="16">
        <f>Table7[[#This Row],[(xi-x)]]*Table7[[#This Row],[(yi-y)2]]</f>
        <v>644.79999999999916</v>
      </c>
      <c r="I4" s="30" t="s">
        <v>28</v>
      </c>
      <c r="J4" s="31"/>
      <c r="K4" s="11">
        <f>SUM(Table7[x^2])</f>
        <v>337990000</v>
      </c>
      <c r="L4" s="22"/>
      <c r="M4" s="23"/>
      <c r="N4" s="23"/>
      <c r="O4" s="23"/>
      <c r="P4" s="24"/>
      <c r="Q4" s="22"/>
      <c r="R4" s="27"/>
      <c r="S4" s="27"/>
      <c r="T4" s="27"/>
      <c r="U4" s="24"/>
    </row>
    <row r="5" spans="1:21" ht="15.6" thickTop="1" thickBot="1" x14ac:dyDescent="0.35">
      <c r="A5" s="20">
        <v>8700</v>
      </c>
      <c r="B5" s="20">
        <v>19</v>
      </c>
      <c r="C5" s="16">
        <f>SUM(Table6[[#This Row],[x]]*Table6[[#This Row],[y]])</f>
        <v>165300</v>
      </c>
      <c r="D5" s="16">
        <f>Table6[[#This Row],[x]]^2</f>
        <v>75690000</v>
      </c>
      <c r="E5" s="16">
        <f>Table6[[#This Row],[y]]^2</f>
        <v>361</v>
      </c>
      <c r="F5" s="16">
        <f>Table6[[#This Row],[x]]-$K$12</f>
        <v>520</v>
      </c>
      <c r="G5" s="16">
        <f>Table6[[#This Row],[y]]-$K$14</f>
        <v>0.63999999999999702</v>
      </c>
      <c r="H5" s="16">
        <f>Table7[[#This Row],[(xi-x)]]*Table7[[#This Row],[(yi-y)2]]</f>
        <v>332.79999999999848</v>
      </c>
      <c r="I5" s="30" t="s">
        <v>29</v>
      </c>
      <c r="J5" s="31"/>
      <c r="K5" s="11">
        <f>SUM(Table7[y^2])</f>
        <v>1691.2600000000002</v>
      </c>
      <c r="R5" s="1"/>
      <c r="S5" s="1"/>
      <c r="T5" s="1">
        <v>92</v>
      </c>
      <c r="U5" s="1">
        <f>(0.0057*T5)-(0.7615)</f>
        <v>-0.23709999999999998</v>
      </c>
    </row>
    <row r="6" spans="1:21" ht="15.6" thickTop="1" thickBot="1" x14ac:dyDescent="0.35">
      <c r="A6" s="20">
        <v>8800</v>
      </c>
      <c r="B6" s="20">
        <v>16.5</v>
      </c>
      <c r="C6" s="16">
        <f>SUM(Table6[[#This Row],[x]]*Table6[[#This Row],[y]])</f>
        <v>145200</v>
      </c>
      <c r="D6" s="16">
        <f>Table6[[#This Row],[x]]^2</f>
        <v>77440000</v>
      </c>
      <c r="E6" s="16">
        <f>Table6[[#This Row],[y]]^2</f>
        <v>272.25</v>
      </c>
      <c r="F6" s="16">
        <f>Table6[[#This Row],[x]]-$K$12</f>
        <v>620</v>
      </c>
      <c r="G6" s="16">
        <f>Table6[[#This Row],[y]]-$K$14</f>
        <v>-1.860000000000003</v>
      </c>
      <c r="H6" s="16">
        <f>Table7[[#This Row],[(xi-x)]]*Table7[[#This Row],[(yi-y)2]]</f>
        <v>-1153.2000000000019</v>
      </c>
      <c r="I6" s="30" t="s">
        <v>31</v>
      </c>
      <c r="J6" s="31"/>
      <c r="K6" s="11">
        <f>COUNT(Table6[x])</f>
        <v>5</v>
      </c>
    </row>
    <row r="7" spans="1:21" ht="16.5" customHeight="1" thickTop="1" x14ac:dyDescent="0.3">
      <c r="A7" s="20"/>
      <c r="B7" s="20"/>
      <c r="C7" s="16"/>
      <c r="D7" s="16"/>
      <c r="E7" s="16"/>
      <c r="F7" s="16"/>
      <c r="G7" s="16"/>
      <c r="H7" s="16"/>
      <c r="P7" s="41"/>
      <c r="Q7" s="36" t="s">
        <v>51</v>
      </c>
      <c r="R7" s="38"/>
      <c r="S7" s="38"/>
      <c r="T7" s="38"/>
      <c r="U7" s="40">
        <f>K8/(K9*K10)</f>
        <v>-0.18684558538559365</v>
      </c>
    </row>
    <row r="8" spans="1:21" ht="30" customHeight="1" thickBot="1" x14ac:dyDescent="0.35">
      <c r="I8" s="28" t="s">
        <v>13</v>
      </c>
      <c r="J8" s="28"/>
      <c r="K8" s="11">
        <f>SUM(Table7[(𝑥𝑖−¯𝑥) (y𝑖−¯y) ])</f>
        <v>-834.00000000000023</v>
      </c>
      <c r="P8" s="41"/>
      <c r="Q8" s="37"/>
      <c r="R8" s="39"/>
      <c r="S8" s="39"/>
      <c r="T8" s="39"/>
      <c r="U8" s="24"/>
    </row>
    <row r="9" spans="1:21" ht="15.6" thickTop="1" thickBot="1" x14ac:dyDescent="0.35">
      <c r="I9" s="28" t="s">
        <v>17</v>
      </c>
      <c r="J9" s="28"/>
      <c r="K9" s="11" cm="1">
        <f t="array" ref="K9">SQRT(SUM(Table7[(xi-x)]^2))</f>
        <v>1851.4858897652987</v>
      </c>
    </row>
    <row r="10" spans="1:21" ht="15.6" thickTop="1" thickBot="1" x14ac:dyDescent="0.35">
      <c r="I10" s="28" t="s">
        <v>20</v>
      </c>
      <c r="J10" s="28"/>
      <c r="K10" s="11" cm="1">
        <f t="array" ref="K10">SQRT(SUM(Table7[(yi-y)2]^2))</f>
        <v>2.4108089928486671</v>
      </c>
    </row>
    <row r="11" spans="1:21" ht="15.6" thickTop="1" thickBot="1" x14ac:dyDescent="0.35"/>
    <row r="12" spans="1:21" ht="15" thickTop="1" x14ac:dyDescent="0.3">
      <c r="I12" s="32" t="s">
        <v>6</v>
      </c>
      <c r="J12" s="33"/>
      <c r="K12">
        <f>AVERAGE(Table6[x])</f>
        <v>8180</v>
      </c>
    </row>
    <row r="13" spans="1:21" ht="15" thickBot="1" x14ac:dyDescent="0.35">
      <c r="I13" s="34"/>
      <c r="J13" s="35"/>
    </row>
    <row r="14" spans="1:21" ht="15" thickTop="1" x14ac:dyDescent="0.3">
      <c r="I14" s="32" t="s">
        <v>12</v>
      </c>
      <c r="J14" s="33"/>
      <c r="K14">
        <f>AVERAGE(Table6[y])</f>
        <v>18.360000000000003</v>
      </c>
    </row>
    <row r="15" spans="1:21" x14ac:dyDescent="0.3">
      <c r="I15" s="34"/>
      <c r="J15" s="35"/>
    </row>
  </sheetData>
  <mergeCells count="27">
    <mergeCell ref="I12:J13"/>
    <mergeCell ref="I14:J15"/>
    <mergeCell ref="Q7:Q8"/>
    <mergeCell ref="R7:T8"/>
    <mergeCell ref="U7:U8"/>
    <mergeCell ref="I8:J8"/>
    <mergeCell ref="I9:J9"/>
    <mergeCell ref="I10:J10"/>
    <mergeCell ref="P7:P8"/>
    <mergeCell ref="M1:O2"/>
    <mergeCell ref="P1:P2"/>
    <mergeCell ref="I6:J6"/>
    <mergeCell ref="L3:L4"/>
    <mergeCell ref="M3:O4"/>
    <mergeCell ref="P3:P4"/>
    <mergeCell ref="I1:J1"/>
    <mergeCell ref="I2:J2"/>
    <mergeCell ref="I3:J3"/>
    <mergeCell ref="I4:J4"/>
    <mergeCell ref="I5:J5"/>
    <mergeCell ref="L1:L2"/>
    <mergeCell ref="R1:T2"/>
    <mergeCell ref="U1:U2"/>
    <mergeCell ref="Q3:Q4"/>
    <mergeCell ref="R3:T4"/>
    <mergeCell ref="U3:U4"/>
    <mergeCell ref="Q1:Q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CCA4-8071-404E-A77E-99F6FB8C3C19}">
  <dimension ref="A1:F29"/>
  <sheetViews>
    <sheetView zoomScale="92" zoomScaleNormal="92" workbookViewId="0">
      <selection activeCell="F16" sqref="F16"/>
    </sheetView>
  </sheetViews>
  <sheetFormatPr defaultRowHeight="14.4" x14ac:dyDescent="0.3"/>
  <cols>
    <col min="1" max="1" width="17.33203125" customWidth="1"/>
    <col min="2" max="2" width="17.5546875" customWidth="1"/>
    <col min="3" max="3" width="15.109375" customWidth="1"/>
    <col min="4" max="4" width="24.33203125" customWidth="1"/>
    <col min="5" max="5" width="22.33203125" customWidth="1"/>
    <col min="6" max="6" width="14.109375" bestFit="1" customWidth="1"/>
  </cols>
  <sheetData>
    <row r="1" spans="1:6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6" x14ac:dyDescent="0.3">
      <c r="A2">
        <v>0</v>
      </c>
      <c r="B2">
        <v>999.8</v>
      </c>
      <c r="C2">
        <v>1783</v>
      </c>
      <c r="D2">
        <v>7.5639999999999999E-2</v>
      </c>
      <c r="E2">
        <v>421.76</v>
      </c>
    </row>
    <row r="3" spans="1:6" x14ac:dyDescent="0.3">
      <c r="A3">
        <v>10</v>
      </c>
      <c r="B3">
        <v>999.7</v>
      </c>
      <c r="C3">
        <v>1307</v>
      </c>
      <c r="D3">
        <v>7.4230000000000004E-2</v>
      </c>
      <c r="E3">
        <v>419.21</v>
      </c>
    </row>
    <row r="4" spans="1:6" x14ac:dyDescent="0.3">
      <c r="A4">
        <v>20</v>
      </c>
      <c r="B4">
        <v>998.2</v>
      </c>
      <c r="C4">
        <v>1002</v>
      </c>
      <c r="D4">
        <v>7.2749999999999995E-2</v>
      </c>
      <c r="E4">
        <v>418.18</v>
      </c>
    </row>
    <row r="5" spans="1:6" x14ac:dyDescent="0.3">
      <c r="A5">
        <v>30</v>
      </c>
      <c r="B5">
        <v>995.6</v>
      </c>
      <c r="C5">
        <v>797.7</v>
      </c>
      <c r="D5">
        <v>7.1199999999999999E-2</v>
      </c>
      <c r="E5">
        <v>417.84</v>
      </c>
    </row>
    <row r="6" spans="1:6" x14ac:dyDescent="0.3">
      <c r="A6">
        <v>40</v>
      </c>
      <c r="B6">
        <v>992.2</v>
      </c>
      <c r="C6">
        <v>653.20000000000005</v>
      </c>
      <c r="D6">
        <v>6.9599999999999995E-2</v>
      </c>
      <c r="E6">
        <v>417.85</v>
      </c>
    </row>
    <row r="7" spans="1:6" x14ac:dyDescent="0.3">
      <c r="A7">
        <v>50</v>
      </c>
      <c r="B7">
        <v>988.1</v>
      </c>
      <c r="C7">
        <v>547</v>
      </c>
      <c r="D7">
        <v>6.794E-2</v>
      </c>
      <c r="E7">
        <v>418.06</v>
      </c>
    </row>
    <row r="8" spans="1:6" x14ac:dyDescent="0.3">
      <c r="A8">
        <v>60</v>
      </c>
      <c r="B8">
        <v>983.2</v>
      </c>
      <c r="C8">
        <v>466.5</v>
      </c>
      <c r="D8">
        <v>6.6239999999999993E-2</v>
      </c>
      <c r="E8">
        <v>418.43</v>
      </c>
    </row>
    <row r="9" spans="1:6" x14ac:dyDescent="0.3">
      <c r="A9">
        <v>70</v>
      </c>
      <c r="B9">
        <v>977.8</v>
      </c>
      <c r="C9">
        <v>404</v>
      </c>
      <c r="D9">
        <v>6.447E-2</v>
      </c>
      <c r="E9">
        <v>418.95</v>
      </c>
    </row>
    <row r="10" spans="1:6" x14ac:dyDescent="0.3">
      <c r="A10">
        <v>80</v>
      </c>
      <c r="B10">
        <v>971.8</v>
      </c>
      <c r="C10">
        <v>354.4</v>
      </c>
      <c r="D10">
        <v>6.2670000000000003E-2</v>
      </c>
      <c r="E10">
        <v>419.63</v>
      </c>
    </row>
    <row r="11" spans="1:6" x14ac:dyDescent="0.3">
      <c r="A11">
        <v>90</v>
      </c>
      <c r="B11">
        <v>965.3</v>
      </c>
      <c r="C11">
        <v>314.5</v>
      </c>
      <c r="D11">
        <v>6.08E-2</v>
      </c>
      <c r="E11">
        <v>420.5</v>
      </c>
    </row>
    <row r="12" spans="1:6" x14ac:dyDescent="0.3">
      <c r="A12">
        <v>100</v>
      </c>
      <c r="B12">
        <v>958.4</v>
      </c>
      <c r="C12">
        <v>261.8</v>
      </c>
      <c r="D12">
        <v>5.8909999999999997E-2</v>
      </c>
      <c r="E12">
        <v>421.59</v>
      </c>
    </row>
    <row r="15" spans="1:6" x14ac:dyDescent="0.3">
      <c r="A15" s="42" t="s">
        <v>48</v>
      </c>
      <c r="B15" s="42"/>
      <c r="C15" s="42"/>
      <c r="D15" s="42"/>
      <c r="E15" s="42"/>
      <c r="F15" s="42"/>
    </row>
    <row r="16" spans="1:6" x14ac:dyDescent="0.3">
      <c r="A16" s="16" t="s">
        <v>37</v>
      </c>
      <c r="B16" s="16">
        <v>0</v>
      </c>
      <c r="C16" s="16"/>
      <c r="D16" s="16"/>
      <c r="E16" s="16"/>
      <c r="F16" s="16"/>
    </row>
    <row r="17" spans="1:6" x14ac:dyDescent="0.3">
      <c r="A17" s="16" t="s">
        <v>38</v>
      </c>
      <c r="B17" s="16">
        <f>CORREL(Table32[Temperatura (°C)],Table32[Densidad(kg/m3)])</f>
        <v>-0.97318349527261094</v>
      </c>
      <c r="C17" s="16">
        <v>0</v>
      </c>
      <c r="D17" s="16"/>
      <c r="E17" s="16"/>
      <c r="F17" s="16"/>
    </row>
    <row r="18" spans="1:6" x14ac:dyDescent="0.3">
      <c r="A18" s="16" t="s">
        <v>45</v>
      </c>
      <c r="B18" s="16">
        <f>CORREL(Table32[Temperatura (°C)],Table32[Viscosidad(cP)])</f>
        <v>-0.91785489899943662</v>
      </c>
      <c r="C18" s="16">
        <f>CORREL(Table32[Viscosidad(cP)],Table32[Densidad(kg/m3)])</f>
        <v>0.80491601671009139</v>
      </c>
      <c r="D18" s="16">
        <v>0</v>
      </c>
      <c r="E18" s="16"/>
      <c r="F18" s="16"/>
    </row>
    <row r="19" spans="1:6" x14ac:dyDescent="0.3">
      <c r="A19" s="16" t="s">
        <v>46</v>
      </c>
      <c r="B19" s="19">
        <f>CORREL(Table32[Temperatura (°C)],Table32[Tension Superficial (N/m)])</f>
        <v>-0.99900483534402507</v>
      </c>
      <c r="C19" s="16">
        <f>CORREL(Table32[Tension Superficial (N/m)],Table32[Densidad(kg/m3)])</f>
        <v>0.98244448222254921</v>
      </c>
      <c r="D19" s="16">
        <f>CORREL(Table32[Tension Superficial (N/m)],Table32[Viscosidad(cP)])</f>
        <v>0.90019630696067721</v>
      </c>
      <c r="E19" s="16">
        <v>0</v>
      </c>
      <c r="F19" s="16"/>
    </row>
    <row r="20" spans="1:6" x14ac:dyDescent="0.3">
      <c r="A20" s="16" t="s">
        <v>39</v>
      </c>
      <c r="B20">
        <f>CORREL(Table32[Temperatura (°C)],Table32[Calor Especifico/J/g °C)])</f>
        <v>0.23987171171778549</v>
      </c>
      <c r="C20" s="16">
        <f>CORREL(Table32[Densidad(kg/m3)],Table32[Calor Especifico/J/g °C)])</f>
        <v>-0.4516619182717731</v>
      </c>
      <c r="D20" s="16">
        <f>CORREL(Table32[Calor Especifico/J/g °C)],Table32[Viscosidad(cP)])</f>
        <v>0.16303402716917348</v>
      </c>
      <c r="E20" s="18">
        <f>CORREL(Table32[Calor Especifico/J/g °C)],Table32[Tension Superficial (N/m)])</f>
        <v>-0.28122295192487828</v>
      </c>
      <c r="F20" s="16">
        <v>0</v>
      </c>
    </row>
    <row r="21" spans="1:6" x14ac:dyDescent="0.3">
      <c r="A21" s="16"/>
      <c r="B21" s="16" t="s">
        <v>37</v>
      </c>
      <c r="C21" s="16" t="s">
        <v>38</v>
      </c>
      <c r="D21" s="16" t="s">
        <v>45</v>
      </c>
      <c r="E21" s="16" t="s">
        <v>46</v>
      </c>
      <c r="F21" s="16" t="s">
        <v>47</v>
      </c>
    </row>
    <row r="23" spans="1:6" x14ac:dyDescent="0.3">
      <c r="A23" s="42" t="s">
        <v>49</v>
      </c>
      <c r="B23" s="42"/>
      <c r="C23" s="42"/>
      <c r="D23" s="42"/>
      <c r="E23" s="42"/>
      <c r="F23" s="42"/>
    </row>
    <row r="24" spans="1:6" x14ac:dyDescent="0.3">
      <c r="A24" s="16" t="s">
        <v>37</v>
      </c>
      <c r="B24" s="16">
        <v>0</v>
      </c>
      <c r="C24" s="16"/>
      <c r="D24" s="16"/>
      <c r="E24" s="16"/>
      <c r="F24" s="16"/>
    </row>
    <row r="25" spans="1:6" x14ac:dyDescent="0.3">
      <c r="A25" s="16" t="s">
        <v>38</v>
      </c>
      <c r="B25" s="16">
        <f>B17^2</f>
        <v>0.94708611547101595</v>
      </c>
      <c r="C25" s="16">
        <v>0</v>
      </c>
      <c r="D25" s="16"/>
      <c r="E25" s="16"/>
      <c r="F25" s="16"/>
    </row>
    <row r="26" spans="1:6" x14ac:dyDescent="0.3">
      <c r="A26" s="16" t="s">
        <v>45</v>
      </c>
      <c r="B26" s="16">
        <f t="shared" ref="B26:C28" si="0">B18^2</f>
        <v>0.84245761561726595</v>
      </c>
      <c r="C26" s="16">
        <f>C18^2</f>
        <v>0.64788979395644009</v>
      </c>
      <c r="D26" s="16">
        <v>0</v>
      </c>
      <c r="E26" s="16"/>
      <c r="F26" s="16"/>
    </row>
    <row r="27" spans="1:6" x14ac:dyDescent="0.3">
      <c r="A27" s="16" t="s">
        <v>46</v>
      </c>
      <c r="B27" s="19">
        <f t="shared" si="0"/>
        <v>0.99801066104074265</v>
      </c>
      <c r="C27" s="16">
        <f t="shared" si="0"/>
        <v>0.96519716064953276</v>
      </c>
      <c r="D27" s="16">
        <f>D19^2</f>
        <v>0.81035339106564175</v>
      </c>
      <c r="E27" s="16">
        <v>0</v>
      </c>
      <c r="F27" s="16"/>
    </row>
    <row r="28" spans="1:6" x14ac:dyDescent="0.3">
      <c r="A28" s="16" t="s">
        <v>39</v>
      </c>
      <c r="B28">
        <f>B20^2</f>
        <v>5.7538438082420387E-2</v>
      </c>
      <c r="C28" s="16">
        <f t="shared" si="0"/>
        <v>0.20399848841693785</v>
      </c>
      <c r="D28" s="16">
        <f>D20^2</f>
        <v>2.6580094014998796E-2</v>
      </c>
      <c r="E28" s="18">
        <f>E20^2</f>
        <v>7.9086348689342403E-2</v>
      </c>
      <c r="F28" s="16">
        <v>0</v>
      </c>
    </row>
    <row r="29" spans="1:6" x14ac:dyDescent="0.3">
      <c r="A29" s="16"/>
      <c r="B29" s="16" t="s">
        <v>37</v>
      </c>
      <c r="C29" s="16" t="s">
        <v>38</v>
      </c>
      <c r="D29" s="16" t="s">
        <v>45</v>
      </c>
      <c r="E29" s="16" t="s">
        <v>46</v>
      </c>
      <c r="F29" s="16" t="s">
        <v>47</v>
      </c>
    </row>
  </sheetData>
  <mergeCells count="2">
    <mergeCell ref="A15:F15"/>
    <mergeCell ref="A23:F23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F92A-9F27-4D47-A7B0-067CA1C0BDA0}">
  <dimension ref="A1:Q21"/>
  <sheetViews>
    <sheetView workbookViewId="0">
      <selection activeCell="J24" sqref="J24"/>
    </sheetView>
  </sheetViews>
  <sheetFormatPr defaultRowHeight="14.4" x14ac:dyDescent="0.3"/>
  <cols>
    <col min="13" max="13" width="12.88671875" customWidth="1"/>
    <col min="16" max="16" width="16.44140625" customWidth="1"/>
    <col min="17" max="17" width="12" bestFit="1" customWidth="1"/>
  </cols>
  <sheetData>
    <row r="1" spans="1:17" ht="15.6" thickTop="1" thickBot="1" x14ac:dyDescent="0.35">
      <c r="A1" s="10" t="s">
        <v>8</v>
      </c>
      <c r="B1" s="6" t="s">
        <v>9</v>
      </c>
      <c r="C1" s="25" t="s">
        <v>6</v>
      </c>
      <c r="D1" s="27">
        <f>AVERAGE(xvalues26[x])</f>
        <v>9.2100000000000009</v>
      </c>
      <c r="E1" s="2" t="s">
        <v>10</v>
      </c>
      <c r="F1" s="2" t="s">
        <v>11</v>
      </c>
      <c r="G1" s="3" t="s">
        <v>14</v>
      </c>
      <c r="H1" s="2" t="s">
        <v>18</v>
      </c>
      <c r="I1" s="3" t="s">
        <v>19</v>
      </c>
      <c r="J1" s="28" t="s">
        <v>13</v>
      </c>
      <c r="K1" s="28"/>
      <c r="L1" s="11">
        <f>SUM(xtimesyvalues30[(𝑥𝑖−¯𝑥) (y𝑖−¯y) ])</f>
        <v>-0.65320000000000034</v>
      </c>
      <c r="M1" s="21" t="s">
        <v>15</v>
      </c>
      <c r="N1" s="23"/>
      <c r="O1" s="23"/>
      <c r="P1" s="23"/>
      <c r="Q1" s="24">
        <f>L1/($D$5-1)</f>
        <v>-8.1650000000000042E-2</v>
      </c>
    </row>
    <row r="2" spans="1:17" ht="30.6" customHeight="1" thickTop="1" thickBot="1" x14ac:dyDescent="0.35">
      <c r="A2" s="7">
        <v>9.81</v>
      </c>
      <c r="B2" s="7">
        <v>1.42</v>
      </c>
      <c r="C2" s="26"/>
      <c r="D2" s="27"/>
      <c r="E2" s="1">
        <f>xvalues26[[#This Row],[x]]-$D$1</f>
        <v>0.59999999999999964</v>
      </c>
      <c r="F2" s="1">
        <f>yvalues27[[#This Row],[y]]-$D$3</f>
        <v>-0.54555555555555579</v>
      </c>
      <c r="G2" s="1">
        <f>Table1028[[#This Row],[(𝑥𝑖−¯𝑥) ]]*Table1129[[#This Row],[(y𝑖−¯y) ]]</f>
        <v>-0.32733333333333331</v>
      </c>
      <c r="H2" s="1">
        <f>Table1028[[#This Row],[(𝑥𝑖−¯𝑥) ]]^2</f>
        <v>0.3599999999999996</v>
      </c>
      <c r="I2" s="1">
        <f>Table1129[[#This Row],[(y𝑖−¯y) ]]^2</f>
        <v>0.2976308641975311</v>
      </c>
      <c r="J2" s="28" t="s">
        <v>17</v>
      </c>
      <c r="K2" s="28"/>
      <c r="L2" s="11">
        <f>SQRT(SUM(Table10231[(𝑥𝑖−¯𝑥) ^2]))</f>
        <v>2.8284271247461903</v>
      </c>
      <c r="M2" s="22"/>
      <c r="N2" s="23"/>
      <c r="O2" s="23"/>
      <c r="P2" s="23"/>
      <c r="Q2" s="24"/>
    </row>
    <row r="3" spans="1:17" ht="30" customHeight="1" thickTop="1" thickBot="1" x14ac:dyDescent="0.35">
      <c r="A3" s="8">
        <v>6.65</v>
      </c>
      <c r="B3" s="8">
        <v>2.1</v>
      </c>
      <c r="C3" s="25" t="s">
        <v>12</v>
      </c>
      <c r="D3" s="27">
        <f>AVERAGE(yvalues27[y])</f>
        <v>1.9655555555555557</v>
      </c>
      <c r="E3" s="1">
        <f>xvalues26[[#This Row],[x]]-$D$1</f>
        <v>-2.5600000000000005</v>
      </c>
      <c r="F3" s="1">
        <f>yvalues27[[#This Row],[y]]-$D$3</f>
        <v>0.13444444444444437</v>
      </c>
      <c r="G3" s="1">
        <f>Table1028[[#This Row],[(𝑥𝑖−¯𝑥) ]]*Table1129[[#This Row],[(y𝑖−¯y) ]]</f>
        <v>-0.34417777777777764</v>
      </c>
      <c r="H3" s="1">
        <f>Table1028[[#This Row],[(𝑥𝑖−¯𝑥) ]]^2</f>
        <v>6.553600000000003</v>
      </c>
      <c r="I3" s="1">
        <f>Table1129[[#This Row],[(y𝑖−¯y) ]]^2</f>
        <v>1.8075308641975287E-2</v>
      </c>
      <c r="J3" s="28" t="s">
        <v>20</v>
      </c>
      <c r="K3" s="28"/>
      <c r="L3" s="11">
        <f>SQRT(SUM(Table11432[(y𝑖−¯y) ^2]))</f>
        <v>0.88058061653787401</v>
      </c>
      <c r="Q3">
        <f>_xlfn.COVARIANCE.S(xvalues26[x],yvalues27[y])</f>
        <v>-8.1650000000000042E-2</v>
      </c>
    </row>
    <row r="4" spans="1:17" ht="15.6" thickTop="1" thickBot="1" x14ac:dyDescent="0.35">
      <c r="A4" s="9">
        <v>9.25</v>
      </c>
      <c r="B4" s="9">
        <v>2.12</v>
      </c>
      <c r="C4" s="26"/>
      <c r="D4" s="27"/>
      <c r="E4" s="1">
        <f>xvalues26[[#This Row],[x]]-$D$1</f>
        <v>3.9999999999999147E-2</v>
      </c>
      <c r="F4" s="1">
        <f>yvalues27[[#This Row],[y]]-$D$3</f>
        <v>0.15444444444444438</v>
      </c>
      <c r="G4" s="1">
        <f>Table1028[[#This Row],[(𝑥𝑖−¯𝑥) ]]*Table1129[[#This Row],[(y𝑖−¯y) ]]</f>
        <v>6.1777777777776433E-3</v>
      </c>
      <c r="H4" s="1">
        <f>Table1028[[#This Row],[(𝑥𝑖−¯𝑥) ]]^2</f>
        <v>1.5999999999999318E-3</v>
      </c>
      <c r="I4" s="1">
        <f>Table1129[[#This Row],[(y𝑖−¯y) ]]^2</f>
        <v>2.3853086419753068E-2</v>
      </c>
      <c r="M4" s="21" t="s">
        <v>16</v>
      </c>
      <c r="N4" s="23"/>
      <c r="O4" s="23"/>
      <c r="P4" s="23"/>
      <c r="Q4" s="24">
        <f>L1/(L2*L3)</f>
        <v>-0.26226000254639226</v>
      </c>
    </row>
    <row r="5" spans="1:17" ht="32.4" customHeight="1" thickTop="1" thickBot="1" x14ac:dyDescent="0.35">
      <c r="A5" s="8">
        <v>9.81</v>
      </c>
      <c r="B5" s="8">
        <v>1.5</v>
      </c>
      <c r="C5" s="25" t="s">
        <v>7</v>
      </c>
      <c r="D5" s="27">
        <f>COUNT(xvalues26[x])</f>
        <v>9</v>
      </c>
      <c r="E5" s="1">
        <f>xvalues26[[#This Row],[x]]-$D$1</f>
        <v>0.59999999999999964</v>
      </c>
      <c r="F5" s="1">
        <f>yvalues27[[#This Row],[y]]-$D$3</f>
        <v>-0.46555555555555572</v>
      </c>
      <c r="G5" s="1">
        <f>Table1028[[#This Row],[(𝑥𝑖−¯𝑥) ]]*Table1129[[#This Row],[(y𝑖−¯y) ]]</f>
        <v>-0.27933333333333327</v>
      </c>
      <c r="H5" s="1">
        <f>Table1028[[#This Row],[(𝑥𝑖−¯𝑥) ]]^2</f>
        <v>0.3599999999999996</v>
      </c>
      <c r="I5" s="1">
        <f>Table1129[[#This Row],[(y𝑖−¯y) ]]^2</f>
        <v>0.21674197530864214</v>
      </c>
      <c r="M5" s="22"/>
      <c r="N5" s="23"/>
      <c r="O5" s="23"/>
      <c r="P5" s="23"/>
      <c r="Q5" s="24"/>
    </row>
    <row r="6" spans="1:17" ht="15.6" thickTop="1" thickBot="1" x14ac:dyDescent="0.35">
      <c r="A6" s="9">
        <v>9.81</v>
      </c>
      <c r="B6" s="9">
        <v>2</v>
      </c>
      <c r="C6" s="26"/>
      <c r="D6" s="27"/>
      <c r="E6" s="1">
        <f>xvalues26[[#This Row],[x]]-$D$1</f>
        <v>0.59999999999999964</v>
      </c>
      <c r="F6" s="1">
        <f>yvalues27[[#This Row],[y]]-$D$3</f>
        <v>3.4444444444444278E-2</v>
      </c>
      <c r="G6" s="1">
        <f>Table1028[[#This Row],[(𝑥𝑖−¯𝑥) ]]*Table1129[[#This Row],[(y𝑖−¯y) ]]</f>
        <v>2.0666666666666555E-2</v>
      </c>
      <c r="H6" s="1">
        <f>Table1028[[#This Row],[(𝑥𝑖−¯𝑥) ]]^2</f>
        <v>0.3599999999999996</v>
      </c>
      <c r="I6" s="1">
        <f>Table1129[[#This Row],[(y𝑖−¯y) ]]^2</f>
        <v>1.1864197530864083E-3</v>
      </c>
      <c r="Q6">
        <f>CORREL(xvalues26[x],yvalues27[y])</f>
        <v>-0.26226000254639226</v>
      </c>
    </row>
    <row r="7" spans="1:17" ht="15.6" thickTop="1" thickBot="1" x14ac:dyDescent="0.35">
      <c r="A7" s="8">
        <v>9.81</v>
      </c>
      <c r="B7" s="8">
        <v>2.4</v>
      </c>
      <c r="E7" s="1">
        <f>xvalues26[[#This Row],[x]]-$D$1</f>
        <v>0.59999999999999964</v>
      </c>
      <c r="F7" s="1">
        <f>yvalues27[[#This Row],[y]]-$D$3</f>
        <v>0.43444444444444419</v>
      </c>
      <c r="G7" s="1">
        <f>Table1028[[#This Row],[(𝑥𝑖−¯𝑥) ]]*Table1129[[#This Row],[(y𝑖−¯y) ]]</f>
        <v>0.26066666666666638</v>
      </c>
      <c r="H7" s="1">
        <f>Table1028[[#This Row],[(𝑥𝑖−¯𝑥) ]]^2</f>
        <v>0.3599999999999996</v>
      </c>
      <c r="I7" s="1">
        <f>Table1129[[#This Row],[(y𝑖−¯y) ]]^2</f>
        <v>0.18874197530864176</v>
      </c>
      <c r="M7" s="21" t="s">
        <v>21</v>
      </c>
      <c r="N7" s="23"/>
      <c r="O7" s="23"/>
      <c r="P7" s="23"/>
      <c r="Q7" s="24">
        <f>Q4^2</f>
        <v>6.8780308935633666E-2</v>
      </c>
    </row>
    <row r="8" spans="1:17" ht="15.6" thickTop="1" thickBot="1" x14ac:dyDescent="0.35">
      <c r="A8" s="9">
        <v>9.25</v>
      </c>
      <c r="B8" s="9">
        <v>1.98</v>
      </c>
      <c r="E8" s="1">
        <f>xvalues26[[#This Row],[x]]-$D$1</f>
        <v>3.9999999999999147E-2</v>
      </c>
      <c r="F8" s="1">
        <f>yvalues27[[#This Row],[y]]-$D$3</f>
        <v>1.444444444444426E-2</v>
      </c>
      <c r="G8" s="1">
        <f>Table1028[[#This Row],[(𝑥𝑖−¯𝑥) ]]*Table1129[[#This Row],[(y𝑖−¯y) ]]</f>
        <v>5.7777777777775813E-4</v>
      </c>
      <c r="H8" s="1">
        <f>Table1028[[#This Row],[(𝑥𝑖−¯𝑥) ]]^2</f>
        <v>1.5999999999999318E-3</v>
      </c>
      <c r="I8" s="1">
        <f>Table1129[[#This Row],[(y𝑖−¯y) ]]^2</f>
        <v>2.0864197530863664E-4</v>
      </c>
      <c r="K8" s="13"/>
      <c r="M8" s="22"/>
      <c r="N8" s="23"/>
      <c r="O8" s="23"/>
      <c r="P8" s="23"/>
      <c r="Q8" s="24"/>
    </row>
    <row r="9" spans="1:17" ht="15" thickTop="1" x14ac:dyDescent="0.3">
      <c r="A9" s="9">
        <v>9.25</v>
      </c>
      <c r="B9" s="8">
        <v>2.0699999999999998</v>
      </c>
      <c r="E9" s="1">
        <f>xvalues26[[#This Row],[x]]-$D$1</f>
        <v>3.9999999999999147E-2</v>
      </c>
      <c r="F9" s="1">
        <f>yvalues27[[#This Row],[y]]-$D$3</f>
        <v>0.10444444444444412</v>
      </c>
      <c r="G9" s="1">
        <f>Table1028[[#This Row],[(𝑥𝑖−¯𝑥) ]]*Table1129[[#This Row],[(y𝑖−¯y) ]]</f>
        <v>4.1777777777776753E-3</v>
      </c>
      <c r="H9" s="1">
        <f>Table1028[[#This Row],[(𝑥𝑖−¯𝑥) ]]^2</f>
        <v>1.5999999999999318E-3</v>
      </c>
      <c r="I9" s="1">
        <f>Table1129[[#This Row],[(y𝑖−¯y) ]]^2</f>
        <v>1.0908641975308574E-2</v>
      </c>
    </row>
    <row r="10" spans="1:17" x14ac:dyDescent="0.3">
      <c r="A10" s="9">
        <v>9.25</v>
      </c>
      <c r="B10" s="9">
        <v>2.1</v>
      </c>
      <c r="E10" s="1">
        <f>xvalues26[[#This Row],[x]]-$D$1</f>
        <v>3.9999999999999147E-2</v>
      </c>
      <c r="F10" s="1">
        <f>yvalues27[[#This Row],[y]]-$D$3</f>
        <v>0.13444444444444437</v>
      </c>
      <c r="G10" s="1">
        <f>Table1028[[#This Row],[(𝑥𝑖−¯𝑥) ]]*Table1129[[#This Row],[(y𝑖−¯y) ]]</f>
        <v>5.3777777777776602E-3</v>
      </c>
      <c r="H10" s="1">
        <f>Table1028[[#This Row],[(𝑥𝑖−¯𝑥) ]]^2</f>
        <v>1.5999999999999318E-3</v>
      </c>
      <c r="I10" s="1">
        <f>Table1129[[#This Row],[(y𝑖−¯y) ]]^2</f>
        <v>1.8075308641975287E-2</v>
      </c>
    </row>
    <row r="13" spans="1:17" x14ac:dyDescent="0.3">
      <c r="E13" s="1"/>
      <c r="F13" s="1"/>
      <c r="G13" s="1"/>
    </row>
    <row r="14" spans="1:17" x14ac:dyDescent="0.3">
      <c r="E14" s="1"/>
      <c r="F14" s="1"/>
      <c r="G14" s="1"/>
    </row>
    <row r="15" spans="1:17" x14ac:dyDescent="0.3">
      <c r="D15" s="1"/>
      <c r="E15" s="1"/>
      <c r="F15" s="1"/>
    </row>
    <row r="16" spans="1:17" x14ac:dyDescent="0.3">
      <c r="D16" s="1"/>
      <c r="E16" s="1"/>
      <c r="F16" s="1"/>
    </row>
    <row r="17" spans="4:10" x14ac:dyDescent="0.3">
      <c r="D17" s="1"/>
      <c r="E17" s="1"/>
      <c r="F17" s="1"/>
      <c r="J17" s="12"/>
    </row>
    <row r="18" spans="4:10" x14ac:dyDescent="0.3">
      <c r="D18" s="1"/>
      <c r="E18" s="1"/>
      <c r="F18" s="1"/>
    </row>
    <row r="19" spans="4:10" x14ac:dyDescent="0.3">
      <c r="D19" s="1"/>
      <c r="E19" s="1"/>
      <c r="F19" s="1"/>
    </row>
    <row r="20" spans="4:10" x14ac:dyDescent="0.3">
      <c r="D20" s="1"/>
      <c r="E20" s="1"/>
      <c r="F20" s="1"/>
    </row>
    <row r="21" spans="4:10" x14ac:dyDescent="0.3">
      <c r="D21" s="1"/>
      <c r="E21" s="1"/>
      <c r="F21" s="1"/>
    </row>
  </sheetData>
  <mergeCells count="18">
    <mergeCell ref="Q1:Q2"/>
    <mergeCell ref="J2:K2"/>
    <mergeCell ref="C1:C2"/>
    <mergeCell ref="D1:D2"/>
    <mergeCell ref="J1:K1"/>
    <mergeCell ref="M1:M2"/>
    <mergeCell ref="N1:P2"/>
    <mergeCell ref="M7:M8"/>
    <mergeCell ref="N7:P8"/>
    <mergeCell ref="Q7:Q8"/>
    <mergeCell ref="C3:C4"/>
    <mergeCell ref="D3:D4"/>
    <mergeCell ref="J3:K3"/>
    <mergeCell ref="M4:M5"/>
    <mergeCell ref="N4:P5"/>
    <mergeCell ref="Q4:Q5"/>
    <mergeCell ref="C5:C6"/>
    <mergeCell ref="D5:D6"/>
  </mergeCells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473C-446E-47EE-A543-5C8AB4AA5AED}">
  <dimension ref="A1:U12"/>
  <sheetViews>
    <sheetView topLeftCell="B1" zoomScale="94" zoomScaleNormal="94" workbookViewId="0">
      <selection activeCell="D24" sqref="D24"/>
    </sheetView>
  </sheetViews>
  <sheetFormatPr defaultRowHeight="14.4" x14ac:dyDescent="0.3"/>
  <cols>
    <col min="15" max="15" width="19" customWidth="1"/>
    <col min="16" max="16" width="12.6640625" bestFit="1" customWidth="1"/>
    <col min="20" max="20" width="14.5546875" customWidth="1"/>
    <col min="21" max="21" width="18.5546875" bestFit="1" customWidth="1"/>
  </cols>
  <sheetData>
    <row r="1" spans="1:21" ht="21.6" thickTop="1" thickBot="1" x14ac:dyDescent="0.35">
      <c r="A1" s="10" t="s">
        <v>8</v>
      </c>
      <c r="B1" s="6" t="s">
        <v>9</v>
      </c>
      <c r="C1" s="14" t="s">
        <v>22</v>
      </c>
      <c r="D1" s="15" t="s">
        <v>23</v>
      </c>
      <c r="E1" s="15" t="s">
        <v>24</v>
      </c>
      <c r="F1" s="17" t="s">
        <v>35</v>
      </c>
      <c r="G1" s="17" t="s">
        <v>36</v>
      </c>
      <c r="H1" s="17" t="s">
        <v>14</v>
      </c>
      <c r="I1" s="30" t="s">
        <v>25</v>
      </c>
      <c r="J1" s="31"/>
      <c r="K1" s="11">
        <f>SUM(Table624[x])</f>
        <v>737</v>
      </c>
      <c r="L1" s="21" t="s">
        <v>30</v>
      </c>
      <c r="M1" s="23"/>
      <c r="N1" s="23"/>
      <c r="O1" s="23"/>
      <c r="P1" s="24">
        <f>(K6*K3-(K1*K2))/((K6*K4)-(K1^2))</f>
        <v>2.4327272727272774E-2</v>
      </c>
      <c r="Q1" s="21" t="s">
        <v>33</v>
      </c>
      <c r="R1" s="29"/>
      <c r="S1" s="29"/>
      <c r="T1" s="29"/>
      <c r="U1" s="24" t="str">
        <f>CONCATENATE("y = ",ROUNDDOWN(P1,4),"x + ",ROUNDDOWN(P3,4))</f>
        <v>y = 0.0243x + -0.5508</v>
      </c>
    </row>
    <row r="2" spans="1:21" ht="37.200000000000003" customHeight="1" thickTop="1" thickBot="1" x14ac:dyDescent="0.35">
      <c r="A2" s="1">
        <v>42</v>
      </c>
      <c r="B2" s="1">
        <v>0.5</v>
      </c>
      <c r="C2" s="16">
        <f>SUM(Table624[[#This Row],[x]]*Table624[[#This Row],[y]])</f>
        <v>21</v>
      </c>
      <c r="D2" s="16">
        <f>Table624[[#This Row],[x]]^2</f>
        <v>1764</v>
      </c>
      <c r="E2" s="16">
        <f>Table624[[#This Row],[y]]^2</f>
        <v>0.25</v>
      </c>
      <c r="F2" s="16">
        <f>Table624[[#This Row],[x]]-$K$1</f>
        <v>-695</v>
      </c>
      <c r="G2" s="16">
        <f>Table624[[#This Row],[y]]-$K$2</f>
        <v>-11.37</v>
      </c>
      <c r="H2" s="16">
        <f>Table725[[#This Row],[(xi-x)]]*Table725[[#This Row],[(yi-x)2]]</f>
        <v>7902.15</v>
      </c>
      <c r="I2" s="30" t="s">
        <v>26</v>
      </c>
      <c r="J2" s="31"/>
      <c r="K2" s="11">
        <f>SUM(Table624[y])</f>
        <v>11.87</v>
      </c>
      <c r="L2" s="22"/>
      <c r="M2" s="23"/>
      <c r="N2" s="23"/>
      <c r="O2" s="23"/>
      <c r="P2" s="24"/>
      <c r="Q2" s="22"/>
      <c r="R2" s="29"/>
      <c r="S2" s="29"/>
      <c r="T2" s="29"/>
      <c r="U2" s="24"/>
    </row>
    <row r="3" spans="1:21" ht="38.4" customHeight="1" thickTop="1" thickBot="1" x14ac:dyDescent="0.35">
      <c r="A3" s="16">
        <v>47</v>
      </c>
      <c r="B3" s="1">
        <v>0.55000000000000004</v>
      </c>
      <c r="C3" s="16">
        <f>SUM(Table624[[#This Row],[x]]*Table624[[#This Row],[y]])</f>
        <v>25.85</v>
      </c>
      <c r="D3" s="16">
        <f>Table624[[#This Row],[x]]^2</f>
        <v>2209</v>
      </c>
      <c r="E3" s="16">
        <f>Table624[[#This Row],[y]]^2</f>
        <v>0.30250000000000005</v>
      </c>
      <c r="F3" s="16">
        <f>Table624[[#This Row],[x]]-$K$1</f>
        <v>-690</v>
      </c>
      <c r="G3" s="16">
        <f>Table624[[#This Row],[y]]-$K$2</f>
        <v>-11.319999999999999</v>
      </c>
      <c r="H3" s="16">
        <f>Table725[[#This Row],[(xi-x)]]*Table725[[#This Row],[(yi-x)2]]</f>
        <v>7810.7999999999993</v>
      </c>
      <c r="I3" s="30" t="s">
        <v>27</v>
      </c>
      <c r="J3" s="31"/>
      <c r="K3" s="11">
        <f>SUM(Table725[xy])</f>
        <v>862.19</v>
      </c>
      <c r="L3" s="21" t="s">
        <v>32</v>
      </c>
      <c r="M3" s="23"/>
      <c r="N3" s="23"/>
      <c r="O3" s="23"/>
      <c r="P3" s="24">
        <f>((K4*K2)-(K1*K3))/((K6*K4)-(K1^2))</f>
        <v>-0.55083636363636512</v>
      </c>
      <c r="Q3" s="21" t="s">
        <v>34</v>
      </c>
      <c r="R3" s="27">
        <v>92</v>
      </c>
      <c r="S3" s="27"/>
      <c r="T3" s="27"/>
      <c r="U3" s="24" t="str">
        <f>CONCATENATE("Y= ",ROUNDDOWN(P1*R3+P3,3))</f>
        <v>Y= 1.687</v>
      </c>
    </row>
    <row r="4" spans="1:21" ht="15.6" thickTop="1" thickBot="1" x14ac:dyDescent="0.35">
      <c r="A4" s="16">
        <v>52</v>
      </c>
      <c r="B4" s="1">
        <v>0.7</v>
      </c>
      <c r="C4" s="16">
        <f>SUM(Table624[[#This Row],[x]]*Table624[[#This Row],[y]])</f>
        <v>36.4</v>
      </c>
      <c r="D4" s="16">
        <f>Table624[[#This Row],[x]]^2</f>
        <v>2704</v>
      </c>
      <c r="E4" s="16">
        <f>Table624[[#This Row],[y]]^2</f>
        <v>0.48999999999999994</v>
      </c>
      <c r="F4" s="16">
        <f>Table624[[#This Row],[x]]-$K$1</f>
        <v>-685</v>
      </c>
      <c r="G4" s="16">
        <f>Table624[[#This Row],[y]]-$K$2</f>
        <v>-11.17</v>
      </c>
      <c r="H4" s="16">
        <f>Table725[[#This Row],[(xi-x)]]*Table725[[#This Row],[(yi-x)2]]</f>
        <v>7651.45</v>
      </c>
      <c r="I4" s="30" t="s">
        <v>28</v>
      </c>
      <c r="J4" s="31"/>
      <c r="K4" s="11">
        <f>SUM(Table725[x^2])</f>
        <v>52129</v>
      </c>
      <c r="L4" s="22"/>
      <c r="M4" s="23"/>
      <c r="N4" s="23"/>
      <c r="O4" s="23"/>
      <c r="P4" s="24"/>
      <c r="Q4" s="22"/>
      <c r="R4" s="27"/>
      <c r="S4" s="27"/>
      <c r="T4" s="27"/>
      <c r="U4" s="24"/>
    </row>
    <row r="5" spans="1:21" ht="15.6" thickTop="1" thickBot="1" x14ac:dyDescent="0.35">
      <c r="A5" s="16">
        <v>57</v>
      </c>
      <c r="B5" s="1">
        <v>0.9</v>
      </c>
      <c r="C5" s="16">
        <f>SUM(Table624[[#This Row],[x]]*Table624[[#This Row],[y]])</f>
        <v>51.300000000000004</v>
      </c>
      <c r="D5" s="16">
        <f>Table624[[#This Row],[x]]^2</f>
        <v>3249</v>
      </c>
      <c r="E5" s="16">
        <f>Table624[[#This Row],[y]]^2</f>
        <v>0.81</v>
      </c>
      <c r="F5" s="16">
        <f>Table624[[#This Row],[x]]-$K$1</f>
        <v>-680</v>
      </c>
      <c r="G5" s="16">
        <f>Table624[[#This Row],[y]]-$K$2</f>
        <v>-10.969999999999999</v>
      </c>
      <c r="H5" s="16">
        <f>Table725[[#This Row],[(xi-x)]]*Table725[[#This Row],[(yi-x)2]]</f>
        <v>7459.5999999999995</v>
      </c>
      <c r="I5" s="30" t="s">
        <v>29</v>
      </c>
      <c r="J5" s="31"/>
      <c r="K5" s="11">
        <f>SUM(Table725[y^2])</f>
        <v>14.4489</v>
      </c>
      <c r="R5" s="1"/>
      <c r="S5" s="1"/>
      <c r="T5" s="1">
        <v>92</v>
      </c>
      <c r="U5" s="1">
        <f>(0.0234*T5)-(0.499)</f>
        <v>1.6537999999999999</v>
      </c>
    </row>
    <row r="6" spans="1:21" ht="15.6" thickTop="1" thickBot="1" x14ac:dyDescent="0.35">
      <c r="A6" s="16">
        <v>62</v>
      </c>
      <c r="B6" s="1">
        <v>0.93</v>
      </c>
      <c r="C6" s="16">
        <f>SUM(Table624[[#This Row],[x]]*Table624[[#This Row],[y]])</f>
        <v>57.660000000000004</v>
      </c>
      <c r="D6" s="16">
        <f>Table624[[#This Row],[x]]^2</f>
        <v>3844</v>
      </c>
      <c r="E6" s="16">
        <f>Table624[[#This Row],[y]]^2</f>
        <v>0.86490000000000011</v>
      </c>
      <c r="F6" s="16">
        <f>Table624[[#This Row],[x]]-$K$1</f>
        <v>-675</v>
      </c>
      <c r="G6" s="16">
        <f>Table624[[#This Row],[y]]-$K$2</f>
        <v>-10.94</v>
      </c>
      <c r="H6" s="16">
        <f>Table725[[#This Row],[(xi-x)]]*Table725[[#This Row],[(yi-x)2]]</f>
        <v>7384.5</v>
      </c>
      <c r="I6" s="30" t="s">
        <v>31</v>
      </c>
      <c r="J6" s="31"/>
      <c r="K6" s="11">
        <f>COUNT(Table624[x])</f>
        <v>11</v>
      </c>
    </row>
    <row r="7" spans="1:21" ht="42.6" customHeight="1" thickTop="1" thickBot="1" x14ac:dyDescent="0.35">
      <c r="A7" s="16">
        <v>67</v>
      </c>
      <c r="B7" s="16">
        <v>1.03</v>
      </c>
      <c r="C7" s="16">
        <f>SUM(Table624[[#This Row],[x]]*Table624[[#This Row],[y]])</f>
        <v>69.010000000000005</v>
      </c>
      <c r="D7" s="16">
        <f>Table624[[#This Row],[x]]^2</f>
        <v>4489</v>
      </c>
      <c r="E7" s="16">
        <f>Table624[[#This Row],[y]]^2</f>
        <v>1.0609</v>
      </c>
      <c r="F7" s="16">
        <f>Table624[[#This Row],[x]]-$K$1</f>
        <v>-670</v>
      </c>
      <c r="G7" s="16">
        <f>Table624[[#This Row],[y]]-$K$2</f>
        <v>-10.84</v>
      </c>
      <c r="H7" s="16">
        <f>Table725[[#This Row],[(xi-x)]]*Table725[[#This Row],[(yi-x)2]]</f>
        <v>7262.8</v>
      </c>
      <c r="P7" s="41"/>
      <c r="Q7" s="36" t="s">
        <v>16</v>
      </c>
      <c r="R7" s="23"/>
      <c r="S7" s="23"/>
      <c r="T7" s="23"/>
      <c r="U7" s="24">
        <f>K8/(K9*K10)</f>
        <v>0.999922660641271</v>
      </c>
    </row>
    <row r="8" spans="1:21" ht="15.6" thickTop="1" thickBot="1" x14ac:dyDescent="0.35">
      <c r="A8" s="16">
        <v>72</v>
      </c>
      <c r="B8" s="16">
        <v>1.23</v>
      </c>
      <c r="C8" s="16">
        <f>SUM(Table624[[#This Row],[x]]*Table624[[#This Row],[y]])</f>
        <v>88.56</v>
      </c>
      <c r="D8" s="16">
        <f>Table624[[#This Row],[x]]^2</f>
        <v>5184</v>
      </c>
      <c r="E8" s="16">
        <f>Table624[[#This Row],[y]]^2</f>
        <v>1.5128999999999999</v>
      </c>
      <c r="F8" s="16">
        <f>Table624[[#This Row],[x]]-$K$1</f>
        <v>-665</v>
      </c>
      <c r="G8" s="16">
        <f>Table624[[#This Row],[y]]-$K$2</f>
        <v>-10.639999999999999</v>
      </c>
      <c r="H8" s="16">
        <f>Table725[[#This Row],[(xi-x)]]*Table725[[#This Row],[(yi-x)2]]</f>
        <v>7075.5999999999995</v>
      </c>
      <c r="I8" s="28" t="s">
        <v>13</v>
      </c>
      <c r="J8" s="28"/>
      <c r="K8" s="11">
        <f>SUM(Table725[(𝑥𝑖−¯𝑥) (y𝑖−¯y) ])</f>
        <v>79595.899999999994</v>
      </c>
      <c r="P8" s="41"/>
      <c r="Q8" s="37"/>
      <c r="R8" s="23"/>
      <c r="S8" s="23"/>
      <c r="T8" s="23"/>
      <c r="U8" s="24"/>
    </row>
    <row r="9" spans="1:21" ht="15.6" thickTop="1" thickBot="1" x14ac:dyDescent="0.35">
      <c r="A9" s="16">
        <v>77</v>
      </c>
      <c r="B9" s="16">
        <v>1.35</v>
      </c>
      <c r="C9" s="16">
        <f>SUM(Table624[[#This Row],[x]]*Table624[[#This Row],[y]])</f>
        <v>103.95</v>
      </c>
      <c r="D9" s="16">
        <f>Table624[[#This Row],[x]]^2</f>
        <v>5929</v>
      </c>
      <c r="E9" s="16">
        <f>Table624[[#This Row],[y]]^2</f>
        <v>1.8225000000000002</v>
      </c>
      <c r="F9" s="16">
        <f>Table624[[#This Row],[x]]-$K$1</f>
        <v>-660</v>
      </c>
      <c r="G9" s="16">
        <f>Table624[[#This Row],[y]]-$K$2</f>
        <v>-10.52</v>
      </c>
      <c r="H9" s="16">
        <f>Table725[[#This Row],[(xi-x)]]*Table725[[#This Row],[(yi-x)2]]</f>
        <v>6943.2</v>
      </c>
      <c r="I9" s="28" t="s">
        <v>17</v>
      </c>
      <c r="J9" s="28"/>
      <c r="K9" s="11" cm="1">
        <f t="array" ref="K9">SQRT(SUM(Table725[(xi-x)]^2))</f>
        <v>2222.7572966925563</v>
      </c>
    </row>
    <row r="10" spans="1:21" ht="15.6" thickTop="1" thickBot="1" x14ac:dyDescent="0.35">
      <c r="A10" s="16">
        <v>82</v>
      </c>
      <c r="B10" s="16">
        <v>1.42</v>
      </c>
      <c r="C10" s="16">
        <f>SUM(Table624[[#This Row],[x]]*Table624[[#This Row],[y]])</f>
        <v>116.44</v>
      </c>
      <c r="D10" s="16">
        <f>Table624[[#This Row],[x]]^2</f>
        <v>6724</v>
      </c>
      <c r="E10" s="16">
        <f>Table624[[#This Row],[y]]^2</f>
        <v>2.0164</v>
      </c>
      <c r="F10" s="16">
        <f>Table624[[#This Row],[x]]-$K$1</f>
        <v>-655</v>
      </c>
      <c r="G10" s="16">
        <f>Table624[[#This Row],[y]]-$K$2</f>
        <v>-10.45</v>
      </c>
      <c r="H10" s="16">
        <f>Table725[[#This Row],[(xi-x)]]*Table725[[#This Row],[(yi-x)2]]</f>
        <v>6844.7499999999991</v>
      </c>
      <c r="I10" s="28" t="s">
        <v>20</v>
      </c>
      <c r="J10" s="28"/>
      <c r="K10" s="11" cm="1">
        <f t="array" ref="K10">SQRT(SUM(Table725[(yi-x)2]^2))</f>
        <v>35.812302355475552</v>
      </c>
    </row>
    <row r="11" spans="1:21" ht="15" thickTop="1" x14ac:dyDescent="0.3">
      <c r="A11" s="16">
        <v>87</v>
      </c>
      <c r="B11" s="16">
        <v>1.58</v>
      </c>
      <c r="C11" s="16">
        <f>SUM(Table624[[#This Row],[x]]*Table624[[#This Row],[y]])</f>
        <v>137.46</v>
      </c>
      <c r="D11" s="16">
        <f>Table624[[#This Row],[x]]^2</f>
        <v>7569</v>
      </c>
      <c r="E11" s="16">
        <f>Table624[[#This Row],[y]]^2</f>
        <v>2.4964000000000004</v>
      </c>
      <c r="F11" s="16">
        <f>Table624[[#This Row],[x]]-$K$1</f>
        <v>-650</v>
      </c>
      <c r="G11" s="16">
        <f>Table624[[#This Row],[y]]-$K$2</f>
        <v>-10.29</v>
      </c>
      <c r="H11" s="16">
        <f>Table725[[#This Row],[(xi-x)]]*Table725[[#This Row],[(yi-x)2]]</f>
        <v>6688.4999999999991</v>
      </c>
    </row>
    <row r="12" spans="1:21" x14ac:dyDescent="0.3">
      <c r="A12" s="16">
        <v>92</v>
      </c>
      <c r="B12" s="16">
        <v>1.68</v>
      </c>
      <c r="C12" s="16">
        <f>SUM(Table624[[#This Row],[x]]*Table624[[#This Row],[y]])</f>
        <v>154.56</v>
      </c>
      <c r="D12" s="16">
        <f>Table624[[#This Row],[x]]^2</f>
        <v>8464</v>
      </c>
      <c r="E12" s="16">
        <f>Table624[[#This Row],[y]]^2</f>
        <v>2.8223999999999996</v>
      </c>
      <c r="F12" s="16">
        <f>Table624[[#This Row],[x]]-$K$1</f>
        <v>-645</v>
      </c>
      <c r="G12" s="16">
        <f>Table624[[#This Row],[y]]-$K$2</f>
        <v>-10.19</v>
      </c>
      <c r="H12" s="16">
        <f>Table725[[#This Row],[(xi-x)]]*Table725[[#This Row],[(yi-x)2]]</f>
        <v>6572.5499999999993</v>
      </c>
    </row>
  </sheetData>
  <mergeCells count="25">
    <mergeCell ref="I5:J5"/>
    <mergeCell ref="U1:U2"/>
    <mergeCell ref="I2:J2"/>
    <mergeCell ref="I3:J3"/>
    <mergeCell ref="L3:L4"/>
    <mergeCell ref="M3:O4"/>
    <mergeCell ref="P3:P4"/>
    <mergeCell ref="U7:U8"/>
    <mergeCell ref="I8:J8"/>
    <mergeCell ref="I9:J9"/>
    <mergeCell ref="I10:J10"/>
    <mergeCell ref="I6:J6"/>
    <mergeCell ref="P7:P8"/>
    <mergeCell ref="Q7:Q8"/>
    <mergeCell ref="R7:T8"/>
    <mergeCell ref="Q3:Q4"/>
    <mergeCell ref="R3:T4"/>
    <mergeCell ref="U3:U4"/>
    <mergeCell ref="I4:J4"/>
    <mergeCell ref="I1:J1"/>
    <mergeCell ref="L1:L2"/>
    <mergeCell ref="M1:O2"/>
    <mergeCell ref="P1:P2"/>
    <mergeCell ref="Q1:Q2"/>
    <mergeCell ref="R1:T2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Varianza y Desviacion</vt:lpstr>
      <vt:lpstr>Sheet1</vt:lpstr>
      <vt:lpstr>Covarianza</vt:lpstr>
      <vt:lpstr>Regresion Lineal</vt:lpstr>
      <vt:lpstr>Examen1</vt:lpstr>
      <vt:lpstr>Examen2</vt:lpstr>
      <vt:lpstr>Examen3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Vazquez</dc:creator>
  <cp:lastModifiedBy>Faustino Vazquez</cp:lastModifiedBy>
  <dcterms:created xsi:type="dcterms:W3CDTF">2022-05-27T04:11:21Z</dcterms:created>
  <dcterms:modified xsi:type="dcterms:W3CDTF">2024-01-10T08:20:53Z</dcterms:modified>
</cp:coreProperties>
</file>