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B09191E2-C17D-4DC9-BD3B-9D92941EC1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lans" sheetId="2" r:id="rId1"/>
    <sheet name="Rachunek zysków i strat" sheetId="12" r:id="rId2"/>
    <sheet name="Rachunek przepływów pieniężnych" sheetId="13" r:id="rId3"/>
    <sheet name="Analiza płynności" sheetId="14" r:id="rId4"/>
    <sheet name="Wskaźniki zadłużenia" sheetId="15" r:id="rId5"/>
    <sheet name="Analiza sprawności działania" sheetId="16" r:id="rId6"/>
    <sheet name="Wskaźniki rentowności" sheetId="17" r:id="rId7"/>
    <sheet name="Analiza Du Pointa" sheetId="20" r:id="rId8"/>
  </sheets>
  <calcPr calcId="191029"/>
  <webPublishing codePage="1252"/>
  <extLst>
    <ext xmlns:x15="http://schemas.microsoft.com/office/spreadsheetml/2010/11/main" uri="{FCE2AD5D-F65C-4FA6-A056-5C36A1767C68}">
      <x15:dataModel>
        <x15:modelTables>
          <x15:modelTable id="Table002  Page 2_159b12ca-d854-4520-b0ce-ccbde2e77962" name="Table002  Page 2" connection="Zapytanie — Table002 (Page 2)"/>
          <x15:modelTable id="Table001  Page 1   2_fb1b28c9-cddc-4073-89ba-c0f445d07a9b" name="Table001  Page 1   2" connection="Zapytanie — Table001 (Page 1) (2)"/>
          <x15:modelTable id="Table001  Page 1   3_8c93b157-322e-4353-99ed-797545ed6c6a" name="Table001  Page 1   3" connection="Zapytanie — Table001 (Page 1) (3)"/>
          <x15:modelTable id="Table002  Page 2   2_680f9248-734d-4ab6-b8a5-8fcf8b1df4cf" name="Table002  Page 2   2" connection="Zapytanie — Table002 (Page 2) (2)"/>
          <x15:modelTable id="Table001  Page 1   4_f07e74e0-42b8-4f75-af8b-d5b33ace4339" name="Table001  Page 1   4" connection="Zapytanie — Table001 (Page 1) (4)"/>
          <x15:modelTable id="Table002  Page 2   3_5f3adb6f-c3c4-410d-bbca-992a28f14b20" name="Table002  Page 2   3" connection="Zapytanie — Table002 (Page 2)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" l="1"/>
  <c r="G11" i="20"/>
  <c r="G12" i="20" s="1"/>
  <c r="D10" i="20"/>
  <c r="E10" i="20"/>
  <c r="F10" i="20"/>
  <c r="G10" i="20"/>
  <c r="C10" i="20"/>
  <c r="C8" i="20"/>
  <c r="C11" i="20" s="1"/>
  <c r="C12" i="20" s="1"/>
  <c r="D9" i="20"/>
  <c r="E9" i="20"/>
  <c r="F9" i="20"/>
  <c r="G9" i="20"/>
  <c r="C9" i="20"/>
  <c r="D8" i="20"/>
  <c r="D11" i="20" s="1"/>
  <c r="D12" i="20" s="1"/>
  <c r="E8" i="20"/>
  <c r="E11" i="20" s="1"/>
  <c r="E12" i="20" s="1"/>
  <c r="F8" i="20"/>
  <c r="F11" i="20" s="1"/>
  <c r="F12" i="20" s="1"/>
  <c r="G8" i="20"/>
  <c r="D5" i="20"/>
  <c r="E5" i="20"/>
  <c r="F5" i="20"/>
  <c r="G5" i="20"/>
  <c r="C5" i="20"/>
  <c r="C3" i="17" l="1"/>
  <c r="D3" i="17"/>
  <c r="E3" i="17"/>
  <c r="F3" i="17"/>
  <c r="G3" i="17"/>
  <c r="D7" i="17"/>
  <c r="E7" i="17"/>
  <c r="F7" i="17"/>
  <c r="G7" i="17"/>
  <c r="D6" i="17"/>
  <c r="E6" i="17"/>
  <c r="F6" i="17"/>
  <c r="G6" i="17"/>
  <c r="D5" i="17"/>
  <c r="E5" i="17"/>
  <c r="F5" i="17"/>
  <c r="G5" i="17"/>
  <c r="D4" i="17"/>
  <c r="E4" i="17"/>
  <c r="F4" i="17"/>
  <c r="G4" i="17"/>
  <c r="C7" i="17"/>
  <c r="C6" i="17"/>
  <c r="C5" i="17"/>
  <c r="C4" i="17"/>
  <c r="D20" i="16" l="1"/>
  <c r="E20" i="16"/>
  <c r="F20" i="16"/>
  <c r="G20" i="16"/>
  <c r="C20" i="16"/>
  <c r="D19" i="16"/>
  <c r="E19" i="16"/>
  <c r="F19" i="16"/>
  <c r="G19" i="16"/>
  <c r="C19" i="16"/>
  <c r="E15" i="16"/>
  <c r="F15" i="16"/>
  <c r="G15" i="16"/>
  <c r="D16" i="16"/>
  <c r="E16" i="16"/>
  <c r="F16" i="16"/>
  <c r="G16" i="16"/>
  <c r="C16" i="16"/>
  <c r="D12" i="16"/>
  <c r="E12" i="16"/>
  <c r="F12" i="16"/>
  <c r="G12" i="16"/>
  <c r="C12" i="16"/>
  <c r="C11" i="16"/>
  <c r="E23" i="16" l="1"/>
  <c r="D23" i="16"/>
  <c r="G23" i="16"/>
  <c r="C23" i="16"/>
  <c r="F23" i="16"/>
  <c r="D11" i="16" l="1"/>
  <c r="E11" i="16"/>
  <c r="F11" i="16"/>
  <c r="G11" i="16"/>
  <c r="D8" i="16"/>
  <c r="E8" i="16"/>
  <c r="F8" i="16"/>
  <c r="G8" i="16"/>
  <c r="C8" i="16"/>
  <c r="D7" i="16"/>
  <c r="E7" i="16"/>
  <c r="F7" i="16"/>
  <c r="G7" i="16"/>
  <c r="C7" i="16"/>
  <c r="D6" i="16"/>
  <c r="E6" i="16"/>
  <c r="F6" i="16"/>
  <c r="G6" i="16"/>
  <c r="C6" i="16"/>
  <c r="G10" i="15" l="1"/>
  <c r="D10" i="15"/>
  <c r="E10" i="15"/>
  <c r="F10" i="15"/>
  <c r="D9" i="15"/>
  <c r="E9" i="15"/>
  <c r="F9" i="15"/>
  <c r="G9" i="15"/>
  <c r="D8" i="15"/>
  <c r="E8" i="15"/>
  <c r="F8" i="15"/>
  <c r="G8" i="15"/>
  <c r="D7" i="15"/>
  <c r="E7" i="15"/>
  <c r="F7" i="15"/>
  <c r="G7" i="15"/>
  <c r="C7" i="15"/>
  <c r="C10" i="15"/>
  <c r="C9" i="15"/>
  <c r="C8" i="15"/>
  <c r="D13" i="14"/>
  <c r="E13" i="14"/>
  <c r="F13" i="14"/>
  <c r="G13" i="14"/>
  <c r="C13" i="14"/>
  <c r="D12" i="14"/>
  <c r="E12" i="14"/>
  <c r="F12" i="14"/>
  <c r="G12" i="14"/>
  <c r="C12" i="14"/>
  <c r="D11" i="14"/>
  <c r="E11" i="14"/>
  <c r="F11" i="14"/>
  <c r="G11" i="14"/>
  <c r="C11" i="14"/>
  <c r="D10" i="14"/>
  <c r="E10" i="14"/>
  <c r="F10" i="14"/>
  <c r="G10" i="14"/>
  <c r="C10" i="14"/>
  <c r="D9" i="14"/>
  <c r="E9" i="14"/>
  <c r="F9" i="14"/>
  <c r="G9" i="14"/>
  <c r="C9" i="14"/>
  <c r="D8" i="14"/>
  <c r="E8" i="14"/>
  <c r="F8" i="14"/>
  <c r="G8" i="14"/>
  <c r="C8" i="14"/>
  <c r="G5" i="14"/>
  <c r="G4" i="14"/>
  <c r="G3" i="14"/>
  <c r="D5" i="14"/>
  <c r="E5" i="14"/>
  <c r="F5" i="14"/>
  <c r="C5" i="14"/>
  <c r="D4" i="14"/>
  <c r="E4" i="14"/>
  <c r="F4" i="14"/>
  <c r="C4" i="14"/>
  <c r="D3" i="14"/>
  <c r="E3" i="14"/>
  <c r="F3" i="14"/>
  <c r="C3" i="14"/>
  <c r="K81" i="13" l="1"/>
  <c r="L81" i="13"/>
  <c r="M81" i="13"/>
  <c r="N81" i="13"/>
  <c r="J81" i="13"/>
  <c r="K80" i="13"/>
  <c r="L80" i="13"/>
  <c r="M80" i="13"/>
  <c r="N80" i="13"/>
  <c r="J80" i="13"/>
  <c r="N64" i="13"/>
  <c r="K64" i="13"/>
  <c r="L64" i="13"/>
  <c r="M64" i="13"/>
  <c r="K65" i="13"/>
  <c r="L65" i="13"/>
  <c r="M65" i="13"/>
  <c r="N65" i="13"/>
  <c r="J65" i="13"/>
  <c r="J64" i="13"/>
  <c r="J54" i="13"/>
  <c r="K54" i="13"/>
  <c r="L54" i="13"/>
  <c r="M54" i="13"/>
  <c r="N54" i="13"/>
  <c r="K7" i="2" l="1"/>
  <c r="R5" i="13"/>
  <c r="Y5" i="12"/>
  <c r="K6" i="12"/>
  <c r="R64" i="13"/>
  <c r="Y64" i="13" s="1"/>
  <c r="S5" i="13"/>
  <c r="Z5" i="13" s="1"/>
  <c r="T5" i="13"/>
  <c r="U5" i="13"/>
  <c r="S6" i="13"/>
  <c r="T6" i="13"/>
  <c r="U6" i="13"/>
  <c r="AB6" i="13" s="1"/>
  <c r="S7" i="13"/>
  <c r="T7" i="13"/>
  <c r="U7" i="13"/>
  <c r="S8" i="13"/>
  <c r="T8" i="13"/>
  <c r="U8" i="13"/>
  <c r="AB8" i="13" s="1"/>
  <c r="S9" i="13"/>
  <c r="T9" i="13"/>
  <c r="U9" i="13"/>
  <c r="S10" i="13"/>
  <c r="T10" i="13"/>
  <c r="U10" i="13"/>
  <c r="AB10" i="13" s="1"/>
  <c r="S11" i="13"/>
  <c r="T11" i="13"/>
  <c r="U11" i="13"/>
  <c r="S12" i="13"/>
  <c r="T12" i="13"/>
  <c r="U12" i="13"/>
  <c r="AB12" i="13" s="1"/>
  <c r="S13" i="13"/>
  <c r="T13" i="13"/>
  <c r="U13" i="13"/>
  <c r="S14" i="13"/>
  <c r="T14" i="13"/>
  <c r="U14" i="13"/>
  <c r="AB14" i="13" s="1"/>
  <c r="S15" i="13"/>
  <c r="T15" i="13"/>
  <c r="U15" i="13"/>
  <c r="S16" i="13"/>
  <c r="T16" i="13"/>
  <c r="U16" i="13"/>
  <c r="AB16" i="13" s="1"/>
  <c r="S17" i="13"/>
  <c r="T17" i="13"/>
  <c r="U17" i="13"/>
  <c r="S19" i="13"/>
  <c r="T19" i="13"/>
  <c r="U19" i="13"/>
  <c r="AB19" i="13" s="1"/>
  <c r="S20" i="13"/>
  <c r="T20" i="13"/>
  <c r="U20" i="13"/>
  <c r="S21" i="13"/>
  <c r="T21" i="13"/>
  <c r="U21" i="13"/>
  <c r="AB21" i="13" s="1"/>
  <c r="S22" i="13"/>
  <c r="T22" i="13"/>
  <c r="AA22" i="13" s="1"/>
  <c r="U22" i="13"/>
  <c r="S23" i="13"/>
  <c r="T23" i="13"/>
  <c r="U23" i="13"/>
  <c r="AB23" i="13" s="1"/>
  <c r="S24" i="13"/>
  <c r="T24" i="13"/>
  <c r="AA24" i="13" s="1"/>
  <c r="U24" i="13"/>
  <c r="S25" i="13"/>
  <c r="T25" i="13"/>
  <c r="U25" i="13"/>
  <c r="AB25" i="13" s="1"/>
  <c r="S26" i="13"/>
  <c r="T26" i="13"/>
  <c r="AA26" i="13" s="1"/>
  <c r="U26" i="13"/>
  <c r="S27" i="13"/>
  <c r="T27" i="13"/>
  <c r="U27" i="13"/>
  <c r="AB27" i="13" s="1"/>
  <c r="S28" i="13"/>
  <c r="T28" i="13"/>
  <c r="AA28" i="13" s="1"/>
  <c r="U28" i="13"/>
  <c r="S29" i="13"/>
  <c r="T29" i="13"/>
  <c r="U29" i="13"/>
  <c r="AB29" i="13" s="1"/>
  <c r="S30" i="13"/>
  <c r="T30" i="13"/>
  <c r="AA30" i="13" s="1"/>
  <c r="U30" i="13"/>
  <c r="S31" i="13"/>
  <c r="T31" i="13"/>
  <c r="U31" i="13"/>
  <c r="AB31" i="13" s="1"/>
  <c r="S32" i="13"/>
  <c r="T32" i="13"/>
  <c r="AA32" i="13" s="1"/>
  <c r="U32" i="13"/>
  <c r="S33" i="13"/>
  <c r="T33" i="13"/>
  <c r="U33" i="13"/>
  <c r="AB33" i="13" s="1"/>
  <c r="S34" i="13"/>
  <c r="T34" i="13"/>
  <c r="AA34" i="13" s="1"/>
  <c r="U34" i="13"/>
  <c r="S35" i="13"/>
  <c r="T35" i="13"/>
  <c r="U35" i="13"/>
  <c r="AB35" i="13" s="1"/>
  <c r="S36" i="13"/>
  <c r="T36" i="13"/>
  <c r="AA36" i="13" s="1"/>
  <c r="S37" i="13"/>
  <c r="T37" i="13"/>
  <c r="U37" i="13"/>
  <c r="S38" i="13"/>
  <c r="T38" i="13"/>
  <c r="U38" i="13"/>
  <c r="S39" i="13"/>
  <c r="T39" i="13"/>
  <c r="U39" i="13"/>
  <c r="S40" i="13"/>
  <c r="T40" i="13"/>
  <c r="U40" i="13"/>
  <c r="S41" i="13"/>
  <c r="T41" i="13"/>
  <c r="U41" i="13"/>
  <c r="S42" i="13"/>
  <c r="T42" i="13"/>
  <c r="U42" i="13"/>
  <c r="S43" i="13"/>
  <c r="T43" i="13"/>
  <c r="U43" i="13"/>
  <c r="S44" i="13"/>
  <c r="T44" i="13"/>
  <c r="U44" i="13"/>
  <c r="S45" i="13"/>
  <c r="T45" i="13"/>
  <c r="U45" i="13"/>
  <c r="S46" i="13"/>
  <c r="T46" i="13"/>
  <c r="U46" i="13"/>
  <c r="S47" i="13"/>
  <c r="T47" i="13"/>
  <c r="U47" i="13"/>
  <c r="S49" i="13"/>
  <c r="T49" i="13"/>
  <c r="U49" i="13"/>
  <c r="S50" i="13"/>
  <c r="T50" i="13"/>
  <c r="U50" i="13"/>
  <c r="S51" i="13"/>
  <c r="T51" i="13"/>
  <c r="U51" i="13"/>
  <c r="S52" i="13"/>
  <c r="T52" i="13"/>
  <c r="U52" i="13"/>
  <c r="S53" i="13"/>
  <c r="T53" i="13"/>
  <c r="U53" i="13"/>
  <c r="S54" i="13"/>
  <c r="T54" i="13"/>
  <c r="U54" i="13"/>
  <c r="S55" i="13"/>
  <c r="T55" i="13"/>
  <c r="U55" i="13"/>
  <c r="S56" i="13"/>
  <c r="T56" i="13"/>
  <c r="U56" i="13"/>
  <c r="S57" i="13"/>
  <c r="T57" i="13"/>
  <c r="U57" i="13"/>
  <c r="S58" i="13"/>
  <c r="T58" i="13"/>
  <c r="U58" i="13"/>
  <c r="S59" i="13"/>
  <c r="T59" i="13"/>
  <c r="U59" i="13"/>
  <c r="S60" i="13"/>
  <c r="T60" i="13"/>
  <c r="U60" i="13"/>
  <c r="S61" i="13"/>
  <c r="T61" i="13"/>
  <c r="U61" i="13"/>
  <c r="S62" i="13"/>
  <c r="T62" i="13"/>
  <c r="U62" i="13"/>
  <c r="S63" i="13"/>
  <c r="T63" i="13"/>
  <c r="U63" i="13"/>
  <c r="S64" i="13"/>
  <c r="T64" i="13"/>
  <c r="U64" i="13"/>
  <c r="S65" i="13"/>
  <c r="T65" i="13"/>
  <c r="U65" i="13"/>
  <c r="S66" i="13"/>
  <c r="T66" i="13"/>
  <c r="U66" i="13"/>
  <c r="S67" i="13"/>
  <c r="T67" i="13"/>
  <c r="U67" i="13"/>
  <c r="S68" i="13"/>
  <c r="T68" i="13"/>
  <c r="U68" i="13"/>
  <c r="S69" i="13"/>
  <c r="T69" i="13"/>
  <c r="U69" i="13"/>
  <c r="R6" i="13"/>
  <c r="R7" i="13"/>
  <c r="Y7" i="13" s="1"/>
  <c r="R8" i="13"/>
  <c r="Y8" i="13" s="1"/>
  <c r="R9" i="13"/>
  <c r="Y9" i="13" s="1"/>
  <c r="R10" i="13"/>
  <c r="Y10" i="13" s="1"/>
  <c r="R11" i="13"/>
  <c r="Y11" i="13" s="1"/>
  <c r="R12" i="13"/>
  <c r="Y12" i="13" s="1"/>
  <c r="R13" i="13"/>
  <c r="Y13" i="13" s="1"/>
  <c r="R14" i="13"/>
  <c r="Y14" i="13" s="1"/>
  <c r="R15" i="13"/>
  <c r="Y15" i="13" s="1"/>
  <c r="R16" i="13"/>
  <c r="Y16" i="13" s="1"/>
  <c r="R17" i="13"/>
  <c r="Y17" i="13" s="1"/>
  <c r="R19" i="13"/>
  <c r="Y19" i="13" s="1"/>
  <c r="R20" i="13"/>
  <c r="Y20" i="13" s="1"/>
  <c r="R21" i="13"/>
  <c r="Y21" i="13" s="1"/>
  <c r="R22" i="13"/>
  <c r="Y22" i="13" s="1"/>
  <c r="R23" i="13"/>
  <c r="Y23" i="13" s="1"/>
  <c r="R24" i="13"/>
  <c r="Y24" i="13" s="1"/>
  <c r="R25" i="13"/>
  <c r="Y25" i="13" s="1"/>
  <c r="R26" i="13"/>
  <c r="Y26" i="13" s="1"/>
  <c r="R27" i="13"/>
  <c r="Y27" i="13" s="1"/>
  <c r="R28" i="13"/>
  <c r="Y28" i="13" s="1"/>
  <c r="R29" i="13"/>
  <c r="Y29" i="13" s="1"/>
  <c r="R30" i="13"/>
  <c r="Y30" i="13" s="1"/>
  <c r="R31" i="13"/>
  <c r="Y31" i="13" s="1"/>
  <c r="R32" i="13"/>
  <c r="Y32" i="13" s="1"/>
  <c r="R33" i="13"/>
  <c r="Y33" i="13" s="1"/>
  <c r="R34" i="13"/>
  <c r="Y34" i="13" s="1"/>
  <c r="R35" i="13"/>
  <c r="Y35" i="13" s="1"/>
  <c r="R36" i="13"/>
  <c r="Y36" i="13" s="1"/>
  <c r="R37" i="13"/>
  <c r="Y37" i="13" s="1"/>
  <c r="R38" i="13"/>
  <c r="Y38" i="13" s="1"/>
  <c r="R39" i="13"/>
  <c r="Y39" i="13" s="1"/>
  <c r="R40" i="13"/>
  <c r="Y40" i="13" s="1"/>
  <c r="R41" i="13"/>
  <c r="Y41" i="13" s="1"/>
  <c r="R42" i="13"/>
  <c r="Y42" i="13" s="1"/>
  <c r="R43" i="13"/>
  <c r="Y43" i="13" s="1"/>
  <c r="R44" i="13"/>
  <c r="Y44" i="13" s="1"/>
  <c r="R45" i="13"/>
  <c r="Y45" i="13" s="1"/>
  <c r="R46" i="13"/>
  <c r="Y46" i="13" s="1"/>
  <c r="R47" i="13"/>
  <c r="Y47" i="13" s="1"/>
  <c r="R49" i="13"/>
  <c r="Y49" i="13" s="1"/>
  <c r="R50" i="13"/>
  <c r="Y50" i="13" s="1"/>
  <c r="R51" i="13"/>
  <c r="Y51" i="13" s="1"/>
  <c r="R52" i="13"/>
  <c r="Y52" i="13" s="1"/>
  <c r="R53" i="13"/>
  <c r="Y53" i="13" s="1"/>
  <c r="R54" i="13"/>
  <c r="Y54" i="13" s="1"/>
  <c r="R55" i="13"/>
  <c r="Y55" i="13" s="1"/>
  <c r="R56" i="13"/>
  <c r="Y56" i="13" s="1"/>
  <c r="R57" i="13"/>
  <c r="Y57" i="13" s="1"/>
  <c r="R58" i="13"/>
  <c r="Y58" i="13" s="1"/>
  <c r="R59" i="13"/>
  <c r="Y59" i="13" s="1"/>
  <c r="R60" i="13"/>
  <c r="Y60" i="13" s="1"/>
  <c r="R61" i="13"/>
  <c r="Y61" i="13" s="1"/>
  <c r="R62" i="13"/>
  <c r="Y62" i="13" s="1"/>
  <c r="R63" i="13"/>
  <c r="Y63" i="13" s="1"/>
  <c r="R65" i="13"/>
  <c r="Y65" i="13" s="1"/>
  <c r="R66" i="13"/>
  <c r="Y66" i="13" s="1"/>
  <c r="R67" i="13"/>
  <c r="Y67" i="13" s="1"/>
  <c r="R68" i="13"/>
  <c r="Y68" i="13" s="1"/>
  <c r="R69" i="13"/>
  <c r="Y69" i="13" s="1"/>
  <c r="AC12" i="12"/>
  <c r="Y13" i="12"/>
  <c r="Y12" i="12" s="1"/>
  <c r="Z13" i="12"/>
  <c r="Z12" i="12" s="1"/>
  <c r="AA13" i="12"/>
  <c r="AA12" i="12" s="1"/>
  <c r="AC13" i="12"/>
  <c r="Y14" i="12"/>
  <c r="Z14" i="12"/>
  <c r="AA14" i="12"/>
  <c r="AC14" i="12"/>
  <c r="Y15" i="12"/>
  <c r="Z15" i="12"/>
  <c r="AA15" i="12"/>
  <c r="AC15" i="12"/>
  <c r="Z8" i="12"/>
  <c r="AA8" i="12"/>
  <c r="AB8" i="12"/>
  <c r="AC8" i="12"/>
  <c r="Y8" i="12"/>
  <c r="Z10" i="12"/>
  <c r="AC10" i="12"/>
  <c r="M15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N15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L36" i="12"/>
  <c r="M36" i="12"/>
  <c r="N36" i="12"/>
  <c r="L37" i="12"/>
  <c r="M37" i="12"/>
  <c r="N37" i="12"/>
  <c r="L38" i="12"/>
  <c r="M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N43" i="12"/>
  <c r="L44" i="12"/>
  <c r="M44" i="12"/>
  <c r="N44" i="12"/>
  <c r="K5" i="12"/>
  <c r="K7" i="12"/>
  <c r="K8" i="12"/>
  <c r="K9" i="12"/>
  <c r="K10" i="12"/>
  <c r="K11" i="12"/>
  <c r="K12" i="12"/>
  <c r="K13" i="12"/>
  <c r="K14" i="12"/>
  <c r="K15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4" i="12"/>
  <c r="K4" i="12"/>
  <c r="F35" i="12"/>
  <c r="M35" i="12" s="1"/>
  <c r="V8" i="12"/>
  <c r="S11" i="12"/>
  <c r="Z11" i="12" s="1"/>
  <c r="T11" i="12"/>
  <c r="AA11" i="12" s="1"/>
  <c r="V11" i="12"/>
  <c r="AC11" i="12" s="1"/>
  <c r="S10" i="12"/>
  <c r="T10" i="12"/>
  <c r="AA10" i="12" s="1"/>
  <c r="U10" i="12"/>
  <c r="V10" i="12"/>
  <c r="S9" i="12"/>
  <c r="T9" i="12"/>
  <c r="AA9" i="12" s="1"/>
  <c r="U9" i="12"/>
  <c r="V9" i="12"/>
  <c r="AC9" i="12" s="1"/>
  <c r="R11" i="12"/>
  <c r="Y11" i="12" s="1"/>
  <c r="R10" i="12"/>
  <c r="R9" i="12"/>
  <c r="Y9" i="12" s="1"/>
  <c r="S8" i="12"/>
  <c r="T8" i="12"/>
  <c r="R8" i="12"/>
  <c r="Y10" i="12" s="1"/>
  <c r="R4" i="12"/>
  <c r="S7" i="12"/>
  <c r="T7" i="12"/>
  <c r="V7" i="12"/>
  <c r="R7" i="12"/>
  <c r="Y7" i="12" s="1"/>
  <c r="S6" i="12"/>
  <c r="Z6" i="12" s="1"/>
  <c r="T6" i="12"/>
  <c r="U6" i="12"/>
  <c r="V6" i="12"/>
  <c r="R6" i="12"/>
  <c r="Y6" i="12" s="1"/>
  <c r="S5" i="12"/>
  <c r="T5" i="12"/>
  <c r="AA5" i="12" s="1"/>
  <c r="U5" i="12"/>
  <c r="V5" i="12"/>
  <c r="R5" i="12"/>
  <c r="S4" i="12"/>
  <c r="T4" i="12"/>
  <c r="AA7" i="12" s="1"/>
  <c r="V4" i="12"/>
  <c r="AG18" i="2"/>
  <c r="AC23" i="2"/>
  <c r="AD18" i="2"/>
  <c r="AE18" i="2"/>
  <c r="AF18" i="2"/>
  <c r="AC18" i="2"/>
  <c r="AD17" i="2"/>
  <c r="AE17" i="2"/>
  <c r="AF17" i="2"/>
  <c r="AG17" i="2"/>
  <c r="AC17" i="2"/>
  <c r="AG23" i="2"/>
  <c r="AD23" i="2"/>
  <c r="AE23" i="2"/>
  <c r="AF23" i="2"/>
  <c r="C6" i="2"/>
  <c r="V8" i="2" s="1"/>
  <c r="D6" i="2"/>
  <c r="E6" i="2"/>
  <c r="F6" i="2"/>
  <c r="Y7" i="2" s="1"/>
  <c r="G6" i="2"/>
  <c r="S6" i="2" s="1"/>
  <c r="R6" i="2"/>
  <c r="J7" i="2"/>
  <c r="L7" i="2"/>
  <c r="M7" i="2"/>
  <c r="P7" i="2"/>
  <c r="Q7" i="2"/>
  <c r="R7" i="2"/>
  <c r="S7" i="2"/>
  <c r="V7" i="2"/>
  <c r="Z7" i="2"/>
  <c r="J8" i="2"/>
  <c r="K8" i="2"/>
  <c r="L8" i="2"/>
  <c r="M8" i="2"/>
  <c r="P8" i="2"/>
  <c r="Q8" i="2"/>
  <c r="R8" i="2"/>
  <c r="S8" i="2"/>
  <c r="Y8" i="2"/>
  <c r="Z8" i="2"/>
  <c r="V9" i="2"/>
  <c r="Y9" i="2"/>
  <c r="Z9" i="2"/>
  <c r="J10" i="2"/>
  <c r="K10" i="2"/>
  <c r="L10" i="2"/>
  <c r="M10" i="2"/>
  <c r="P10" i="2"/>
  <c r="Q10" i="2"/>
  <c r="R10" i="2"/>
  <c r="S10" i="2"/>
  <c r="V10" i="2"/>
  <c r="Y10" i="2"/>
  <c r="Z10" i="2"/>
  <c r="J11" i="2"/>
  <c r="K11" i="2"/>
  <c r="L11" i="2"/>
  <c r="M11" i="2"/>
  <c r="P11" i="2"/>
  <c r="Q11" i="2"/>
  <c r="R11" i="2"/>
  <c r="S11" i="2"/>
  <c r="V11" i="2"/>
  <c r="X11" i="2"/>
  <c r="Y11" i="2"/>
  <c r="Z11" i="2"/>
  <c r="R27" i="2"/>
  <c r="G36" i="13"/>
  <c r="U36" i="13" s="1"/>
  <c r="AB36" i="13" s="1"/>
  <c r="AA20" i="13" l="1"/>
  <c r="AB56" i="13"/>
  <c r="AB54" i="13"/>
  <c r="AA17" i="13"/>
  <c r="AA15" i="13"/>
  <c r="AA13" i="13"/>
  <c r="AA11" i="13"/>
  <c r="AA9" i="13"/>
  <c r="AA7" i="13"/>
  <c r="AB52" i="13"/>
  <c r="Z69" i="13"/>
  <c r="AA66" i="13"/>
  <c r="AA64" i="13"/>
  <c r="AA62" i="13"/>
  <c r="AA60" i="13"/>
  <c r="AA58" i="13"/>
  <c r="Z65" i="13"/>
  <c r="AB50" i="13"/>
  <c r="AA56" i="13"/>
  <c r="AA5" i="13"/>
  <c r="AA69" i="13"/>
  <c r="AA67" i="13"/>
  <c r="AA65" i="13"/>
  <c r="AA63" i="13"/>
  <c r="AA61" i="13"/>
  <c r="AA59" i="13"/>
  <c r="AA57" i="13"/>
  <c r="AA55" i="13"/>
  <c r="AA53" i="13"/>
  <c r="AA51" i="13"/>
  <c r="AA49" i="13"/>
  <c r="AA46" i="13"/>
  <c r="AA44" i="13"/>
  <c r="AA42" i="13"/>
  <c r="AA40" i="13"/>
  <c r="AA38" i="13"/>
  <c r="Z36" i="13"/>
  <c r="Z32" i="13"/>
  <c r="Z30" i="13"/>
  <c r="Z26" i="13"/>
  <c r="Z24" i="13"/>
  <c r="Z20" i="13"/>
  <c r="Z17" i="13"/>
  <c r="Z13" i="13"/>
  <c r="Z11" i="13"/>
  <c r="Z7" i="13"/>
  <c r="Z63" i="13"/>
  <c r="Z61" i="13"/>
  <c r="Z57" i="13"/>
  <c r="Z55" i="13"/>
  <c r="Z51" i="13"/>
  <c r="Z49" i="13"/>
  <c r="Z44" i="13"/>
  <c r="Z42" i="13"/>
  <c r="Z38" i="13"/>
  <c r="AB68" i="13"/>
  <c r="AB66" i="13"/>
  <c r="AB64" i="13"/>
  <c r="AB62" i="13"/>
  <c r="AB60" i="13"/>
  <c r="AB58" i="13"/>
  <c r="AB47" i="13"/>
  <c r="AB45" i="13"/>
  <c r="AB43" i="13"/>
  <c r="AB41" i="13"/>
  <c r="AB39" i="13"/>
  <c r="AB37" i="13"/>
  <c r="Z59" i="13"/>
  <c r="Z53" i="13"/>
  <c r="Z46" i="13"/>
  <c r="Z40" i="13"/>
  <c r="Z34" i="13"/>
  <c r="Z28" i="13"/>
  <c r="Z22" i="13"/>
  <c r="Z15" i="13"/>
  <c r="Z9" i="13"/>
  <c r="AA68" i="13"/>
  <c r="AA54" i="13"/>
  <c r="AA52" i="13"/>
  <c r="AA50" i="13"/>
  <c r="AA47" i="13"/>
  <c r="AA45" i="13"/>
  <c r="AA43" i="13"/>
  <c r="AA41" i="13"/>
  <c r="AA39" i="13"/>
  <c r="AA37" i="13"/>
  <c r="AA35" i="13"/>
  <c r="AA33" i="13"/>
  <c r="AA31" i="13"/>
  <c r="AA29" i="13"/>
  <c r="AA27" i="13"/>
  <c r="AA25" i="13"/>
  <c r="AA23" i="13"/>
  <c r="AA21" i="13"/>
  <c r="AA19" i="13"/>
  <c r="AA16" i="13"/>
  <c r="AA14" i="13"/>
  <c r="AA12" i="13"/>
  <c r="AA10" i="13"/>
  <c r="AA8" i="13"/>
  <c r="AA6" i="13"/>
  <c r="Z68" i="13"/>
  <c r="Z66" i="13"/>
  <c r="Z64" i="13"/>
  <c r="Z62" i="13"/>
  <c r="Z60" i="13"/>
  <c r="Z58" i="13"/>
  <c r="Z56" i="13"/>
  <c r="Z54" i="13"/>
  <c r="Z52" i="13"/>
  <c r="Z50" i="13"/>
  <c r="Z47" i="13"/>
  <c r="Z45" i="13"/>
  <c r="Z43" i="13"/>
  <c r="Z41" i="13"/>
  <c r="Z39" i="13"/>
  <c r="Z37" i="13"/>
  <c r="Z35" i="13"/>
  <c r="Z33" i="13"/>
  <c r="Z31" i="13"/>
  <c r="Z29" i="13"/>
  <c r="Z27" i="13"/>
  <c r="Z25" i="13"/>
  <c r="Z23" i="13"/>
  <c r="Z21" i="13"/>
  <c r="Z19" i="13"/>
  <c r="Z16" i="13"/>
  <c r="Z14" i="13"/>
  <c r="Z12" i="13"/>
  <c r="Z10" i="13"/>
  <c r="Z8" i="13"/>
  <c r="Z6" i="13"/>
  <c r="Z67" i="13"/>
  <c r="AB69" i="13"/>
  <c r="AB67" i="13"/>
  <c r="AB65" i="13"/>
  <c r="AB63" i="13"/>
  <c r="AB61" i="13"/>
  <c r="AB59" i="13"/>
  <c r="AB57" i="13"/>
  <c r="AB55" i="13"/>
  <c r="AB53" i="13"/>
  <c r="AB51" i="13"/>
  <c r="AB49" i="13"/>
  <c r="AB46" i="13"/>
  <c r="AB44" i="13"/>
  <c r="AB42" i="13"/>
  <c r="AB40" i="13"/>
  <c r="AB38" i="13"/>
  <c r="AB34" i="13"/>
  <c r="AB32" i="13"/>
  <c r="AB30" i="13"/>
  <c r="AB28" i="13"/>
  <c r="AB26" i="13"/>
  <c r="AB24" i="13"/>
  <c r="AB22" i="13"/>
  <c r="AB20" i="13"/>
  <c r="AB17" i="13"/>
  <c r="AB15" i="13"/>
  <c r="AB13" i="13"/>
  <c r="AB11" i="13"/>
  <c r="AB9" i="13"/>
  <c r="AB7" i="13"/>
  <c r="AB5" i="13"/>
  <c r="Z5" i="12"/>
  <c r="AC7" i="12"/>
  <c r="AC6" i="12"/>
  <c r="AC4" i="12" s="1"/>
  <c r="AC5" i="12"/>
  <c r="Z7" i="12"/>
  <c r="Z9" i="12"/>
  <c r="AA6" i="12"/>
  <c r="AA4" i="12" s="1"/>
  <c r="R12" i="12"/>
  <c r="R15" i="12" s="1"/>
  <c r="N35" i="12"/>
  <c r="Y4" i="12"/>
  <c r="AB9" i="12"/>
  <c r="V12" i="12"/>
  <c r="V15" i="12" s="1"/>
  <c r="U11" i="12"/>
  <c r="AB11" i="12" s="1"/>
  <c r="U8" i="12"/>
  <c r="AB10" i="12" s="1"/>
  <c r="S12" i="12"/>
  <c r="S15" i="12" s="1"/>
  <c r="T12" i="12"/>
  <c r="T15" i="12" s="1"/>
  <c r="F27" i="12"/>
  <c r="V12" i="2"/>
  <c r="P6" i="2"/>
  <c r="J6" i="2"/>
  <c r="W7" i="2"/>
  <c r="W8" i="2"/>
  <c r="W11" i="2"/>
  <c r="W10" i="2"/>
  <c r="W9" i="2"/>
  <c r="K6" i="2"/>
  <c r="Z12" i="2"/>
  <c r="X10" i="2"/>
  <c r="X8" i="2"/>
  <c r="X9" i="2"/>
  <c r="X7" i="2"/>
  <c r="L6" i="2"/>
  <c r="Q6" i="2"/>
  <c r="Y12" i="2"/>
  <c r="M6" i="2"/>
  <c r="S32" i="2"/>
  <c r="Q34" i="2"/>
  <c r="R34" i="2"/>
  <c r="S34" i="2"/>
  <c r="Q33" i="2"/>
  <c r="R33" i="2"/>
  <c r="S33" i="2"/>
  <c r="Q32" i="2"/>
  <c r="R32" i="2"/>
  <c r="P34" i="2"/>
  <c r="P33" i="2"/>
  <c r="P32" i="2"/>
  <c r="S31" i="2"/>
  <c r="Q31" i="2"/>
  <c r="R31" i="2"/>
  <c r="P31" i="2"/>
  <c r="Q28" i="2"/>
  <c r="R28" i="2"/>
  <c r="S28" i="2"/>
  <c r="P28" i="2"/>
  <c r="P27" i="2"/>
  <c r="Q27" i="2"/>
  <c r="S27" i="2"/>
  <c r="Q25" i="2"/>
  <c r="R25" i="2"/>
  <c r="S25" i="2"/>
  <c r="P25" i="2"/>
  <c r="Q24" i="2"/>
  <c r="R24" i="2"/>
  <c r="S24" i="2"/>
  <c r="P24" i="2"/>
  <c r="Q23" i="2"/>
  <c r="R23" i="2"/>
  <c r="S23" i="2"/>
  <c r="P23" i="2"/>
  <c r="S17" i="2"/>
  <c r="Q17" i="2"/>
  <c r="R17" i="2"/>
  <c r="P17" i="2"/>
  <c r="Q16" i="2"/>
  <c r="R16" i="2"/>
  <c r="S16" i="2"/>
  <c r="P16" i="2"/>
  <c r="Q15" i="2"/>
  <c r="R15" i="2"/>
  <c r="S15" i="2"/>
  <c r="P15" i="2"/>
  <c r="K34" i="2"/>
  <c r="L34" i="2"/>
  <c r="M34" i="2"/>
  <c r="K33" i="2"/>
  <c r="L33" i="2"/>
  <c r="M33" i="2"/>
  <c r="K32" i="2"/>
  <c r="L32" i="2"/>
  <c r="M32" i="2"/>
  <c r="K31" i="2"/>
  <c r="L31" i="2"/>
  <c r="M31" i="2"/>
  <c r="J31" i="2"/>
  <c r="J32" i="2"/>
  <c r="J33" i="2"/>
  <c r="J34" i="2"/>
  <c r="K27" i="2"/>
  <c r="K28" i="2"/>
  <c r="L28" i="2"/>
  <c r="M28" i="2"/>
  <c r="M27" i="2"/>
  <c r="K25" i="2"/>
  <c r="L25" i="2"/>
  <c r="M25" i="2"/>
  <c r="K24" i="2"/>
  <c r="L24" i="2"/>
  <c r="M24" i="2"/>
  <c r="K23" i="2"/>
  <c r="L23" i="2"/>
  <c r="M23" i="2"/>
  <c r="J23" i="2"/>
  <c r="J24" i="2"/>
  <c r="J25" i="2"/>
  <c r="J27" i="2"/>
  <c r="J28" i="2"/>
  <c r="K17" i="2"/>
  <c r="L17" i="2"/>
  <c r="M17" i="2"/>
  <c r="K16" i="2"/>
  <c r="L16" i="2"/>
  <c r="M16" i="2"/>
  <c r="K15" i="2"/>
  <c r="L15" i="2"/>
  <c r="M15" i="2"/>
  <c r="L14" i="2"/>
  <c r="M14" i="2"/>
  <c r="J15" i="2"/>
  <c r="J16" i="2"/>
  <c r="J17" i="2"/>
  <c r="C30" i="2"/>
  <c r="C22" i="2"/>
  <c r="C13" i="2"/>
  <c r="D30" i="2"/>
  <c r="D22" i="2"/>
  <c r="D13" i="2"/>
  <c r="E30" i="2"/>
  <c r="E22" i="2"/>
  <c r="E13" i="2"/>
  <c r="F30" i="2"/>
  <c r="F22" i="2"/>
  <c r="F13" i="2"/>
  <c r="G30" i="2"/>
  <c r="G22" i="2"/>
  <c r="G13" i="2"/>
  <c r="Z4" i="12" l="1"/>
  <c r="M27" i="12"/>
  <c r="N27" i="12"/>
  <c r="U4" i="12"/>
  <c r="U7" i="12"/>
  <c r="V32" i="2"/>
  <c r="AF8" i="2"/>
  <c r="AF14" i="2"/>
  <c r="W26" i="2"/>
  <c r="AD14" i="2"/>
  <c r="W34" i="2"/>
  <c r="Z31" i="2"/>
  <c r="AG7" i="2"/>
  <c r="AG8" i="2"/>
  <c r="AE8" i="2"/>
  <c r="V14" i="2"/>
  <c r="AC8" i="2"/>
  <c r="AD8" i="2"/>
  <c r="W12" i="2"/>
  <c r="X33" i="2"/>
  <c r="AG14" i="2"/>
  <c r="X27" i="2"/>
  <c r="AE14" i="2"/>
  <c r="V24" i="2"/>
  <c r="AC14" i="2"/>
  <c r="X12" i="2"/>
  <c r="R30" i="2"/>
  <c r="Y17" i="2"/>
  <c r="W15" i="2"/>
  <c r="W17" i="2"/>
  <c r="W25" i="2"/>
  <c r="V31" i="2"/>
  <c r="V35" i="2" s="1"/>
  <c r="AF22" i="2"/>
  <c r="AF21" i="2"/>
  <c r="W14" i="2"/>
  <c r="Y23" i="2"/>
  <c r="Y26" i="2"/>
  <c r="Z32" i="2"/>
  <c r="Y15" i="2"/>
  <c r="X32" i="2"/>
  <c r="Z16" i="2"/>
  <c r="E19" i="2"/>
  <c r="AE7" i="2" s="1"/>
  <c r="C19" i="2"/>
  <c r="AC7" i="2" s="1"/>
  <c r="V16" i="2"/>
  <c r="Y24" i="2"/>
  <c r="W33" i="2"/>
  <c r="AD21" i="2"/>
  <c r="AD22" i="2"/>
  <c r="Z24" i="2"/>
  <c r="AG21" i="2"/>
  <c r="AG22" i="2"/>
  <c r="X26" i="2"/>
  <c r="AE21" i="2"/>
  <c r="AE22" i="2"/>
  <c r="V23" i="2"/>
  <c r="AC21" i="2"/>
  <c r="AC22" i="2"/>
  <c r="Y16" i="2"/>
  <c r="W24" i="2"/>
  <c r="Y28" i="2"/>
  <c r="Z17" i="2"/>
  <c r="Z25" i="2"/>
  <c r="W28" i="2"/>
  <c r="X31" i="2"/>
  <c r="W32" i="2"/>
  <c r="V34" i="2"/>
  <c r="Y33" i="2"/>
  <c r="X25" i="2"/>
  <c r="V28" i="2"/>
  <c r="Y31" i="2"/>
  <c r="W31" i="2"/>
  <c r="V33" i="2"/>
  <c r="Z34" i="2"/>
  <c r="Z15" i="2"/>
  <c r="X17" i="2"/>
  <c r="Z23" i="2"/>
  <c r="Z14" i="2"/>
  <c r="X16" i="2"/>
  <c r="X24" i="2"/>
  <c r="V27" i="2"/>
  <c r="Z28" i="2"/>
  <c r="Y14" i="2"/>
  <c r="X15" i="2"/>
  <c r="W16" i="2"/>
  <c r="X23" i="2"/>
  <c r="V26" i="2"/>
  <c r="Z27" i="2"/>
  <c r="R22" i="2"/>
  <c r="D36" i="2"/>
  <c r="W22" i="2" s="1"/>
  <c r="X14" i="2"/>
  <c r="V17" i="2"/>
  <c r="W23" i="2"/>
  <c r="V25" i="2"/>
  <c r="Z26" i="2"/>
  <c r="Y27" i="2"/>
  <c r="X28" i="2"/>
  <c r="Z33" i="2"/>
  <c r="Y34" i="2"/>
  <c r="X34" i="2"/>
  <c r="V15" i="2"/>
  <c r="Y25" i="2"/>
  <c r="W27" i="2"/>
  <c r="Y32" i="2"/>
  <c r="S22" i="2"/>
  <c r="S30" i="2"/>
  <c r="Q22" i="2"/>
  <c r="L30" i="2"/>
  <c r="D19" i="2"/>
  <c r="AD7" i="2" s="1"/>
  <c r="L13" i="2"/>
  <c r="P30" i="2"/>
  <c r="K30" i="2"/>
  <c r="Q30" i="2"/>
  <c r="M13" i="2"/>
  <c r="P13" i="2"/>
  <c r="S13" i="2"/>
  <c r="J30" i="2"/>
  <c r="R13" i="2"/>
  <c r="P22" i="2"/>
  <c r="M30" i="2"/>
  <c r="Q13" i="2"/>
  <c r="L22" i="2"/>
  <c r="M22" i="2"/>
  <c r="J22" i="2"/>
  <c r="K13" i="2"/>
  <c r="J13" i="2"/>
  <c r="E36" i="2"/>
  <c r="X22" i="2" s="1"/>
  <c r="K22" i="2"/>
  <c r="C36" i="2"/>
  <c r="AC12" i="2" s="1"/>
  <c r="G36" i="2"/>
  <c r="Z22" i="2" s="1"/>
  <c r="F19" i="2"/>
  <c r="AF7" i="2" s="1"/>
  <c r="F36" i="2"/>
  <c r="Y30" i="2" s="1"/>
  <c r="G19" i="2"/>
  <c r="U12" i="12" l="1"/>
  <c r="AB6" i="12"/>
  <c r="AB5" i="12"/>
  <c r="AB7" i="12"/>
  <c r="AG11" i="2"/>
  <c r="AF12" i="2"/>
  <c r="AD11" i="2"/>
  <c r="V13" i="2"/>
  <c r="AE11" i="2"/>
  <c r="AE12" i="2"/>
  <c r="AG12" i="2"/>
  <c r="AD13" i="2"/>
  <c r="AC13" i="2"/>
  <c r="AE13" i="2"/>
  <c r="AC11" i="2"/>
  <c r="AD12" i="2"/>
  <c r="AF11" i="2"/>
  <c r="AG13" i="2"/>
  <c r="AF13" i="2"/>
  <c r="W18" i="2"/>
  <c r="V18" i="2"/>
  <c r="X35" i="2"/>
  <c r="Y35" i="2"/>
  <c r="Z35" i="2"/>
  <c r="X30" i="2"/>
  <c r="X36" i="2" s="1"/>
  <c r="AE6" i="2"/>
  <c r="X6" i="2"/>
  <c r="Y13" i="2"/>
  <c r="AF6" i="2"/>
  <c r="Y6" i="2"/>
  <c r="Y29" i="2"/>
  <c r="Q19" i="2"/>
  <c r="X13" i="2"/>
  <c r="X19" i="2" s="1"/>
  <c r="V29" i="2"/>
  <c r="Y18" i="2"/>
  <c r="AC6" i="2"/>
  <c r="V6" i="2"/>
  <c r="Z13" i="2"/>
  <c r="AG6" i="2"/>
  <c r="Z6" i="2"/>
  <c r="AD6" i="2"/>
  <c r="W6" i="2"/>
  <c r="W35" i="2"/>
  <c r="P36" i="2"/>
  <c r="V30" i="2"/>
  <c r="Y22" i="2"/>
  <c r="Y36" i="2" s="1"/>
  <c r="Z30" i="2"/>
  <c r="Z36" i="2" s="1"/>
  <c r="V22" i="2"/>
  <c r="J19" i="2"/>
  <c r="W13" i="2"/>
  <c r="X18" i="2"/>
  <c r="X29" i="2"/>
  <c r="Z18" i="2"/>
  <c r="W30" i="2"/>
  <c r="W36" i="2" s="1"/>
  <c r="W29" i="2"/>
  <c r="Z29" i="2"/>
  <c r="K19" i="2"/>
  <c r="P19" i="2"/>
  <c r="M19" i="2"/>
  <c r="S19" i="2"/>
  <c r="K36" i="2"/>
  <c r="Q36" i="2"/>
  <c r="L36" i="2"/>
  <c r="R36" i="2"/>
  <c r="L19" i="2"/>
  <c r="R19" i="2"/>
  <c r="M36" i="2"/>
  <c r="S36" i="2"/>
  <c r="J36" i="2"/>
  <c r="U15" i="12" l="1"/>
  <c r="AB15" i="12" s="1"/>
  <c r="AB13" i="12"/>
  <c r="AB12" i="12" s="1"/>
  <c r="AB14" i="12"/>
  <c r="AB4" i="12"/>
  <c r="V19" i="2"/>
  <c r="V36" i="2"/>
  <c r="Z19" i="2"/>
  <c r="Y19" i="2"/>
  <c r="W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4C5DF8-3BD4-40E8-8F7A-FAE3446745BE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61766E9-EA83-4DD9-8CEC-E4AE3233D48F}" keepAlive="1" name="Zapytanie — KRS-383663-sprawozdanie-12357962" description="Połączenie z zapytaniem „KRS-383663-sprawozdanie-12357962” w skoroszycie." type="5" refreshedVersion="0" background="1" saveData="1">
    <dbPr connection="Provider=Microsoft.Mashup.OleDb.1;Data Source=$Workbook$;Location=KRS-383663-sprawozdanie-12357962;Extended Properties=&quot;&quot;" command="SELECT * FROM [KRS-383663-sprawozdanie-12357962]"/>
  </connection>
  <connection id="3" xr16:uid="{BC29E941-02D2-475A-A0EB-9B82C4E91FE0}" keepAlive="1" name="Zapytanie — KRS-383663-sprawozdanie-12357962 (2)" description="Połączenie z zapytaniem „KRS-383663-sprawozdanie-12357962 (2)” w skoroszycie." type="5" refreshedVersion="0" background="1" saveData="1">
    <dbPr connection="Provider=Microsoft.Mashup.OleDb.1;Data Source=$Workbook$;Location=&quot;KRS-383663-sprawozdanie-12357962 (2)&quot;;Extended Properties=&quot;&quot;" command="SELECT * FROM [KRS-383663-sprawozdanie-12357962 (2)]"/>
  </connection>
  <connection id="4" xr16:uid="{DED79DEB-4546-4F81-8A3C-2186A7C919B3}" keepAlive="1" name="Zapytanie — Table001 (Page 1)" description="Połączenie z zapytaniem „Table001 (Page 1)” w skoroszycie." type="5" refreshedVersion="0" background="1" saveData="1">
    <dbPr connection="Provider=Microsoft.Mashup.OleDb.1;Data Source=$Workbook$;Location=&quot;Table001 (Page 1)&quot;;Extended Properties=&quot;&quot;" command="SELECT * FROM [Table001 (Page 1)]"/>
  </connection>
  <connection id="5" xr16:uid="{F2378389-F3DE-4186-A0BE-04E8332E8868}" name="Zapytanie — Table001 (Page 1) (2)" description="Połączenie z zapytaniem „Table001 (Page 1) (2)” w skoroszycie." type="100" refreshedVersion="8" minRefreshableVersion="5">
    <extLst>
      <ext xmlns:x15="http://schemas.microsoft.com/office/spreadsheetml/2010/11/main" uri="{DE250136-89BD-433C-8126-D09CA5730AF9}">
        <x15:connection id="a51de748-0713-4a78-af02-5fad3357f273"/>
      </ext>
    </extLst>
  </connection>
  <connection id="6" xr16:uid="{3A0975B9-1C80-4901-A3A1-2E5254B9666E}" name="Zapytanie — Table001 (Page 1) (3)" description="Połączenie z zapytaniem „Table001 (Page 1) (3)” w skoroszycie." type="100" refreshedVersion="8" minRefreshableVersion="5">
    <extLst>
      <ext xmlns:x15="http://schemas.microsoft.com/office/spreadsheetml/2010/11/main" uri="{DE250136-89BD-433C-8126-D09CA5730AF9}">
        <x15:connection id="5a027b95-eb3f-4df1-92c7-10c85831f566"/>
      </ext>
    </extLst>
  </connection>
  <connection id="7" xr16:uid="{3CBC4101-B59E-48FF-A3AF-267AE80B535F}" name="Zapytanie — Table001 (Page 1) (4)" description="Połączenie z zapytaniem „Table001 (Page 1) (4)” w skoroszycie." type="100" refreshedVersion="8" minRefreshableVersion="5">
    <extLst>
      <ext xmlns:x15="http://schemas.microsoft.com/office/spreadsheetml/2010/11/main" uri="{DE250136-89BD-433C-8126-D09CA5730AF9}">
        <x15:connection id="0a010bdd-c4a3-48f3-8539-f8cbcf122606"/>
      </ext>
    </extLst>
  </connection>
  <connection id="8" xr16:uid="{295DD0D6-8C2A-4630-B60B-B87F70757E1C}" name="Zapytanie — Table002 (Page 2)" description="Połączenie z zapytaniem „Table002 (Page 2)” w skoroszycie." type="100" refreshedVersion="8" minRefreshableVersion="5">
    <extLst>
      <ext xmlns:x15="http://schemas.microsoft.com/office/spreadsheetml/2010/11/main" uri="{DE250136-89BD-433C-8126-D09CA5730AF9}">
        <x15:connection id="8ad53961-809e-4522-8187-a85c48e4cefc"/>
      </ext>
    </extLst>
  </connection>
  <connection id="9" xr16:uid="{4C2A9354-EE52-4B92-91AD-16A9DE0B69A8}" name="Zapytanie — Table002 (Page 2) (2)" description="Połączenie z zapytaniem „Table002 (Page 2) (2)” w skoroszycie." type="100" refreshedVersion="8" minRefreshableVersion="5">
    <extLst>
      <ext xmlns:x15="http://schemas.microsoft.com/office/spreadsheetml/2010/11/main" uri="{DE250136-89BD-433C-8126-D09CA5730AF9}">
        <x15:connection id="5c8e3560-57f5-4f62-b833-0fba104df941"/>
      </ext>
    </extLst>
  </connection>
  <connection id="10" xr16:uid="{DF7A6555-F48C-42E8-A324-93DC5EDFDF46}" name="Zapytanie — Table002 (Page 2) (3)" description="Połączenie z zapytaniem „Table002 (Page 2) (3)” w skoroszycie." type="100" refreshedVersion="8" minRefreshableVersion="5">
    <extLst>
      <ext xmlns:x15="http://schemas.microsoft.com/office/spreadsheetml/2010/11/main" uri="{DE250136-89BD-433C-8126-D09CA5730AF9}">
        <x15:connection id="d7ea043c-ccd0-43a4-8c0f-507cb239d953"/>
      </ext>
    </extLst>
  </connection>
</connections>
</file>

<file path=xl/sharedStrings.xml><?xml version="1.0" encoding="utf-8"?>
<sst xmlns="http://schemas.openxmlformats.org/spreadsheetml/2006/main" count="639" uniqueCount="240">
  <si>
    <t>W tym arkuszu utwórz bilans. W komórkach w tej kolumnie podano przydatne instrukcje na temat korzystania z tego arkusza. Naciśnij strzałkę w dół, aby rozpocząć pracę.</t>
  </si>
  <si>
    <t>W komórce po prawej stronie wprowadź nazwę firmy. Tytuł tego arkusza znajduje się w komórce D1. Dalsze instrukcje znajdują się w komórce A4.</t>
  </si>
  <si>
    <t>Etykieta Aktywa znajduje się w komórce z prawej strony.</t>
  </si>
  <si>
    <t>Wprowadź szczegóły w tabeli Aktywa bieżące, zaczynając od komórki z prawej strony. Dalsze instrukcje znajdują się w komórce A14.</t>
  </si>
  <si>
    <t>Wprowadź szczegóły w tabeli Inne aktywa, zaczynając od komórki z prawej strony. Dalsze instrukcje znajdują się w komórce A25.</t>
  </si>
  <si>
    <t>Etykieta zobowiązań i kapitału właściciela jest w komórce po prawej stronie.</t>
  </si>
  <si>
    <t>Wprowadź szczegółowe dane w tabeli Zobowiązania bieżące, zaczynając od komórki z prawej strony. Dalsze instrukcje znajdują się w komórce A37.</t>
  </si>
  <si>
    <t>Wprowadź szczegółowe dane w tabeli Majątek właściciela, zaczynając od komórki z prawej strony. Dalsze instrukcje znajdują się w komórce A46.</t>
  </si>
  <si>
    <t>Saldo poprzedniego roku jest automatycznie obliczane w komórce C49, a saldo bieżącego roku — w komórce D49.</t>
  </si>
  <si>
    <t>Inne</t>
  </si>
  <si>
    <t>Suma aktywów</t>
  </si>
  <si>
    <t xml:space="preserve"> I. Wartości niematerialne i prawne</t>
  </si>
  <si>
    <t>II. Rzeczowe aktywa trwałe</t>
  </si>
  <si>
    <t>III. Należności długoterminowe</t>
  </si>
  <si>
    <t>IV. Inwestycje długoterminowe</t>
  </si>
  <si>
    <t>V. Długoterminowe rozliczenia międzyokresowe</t>
  </si>
  <si>
    <t>-</t>
  </si>
  <si>
    <t>A. Aktywa trwałe</t>
  </si>
  <si>
    <t>B. Aktywa obrotowe</t>
  </si>
  <si>
    <t>I. Zapasy</t>
  </si>
  <si>
    <t>II. Należności krótkoterminowe</t>
  </si>
  <si>
    <t>III. Inwestycje krótkoterminowe</t>
  </si>
  <si>
    <t>IV. Krótkoterminowe rozliczenia międzyokresowe</t>
  </si>
  <si>
    <t>BILANS</t>
  </si>
  <si>
    <t>A. Kapitał (fundusz) własny</t>
  </si>
  <si>
    <t>I. Kapitał (fundusz) podstawowy</t>
  </si>
  <si>
    <t>B. Zobowiązania i rezerwy na zobowiązania</t>
  </si>
  <si>
    <t>I. Rezerwy na zobowiązania</t>
  </si>
  <si>
    <t>II. Zobowiązania długoterminowe</t>
  </si>
  <si>
    <t>III. Zobowiązania krótkoterminowe</t>
  </si>
  <si>
    <t>IV. Rozliczenia międzyokresowe</t>
  </si>
  <si>
    <t>III. Kapitał (fundusz) z aktualizacji wyceny</t>
  </si>
  <si>
    <t>II. Kapitał (fundusz) zapasowy</t>
  </si>
  <si>
    <t>IV. Pozostałe kapitały (fundusze rezerwowe)</t>
  </si>
  <si>
    <t>V. Zysk (strata) netto</t>
  </si>
  <si>
    <t>VI. Zysk (strata) z lat ubiegłych</t>
  </si>
  <si>
    <t>Suma pasywów</t>
  </si>
  <si>
    <t>ESKY.PL SPÓŁKA AKCYJNA</t>
  </si>
  <si>
    <t>ANALIZA POZIOMA AKTYWÓW</t>
  </si>
  <si>
    <t xml:space="preserve"> PRZYROSTY JEDNOPODSTAWOWE WZGLĘDEM 2018 R.</t>
  </si>
  <si>
    <t>ANALIZA POZIOMA PASYWÓW</t>
  </si>
  <si>
    <t>ANALIZA PIONOWA AKTYWÓW</t>
  </si>
  <si>
    <t>ANALIZA PIONOWA PASYWÓW</t>
  </si>
  <si>
    <t>STRUKTURA PASYWÓW</t>
  </si>
  <si>
    <t>B. Koszty działalności operacyjnej</t>
  </si>
  <si>
    <t>Amortyzacja</t>
  </si>
  <si>
    <t>Usługi obce</t>
  </si>
  <si>
    <t>Podatki i opłaty, w tym:</t>
  </si>
  <si>
    <t>Wynagrodzenia</t>
  </si>
  <si>
    <t>Pozostałe koszty rodzajowe</t>
  </si>
  <si>
    <t>Wartość sprzedanych towarów i materiałów</t>
  </si>
  <si>
    <t>D. Pozostałe przychody operacyjne</t>
  </si>
  <si>
    <t>Inne przychody operacyjne</t>
  </si>
  <si>
    <t>E. Pozostałe koszty operacyjne</t>
  </si>
  <si>
    <t>Inne koszty operacyjne</t>
  </si>
  <si>
    <t>G. Przychody finansowe</t>
  </si>
  <si>
    <t>Odsetki, w tym:</t>
  </si>
  <si>
    <t>Aktualizacja wartości aktywów finansowych</t>
  </si>
  <si>
    <t>H. Koszty finansowe</t>
  </si>
  <si>
    <t>Wyszczególnienie</t>
  </si>
  <si>
    <t>A. Przychody netto ze sprzedaży i zrównane z nimi, w tym:</t>
  </si>
  <si>
    <t>– od jednostek powiązanych</t>
  </si>
  <si>
    <t xml:space="preserve">Zużycie materiałów i energii </t>
  </si>
  <si>
    <t>Ubezpieczenia społeczne i inne świadczenia, w tym:</t>
  </si>
  <si>
    <t>– emerytalne</t>
  </si>
  <si>
    <t>C. Zysk (strata) ze sprzedaży (A–B)</t>
  </si>
  <si>
    <t>Zysk z tytułu rozchodu niefinansowych aktywów trwałych</t>
  </si>
  <si>
    <t>Aktualizacja wartości aktywów niefinansowych</t>
  </si>
  <si>
    <t>F. Zysk (strata) z działalności operacyjnej (C+D–E)</t>
  </si>
  <si>
    <t>Dywidendy i udziały w zyskach, w tym:</t>
  </si>
  <si>
    <t>Od jednostek powiązanych, w tym:</t>
  </si>
  <si>
    <t>– dla jednostek powiązanych</t>
  </si>
  <si>
    <t>I. Zysk (strata) brutto (F+G–H)</t>
  </si>
  <si>
    <t>J. Podatek dochodowy</t>
  </si>
  <si>
    <t>L. Zysk (strata) netto (I–J–K)</t>
  </si>
  <si>
    <t xml:space="preserve">Przychody netto ze sprzedaży produktów </t>
  </si>
  <si>
    <t>Zysk z tytułu rozchodu aktywów finansowych, w tym:</t>
  </si>
  <si>
    <t>– w jednostkach powiązanych</t>
  </si>
  <si>
    <t>RACHUNEK ZYSKÓW I STRAT ESKY.PL SPÓŁKA AKCYJNA. (w zł) (wersja porównawcza)</t>
  </si>
  <si>
    <t>Strata z tytułu rozchodu niefinansowych aktywów trwałych</t>
  </si>
  <si>
    <t>A. Przepływy środków pieniężnych z działalności operacyjnej</t>
  </si>
  <si>
    <t>I. Zysk (strata) netto</t>
  </si>
  <si>
    <t>II. Korekty razem</t>
  </si>
  <si>
    <t>1. Amortyzacja</t>
  </si>
  <si>
    <t>2. Zyski (straty) z tytułu różnic kursowych</t>
  </si>
  <si>
    <t>3. Odsetki i udziały w zyskach (dywidendy)</t>
  </si>
  <si>
    <t>4. Zysk (strata) z działalności inwestycyjnej</t>
  </si>
  <si>
    <t>5. Zmiana stanu rezerw</t>
  </si>
  <si>
    <t>6. Zmiana stanu zapasów</t>
  </si>
  <si>
    <t>7. Zmiana stanu należności</t>
  </si>
  <si>
    <t>8. Zmiana stanu zobowiązań krótkoterminowych, z wyjątkiem pożyczek i kredytów</t>
  </si>
  <si>
    <t>9. Zmiana stanu rozliczeń międzyokresowych</t>
  </si>
  <si>
    <t>10. Inne korekty</t>
  </si>
  <si>
    <t>III. Przepływy pieniężne netto z działalności operacyjnej (I±II)</t>
  </si>
  <si>
    <t>B. Przepływy środków pieniężnych z działalności inwestycyjnej</t>
  </si>
  <si>
    <t>I. Wpływy</t>
  </si>
  <si>
    <t>1. Zbycie wartości niematerialnych i prawnych oraz rzeczowych aktywów trwałych</t>
  </si>
  <si>
    <t>2. Zbycie inwestycji w nieruchomości oraz wartości niematerialne i prawne</t>
  </si>
  <si>
    <t>3. Z aktywów finansowych, w tym:</t>
  </si>
  <si>
    <t>a) w jednostkach powiązanych</t>
  </si>
  <si>
    <t>– zbycie aktywów finansowych</t>
  </si>
  <si>
    <t>– dywidendy i udziały w zyskach</t>
  </si>
  <si>
    <t>– spłata udzielonych pożyczek długoterminowych</t>
  </si>
  <si>
    <t>– odsetki</t>
  </si>
  <si>
    <t>– inne wpływy z aktywów finansowych</t>
  </si>
  <si>
    <t>b) w pozostałych jednostkach</t>
  </si>
  <si>
    <t>4. Inne wpływy inwestycyjne</t>
  </si>
  <si>
    <t>II. Wydatki</t>
  </si>
  <si>
    <t>1. Nabycie wartości niematerialnych i prawnych oraz rzeczowych aktywów trwałych</t>
  </si>
  <si>
    <t>2. Inwestycje w nieruchomości oraz wartości niematerialne i prawne</t>
  </si>
  <si>
    <t>3. Na aktywa finansowe, w tym:</t>
  </si>
  <si>
    <t>– nabycie aktywów finansowych</t>
  </si>
  <si>
    <t>– udzielone pożyczki długoterminowe</t>
  </si>
  <si>
    <t>4. Inne wydatki inwestycyjne</t>
  </si>
  <si>
    <t>III. Przepływy pieniężne netto z działalności inwestycyjnej (I–II)</t>
  </si>
  <si>
    <t>C. Przepływy środków pieniężnych z działalności finansowej</t>
  </si>
  <si>
    <t>1. Wpływy netto z wydania udziałów (emisji akcji) i innych instrumentów kapitałowych oraz dopłat do kapitału</t>
  </si>
  <si>
    <t>2. Kredyty i pożyczki</t>
  </si>
  <si>
    <t>3. Emisja dłużnych papierów wartościowych</t>
  </si>
  <si>
    <t>4. Inne wpływy finansowe</t>
  </si>
  <si>
    <t>1. Nabycie udziałów (akcji) własnych</t>
  </si>
  <si>
    <t>2. Dywidendy i inne wypłaty na rzecz właścicieli</t>
  </si>
  <si>
    <t>3. Inne, niż wypłaty na rzecz właścicieli, wydatki z tytułu podziału zysku</t>
  </si>
  <si>
    <t>4. Spłaty kredytów i pożyczek</t>
  </si>
  <si>
    <t>5. Wykup dłużnych papierów wartościowych</t>
  </si>
  <si>
    <t>6. Z tytułu innych zobowiązań finansowych</t>
  </si>
  <si>
    <t>7. Płatności zobowiązań z tytułu umów leasingu finansowego</t>
  </si>
  <si>
    <t>8. Odsetki</t>
  </si>
  <si>
    <t>9. Inne wydatki finansowe</t>
  </si>
  <si>
    <t>III. Przepływy pieniężne netto z działalności finansowej (I–II)</t>
  </si>
  <si>
    <t>D. Przepływy pieniężne netto razem (A.III±B.III±C.III)</t>
  </si>
  <si>
    <t>E. Bilansowa zmiana stanu środków pieniężnych, w tym:</t>
  </si>
  <si>
    <t>– zmiana stanu środków pieniężnych z tytułu różnic kursowych</t>
  </si>
  <si>
    <t>F. Środki pieniężne na początek okresu</t>
  </si>
  <si>
    <t>G. Środki pieniężne na koniec okresu (F±D), w tym:</t>
  </si>
  <si>
    <t>– o ograniczonej możliwości dysponowania</t>
  </si>
  <si>
    <t xml:space="preserve">DYNAMIKA - PRZYROSTY ŁAŃCUCHOWE </t>
  </si>
  <si>
    <t>DYNAMIKA - PRZYROSTY ŁAŃCUCHOWE</t>
  </si>
  <si>
    <t>V. Zysk (strata) z lat ubiegłych</t>
  </si>
  <si>
    <t>VI. Zysk (strata) netto</t>
  </si>
  <si>
    <t>STRUKTURA AKTYWÓW</t>
  </si>
  <si>
    <t>wskaźnik intensywności wyposażenia w aktywa trwałe</t>
  </si>
  <si>
    <t>wskaźnik unieruchomienia (elastyczności) aktywów</t>
  </si>
  <si>
    <t>wskaźnik intensywności wyposażenia w aktywa obrotowe</t>
  </si>
  <si>
    <t>Wskaźniki relacji aktywów</t>
  </si>
  <si>
    <t>Wskaźniki relacji pasywów</t>
  </si>
  <si>
    <t>wskaźnik wyposażenia w kapitał własny</t>
  </si>
  <si>
    <t>wskaźnik zaangażowania kapitału obcego</t>
  </si>
  <si>
    <t>wskaźnik zaangażowania kapitału stałego (kapitał własny + zobowiązania długoterminowe)</t>
  </si>
  <si>
    <t>wskaźnik stopnia samofinansowania</t>
  </si>
  <si>
    <t>Powinny:</t>
  </si>
  <si>
    <t>I stopień pokrycia  - I reguła bilansowa (złota)</t>
  </si>
  <si>
    <t>II stopień pokrycia - druga wersja I reguły bilansowej (srebrna)</t>
  </si>
  <si>
    <t>III stopień pokrycia</t>
  </si>
  <si>
    <t>&gt;=1</t>
  </si>
  <si>
    <t>&gt;=1 (&gt;=0,7)</t>
  </si>
  <si>
    <t>Złota zasada fiansowania</t>
  </si>
  <si>
    <t>&lt;=1</t>
  </si>
  <si>
    <t>Złota zasada bilansowa</t>
  </si>
  <si>
    <t>ANALIZA POZIOMA - WSKAŹNIKI DYNAMIKI</t>
  </si>
  <si>
    <t>Przychody łącznie:</t>
  </si>
  <si>
    <t>Koszty łącznie:</t>
  </si>
  <si>
    <t xml:space="preserve">K. Zyski (straty) mniejszości  </t>
  </si>
  <si>
    <t>ANALIZA PIONOWA - STRUKTURA</t>
  </si>
  <si>
    <t>WYSZCZEGÓLNIENIE</t>
  </si>
  <si>
    <t>Rachunek przepływów pieniężnych ESKY.PL SPÓŁKA AKCYJNA. (w zł)</t>
  </si>
  <si>
    <t>Warianty przepływów</t>
  </si>
  <si>
    <t>I</t>
  </si>
  <si>
    <t>II</t>
  </si>
  <si>
    <t>III</t>
  </si>
  <si>
    <t>IV</t>
  </si>
  <si>
    <t>V</t>
  </si>
  <si>
    <t>VI</t>
  </si>
  <si>
    <t>VII</t>
  </si>
  <si>
    <t>Działalność operacyjna</t>
  </si>
  <si>
    <t>Działalność inwestycyjna</t>
  </si>
  <si>
    <t>Działalność finansowa</t>
  </si>
  <si>
    <t>+</t>
  </si>
  <si>
    <t>Wariant</t>
  </si>
  <si>
    <t>Wynik finsowowy netto</t>
  </si>
  <si>
    <t>Wskaźnik natychmiastowej płynności - I stopnia (cash ratio)</t>
  </si>
  <si>
    <t>Wskaźnik szybkiej płynności - II stopnia (quick ratio)</t>
  </si>
  <si>
    <t>Wskaźnik bieżącej płynności - III stopnia (current ratio)</t>
  </si>
  <si>
    <t>WARTOŚĆ OPTYMALNA</t>
  </si>
  <si>
    <t>(0,1-0,3)</t>
  </si>
  <si>
    <t>(0,8-1,5)</t>
  </si>
  <si>
    <t>(1,2-2)</t>
  </si>
  <si>
    <t>Wskaźnik wydajności gotówkowej sprzedaży</t>
  </si>
  <si>
    <t>Wskaźnik wydajności gotówkowej zysku</t>
  </si>
  <si>
    <t>Wskaźnik wydajności gotówkowej majątku</t>
  </si>
  <si>
    <t>Wskaźnik wystarczalności gotówki operacyjnej na spłatę zobowiązań</t>
  </si>
  <si>
    <t>Wskaźnik ogólnej wystarczalności gotówki operacyjnej</t>
  </si>
  <si>
    <t>2018</t>
  </si>
  <si>
    <t>2019</t>
  </si>
  <si>
    <t>2020</t>
  </si>
  <si>
    <t>2021</t>
  </si>
  <si>
    <t>2022</t>
  </si>
  <si>
    <t>WSKAŹNIKI PŁYNNOŚCI - statyczne</t>
  </si>
  <si>
    <t>WSKAŹNIKI PŁYNNOŚCI - dynamiczne</t>
  </si>
  <si>
    <t>(0,15 – 0,2)</t>
  </si>
  <si>
    <t>(0,4 – 0,6)</t>
  </si>
  <si>
    <t>&gt;1</t>
  </si>
  <si>
    <t>Wskaźnik wystarczalności gotówki operacyjnej na zakup śr. trwałych i WNiP</t>
  </si>
  <si>
    <t>WSKAŹNIKI ZADŁUŻENIA</t>
  </si>
  <si>
    <t>Wskaźnik ogólnego zadłużenia</t>
  </si>
  <si>
    <t>Wskaźnik zadłużenia kapitału własnego</t>
  </si>
  <si>
    <t>Wskaźnik zadłużenia długoterminowego</t>
  </si>
  <si>
    <t>Wskaźnik pokrycia zadłużenia środkami trwałymi</t>
  </si>
  <si>
    <t>(0,57 - 0,67)</t>
  </si>
  <si>
    <t>0,5 – 1,0</t>
  </si>
  <si>
    <t>Dla małych firm 3:1 Dla dużych firm 1:1</t>
  </si>
  <si>
    <t>Wskaźnik rotacji aktywów</t>
  </si>
  <si>
    <t>Wskaźnik rotacji aktywów trwałych</t>
  </si>
  <si>
    <t>Wskaźnik rotacji aktywów obrotowych</t>
  </si>
  <si>
    <t>Wskaźnik rotacji zapasów</t>
  </si>
  <si>
    <t>WSKAŹNIKI SPRAWNOŚCI DZIAŁANIA</t>
  </si>
  <si>
    <t>Wskaźnik rotacji należności krótkoterminowych</t>
  </si>
  <si>
    <t>Wskaźnik rotacji należności krótkoterminowych w dniach</t>
  </si>
  <si>
    <t>Wskaźnik rotacji zapasów w dniach</t>
  </si>
  <si>
    <t>Wskaźnik rotacji zobowiązań krótkoterminowych</t>
  </si>
  <si>
    <t>Wskaźnik rotacji zobowiązań krótkoterminowych w dniach</t>
  </si>
  <si>
    <t xml:space="preserve"> </t>
  </si>
  <si>
    <t>Wskaźnik cyklów środków pieniężnych</t>
  </si>
  <si>
    <t>WSKAŹNIKI RENTOWNOŚCI</t>
  </si>
  <si>
    <t xml:space="preserve">Wskaźnik rentowności kapitału własnego </t>
  </si>
  <si>
    <t>Wskaźnik rentowności kapitału podstawowego</t>
  </si>
  <si>
    <t>Wskaźnik rentowności aktywów trwałych</t>
  </si>
  <si>
    <t>Wskaźnik rentowności aktywów obrotowych</t>
  </si>
  <si>
    <t>Wskaźnik rentowności sprzedaży</t>
  </si>
  <si>
    <t>MODEL DU POINTA</t>
  </si>
  <si>
    <t>ROE</t>
  </si>
  <si>
    <t>ROS (Marża zysku netto)</t>
  </si>
  <si>
    <t>Dźwignia finansowa</t>
  </si>
  <si>
    <t>ROE (Rentowność kapitału własnego)</t>
  </si>
  <si>
    <t>Sprawdzenie</t>
  </si>
  <si>
    <t>zysk netto/kapitał własny</t>
  </si>
  <si>
    <t>zysk netto/przychody ze sprzedaży</t>
  </si>
  <si>
    <t>przychody ze sprzedazy/aktywa ogółem</t>
  </si>
  <si>
    <t>aktywa razem/kapitał własny</t>
  </si>
  <si>
    <t>iloczyn trzech powyższych składników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</si>
</sst>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_(* #,##0_);_(* \(#,##0\);_(* &quot;-&quot;_);_(@_)"/>
    <numFmt numFmtId="166" formatCode="_(* #,##0.00_);_(* \(#,##0.00\);_(* &quot;-&quot;??_);_(@_)"/>
  </numFmts>
  <fonts count="42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3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1"/>
      <scheme val="minor"/>
    </font>
    <font>
      <sz val="8"/>
      <name val="Calibri"/>
      <family val="2"/>
      <charset val="238"/>
      <scheme val="minor"/>
    </font>
    <font>
      <sz val="8"/>
      <name val="Source Sans Pro"/>
      <family val="2"/>
    </font>
    <font>
      <b/>
      <sz val="8"/>
      <name val="Calibri"/>
      <family val="2"/>
      <charset val="238"/>
      <scheme val="minor"/>
    </font>
    <font>
      <b/>
      <sz val="8"/>
      <name val="Source Sans Pro"/>
      <family val="2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Aptos"/>
      <family val="2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</fonts>
  <fills count="48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4" tint="0.39997558519241921"/>
      </patternFill>
    </fill>
    <fill>
      <patternFill patternType="lightUp">
        <fgColor theme="0"/>
        <bgColor theme="5" tint="0.399975585192419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0"/>
        <bgColor rgb="FFFFFF00"/>
      </patternFill>
    </fill>
    <fill>
      <patternFill patternType="lightUp">
        <fgColor theme="0"/>
        <bgColor rgb="FFFFFF66"/>
      </patternFill>
    </fill>
    <fill>
      <patternFill patternType="lightUp">
        <fgColor theme="0"/>
        <bgColor rgb="FFF5F5F5"/>
      </patternFill>
    </fill>
    <fill>
      <patternFill patternType="lightUp">
        <fgColor theme="0"/>
        <bgColor rgb="FFECF2F8"/>
      </patternFill>
    </fill>
    <fill>
      <patternFill patternType="lightUp">
        <fgColor theme="0"/>
        <bgColor rgb="FFFBF3F3"/>
      </patternFill>
    </fill>
    <fill>
      <patternFill patternType="lightUp">
        <fgColor theme="0"/>
        <bgColor rgb="FF70FC8B"/>
      </patternFill>
    </fill>
    <fill>
      <patternFill patternType="lightUp">
        <fgColor theme="0"/>
        <bgColor rgb="FFEBECE2"/>
      </patternFill>
    </fill>
    <fill>
      <patternFill patternType="solid">
        <fgColor rgb="FFFBF3F3"/>
        <bgColor indexed="64"/>
      </patternFill>
    </fill>
    <fill>
      <patternFill patternType="lightUp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/>
      <diagonal/>
    </border>
  </borders>
  <cellStyleXfs count="53">
    <xf numFmtId="0" fontId="0" fillId="0" borderId="0"/>
    <xf numFmtId="0" fontId="4" fillId="0" borderId="1" applyNumberFormat="0" applyFill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5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5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5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5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5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5" fillId="0" borderId="1" xfId="1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5" fillId="0" borderId="1" xfId="1" applyFont="1" applyAlignment="1">
      <alignment wrapText="1"/>
    </xf>
    <xf numFmtId="0" fontId="5" fillId="0" borderId="2" xfId="1" applyFont="1" applyBorder="1" applyAlignment="1"/>
    <xf numFmtId="0" fontId="5" fillId="0" borderId="2" xfId="1" applyFont="1" applyBorder="1" applyAlignment="1">
      <alignment horizontal="left" wrapText="1"/>
    </xf>
    <xf numFmtId="0" fontId="5" fillId="0" borderId="0" xfId="0" applyFont="1" applyAlignment="1">
      <alignment horizontal="right"/>
    </xf>
    <xf numFmtId="0" fontId="10" fillId="0" borderId="0" xfId="0" applyFont="1"/>
    <xf numFmtId="0" fontId="5" fillId="0" borderId="1" xfId="1" applyNumberFormat="1" applyFont="1" applyAlignment="1">
      <alignment horizontal="center"/>
    </xf>
    <xf numFmtId="0" fontId="5" fillId="0" borderId="2" xfId="1" applyNumberFormat="1" applyFont="1" applyBorder="1" applyAlignment="1">
      <alignment horizontal="center"/>
    </xf>
    <xf numFmtId="164" fontId="5" fillId="0" borderId="1" xfId="1" applyNumberFormat="1" applyFont="1"/>
    <xf numFmtId="164" fontId="5" fillId="0" borderId="2" xfId="1" applyNumberFormat="1" applyFont="1" applyBorder="1"/>
    <xf numFmtId="164" fontId="5" fillId="0" borderId="0" xfId="0" applyNumberFormat="1" applyFont="1"/>
    <xf numFmtId="0" fontId="26" fillId="4" borderId="0" xfId="2" applyFont="1" applyFill="1" applyBorder="1" applyAlignment="1">
      <alignment wrapText="1"/>
    </xf>
    <xf numFmtId="0" fontId="0" fillId="2" borderId="15" xfId="2" applyFont="1" applyBorder="1" applyAlignment="1">
      <alignment wrapText="1"/>
    </xf>
    <xf numFmtId="0" fontId="0" fillId="2" borderId="17" xfId="2" applyFont="1" applyBorder="1" applyAlignment="1">
      <alignment wrapText="1"/>
    </xf>
    <xf numFmtId="164" fontId="0" fillId="2" borderId="18" xfId="2" applyNumberFormat="1" applyFont="1" applyBorder="1"/>
    <xf numFmtId="164" fontId="26" fillId="4" borderId="12" xfId="2" applyNumberFormat="1" applyFont="1" applyFill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5" borderId="0" xfId="3" applyFont="1" applyFill="1" applyBorder="1" applyAlignment="1">
      <alignment wrapText="1"/>
    </xf>
    <xf numFmtId="164" fontId="0" fillId="3" borderId="16" xfId="3" applyNumberFormat="1" applyFont="1" applyBorder="1"/>
    <xf numFmtId="164" fontId="0" fillId="3" borderId="18" xfId="3" applyNumberFormat="1" applyFont="1" applyBorder="1"/>
    <xf numFmtId="0" fontId="26" fillId="4" borderId="11" xfId="2" applyFont="1" applyFill="1" applyBorder="1" applyAlignment="1">
      <alignment horizontal="right" wrapText="1"/>
    </xf>
    <xf numFmtId="0" fontId="26" fillId="4" borderId="12" xfId="2" applyNumberFormat="1" applyFont="1" applyFill="1" applyBorder="1" applyAlignment="1">
      <alignment horizontal="right"/>
    </xf>
    <xf numFmtId="164" fontId="26" fillId="5" borderId="14" xfId="3" applyNumberFormat="1" applyFont="1" applyFill="1" applyBorder="1" applyAlignment="1">
      <alignment horizontal="center"/>
    </xf>
    <xf numFmtId="164" fontId="26" fillId="4" borderId="13" xfId="2" applyNumberFormat="1" applyFont="1" applyFill="1" applyBorder="1" applyAlignment="1">
      <alignment horizontal="center"/>
    </xf>
    <xf numFmtId="164" fontId="26" fillId="4" borderId="14" xfId="2" applyNumberFormat="1" applyFont="1" applyFill="1" applyBorder="1" applyAlignment="1">
      <alignment horizontal="center"/>
    </xf>
    <xf numFmtId="164" fontId="26" fillId="37" borderId="12" xfId="2" applyNumberFormat="1" applyFont="1" applyFill="1" applyBorder="1" applyAlignment="1">
      <alignment horizontal="center"/>
    </xf>
    <xf numFmtId="164" fontId="26" fillId="38" borderId="12" xfId="2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0" borderId="2" xfId="1" applyNumberFormat="1" applyFont="1" applyBorder="1" applyAlignment="1">
      <alignment horizontal="right"/>
    </xf>
    <xf numFmtId="164" fontId="5" fillId="0" borderId="1" xfId="1" applyNumberFormat="1" applyFont="1" applyAlignment="1">
      <alignment horizontal="center"/>
    </xf>
    <xf numFmtId="0" fontId="28" fillId="0" borderId="0" xfId="0" applyFont="1" applyAlignment="1">
      <alignment wrapText="1"/>
    </xf>
    <xf numFmtId="0" fontId="26" fillId="4" borderId="19" xfId="2" applyFont="1" applyFill="1" applyBorder="1" applyAlignment="1">
      <alignment wrapText="1"/>
    </xf>
    <xf numFmtId="0" fontId="26" fillId="4" borderId="20" xfId="2" applyNumberFormat="1" applyFont="1" applyFill="1" applyBorder="1" applyAlignment="1">
      <alignment horizontal="center"/>
    </xf>
    <xf numFmtId="0" fontId="26" fillId="4" borderId="21" xfId="2" applyNumberFormat="1" applyFont="1" applyFill="1" applyBorder="1" applyAlignment="1">
      <alignment horizontal="center"/>
    </xf>
    <xf numFmtId="0" fontId="27" fillId="2" borderId="22" xfId="2" applyFont="1" applyBorder="1" applyAlignment="1">
      <alignment wrapText="1"/>
    </xf>
    <xf numFmtId="0" fontId="0" fillId="39" borderId="22" xfId="2" applyFont="1" applyFill="1" applyBorder="1" applyAlignment="1">
      <alignment wrapText="1"/>
    </xf>
    <xf numFmtId="0" fontId="0" fillId="39" borderId="22" xfId="2" applyFont="1" applyFill="1" applyBorder="1" applyAlignment="1">
      <alignment horizontal="left" vertical="center" wrapText="1"/>
    </xf>
    <xf numFmtId="0" fontId="26" fillId="4" borderId="23" xfId="2" applyFont="1" applyFill="1" applyBorder="1" applyAlignment="1">
      <alignment wrapText="1"/>
    </xf>
    <xf numFmtId="0" fontId="26" fillId="4" borderId="24" xfId="2" applyNumberFormat="1" applyFont="1" applyFill="1" applyBorder="1" applyAlignment="1">
      <alignment horizontal="center"/>
    </xf>
    <xf numFmtId="0" fontId="26" fillId="4" borderId="25" xfId="2" applyNumberFormat="1" applyFont="1" applyFill="1" applyBorder="1" applyAlignment="1">
      <alignment horizontal="center"/>
    </xf>
    <xf numFmtId="0" fontId="27" fillId="2" borderId="22" xfId="2" applyFont="1" applyBorder="1" applyAlignment="1">
      <alignment horizontal="center" wrapText="1"/>
    </xf>
    <xf numFmtId="164" fontId="0" fillId="40" borderId="18" xfId="2" applyNumberFormat="1" applyFont="1" applyFill="1" applyBorder="1"/>
    <xf numFmtId="164" fontId="0" fillId="40" borderId="16" xfId="2" applyNumberFormat="1" applyFont="1" applyFill="1" applyBorder="1"/>
    <xf numFmtId="0" fontId="0" fillId="40" borderId="15" xfId="2" applyFont="1" applyFill="1" applyBorder="1" applyAlignment="1">
      <alignment wrapText="1"/>
    </xf>
    <xf numFmtId="0" fontId="0" fillId="40" borderId="17" xfId="2" applyFont="1" applyFill="1" applyBorder="1" applyAlignment="1">
      <alignment wrapText="1"/>
    </xf>
    <xf numFmtId="164" fontId="0" fillId="41" borderId="16" xfId="3" applyNumberFormat="1" applyFont="1" applyFill="1" applyBorder="1"/>
    <xf numFmtId="164" fontId="0" fillId="41" borderId="18" xfId="3" applyNumberFormat="1" applyFont="1" applyFill="1" applyBorder="1"/>
    <xf numFmtId="0" fontId="9" fillId="39" borderId="22" xfId="2" applyFill="1" applyBorder="1" applyAlignment="1">
      <alignment wrapText="1"/>
    </xf>
    <xf numFmtId="0" fontId="9" fillId="39" borderId="0" xfId="2" applyFill="1" applyAlignment="1">
      <alignment horizontal="left" vertical="center" indent="3"/>
    </xf>
    <xf numFmtId="0" fontId="9" fillId="39" borderId="0" xfId="2" applyFill="1" applyAlignment="1">
      <alignment horizontal="left" vertical="center"/>
    </xf>
    <xf numFmtId="164" fontId="33" fillId="40" borderId="18" xfId="2" applyNumberFormat="1" applyFont="1" applyFill="1" applyBorder="1"/>
    <xf numFmtId="164" fontId="33" fillId="40" borderId="16" xfId="2" applyNumberFormat="1" applyFont="1" applyFill="1" applyBorder="1"/>
    <xf numFmtId="164" fontId="29" fillId="0" borderId="0" xfId="0" applyNumberFormat="1" applyFont="1"/>
    <xf numFmtId="164" fontId="29" fillId="0" borderId="0" xfId="0" applyNumberFormat="1" applyFont="1" applyAlignment="1">
      <alignment horizontal="left" vertical="center" wrapText="1"/>
    </xf>
    <xf numFmtId="164" fontId="31" fillId="0" borderId="0" xfId="0" applyNumberFormat="1" applyFont="1"/>
    <xf numFmtId="164" fontId="27" fillId="2" borderId="22" xfId="2" applyNumberFormat="1" applyFont="1" applyBorder="1" applyAlignment="1">
      <alignment horizontal="center" wrapText="1"/>
    </xf>
    <xf numFmtId="164" fontId="30" fillId="0" borderId="0" xfId="0" applyNumberFormat="1" applyFont="1"/>
    <xf numFmtId="164" fontId="32" fillId="0" borderId="0" xfId="0" applyNumberFormat="1" applyFont="1"/>
    <xf numFmtId="164" fontId="29" fillId="0" borderId="0" xfId="0" applyNumberFormat="1" applyFont="1" applyAlignment="1">
      <alignment vertical="center" wrapText="1"/>
    </xf>
    <xf numFmtId="164" fontId="30" fillId="0" borderId="0" xfId="0" applyNumberFormat="1" applyFont="1" applyAlignment="1">
      <alignment vertical="center" wrapText="1"/>
    </xf>
    <xf numFmtId="164" fontId="34" fillId="41" borderId="16" xfId="3" applyNumberFormat="1" applyFont="1" applyFill="1" applyBorder="1"/>
    <xf numFmtId="164" fontId="34" fillId="41" borderId="18" xfId="3" applyNumberFormat="1" applyFont="1" applyFill="1" applyBorder="1"/>
    <xf numFmtId="164" fontId="34" fillId="40" borderId="18" xfId="2" applyNumberFormat="1" applyFont="1" applyFill="1" applyBorder="1"/>
    <xf numFmtId="164" fontId="34" fillId="40" borderId="16" xfId="2" applyNumberFormat="1" applyFont="1" applyFill="1" applyBorder="1"/>
    <xf numFmtId="164" fontId="34" fillId="40" borderId="18" xfId="2" applyNumberFormat="1" applyFont="1" applyFill="1" applyBorder="1" applyAlignment="1">
      <alignment horizontal="center" vertical="center"/>
    </xf>
    <xf numFmtId="10" fontId="0" fillId="40" borderId="18" xfId="2" applyNumberFormat="1" applyFont="1" applyFill="1" applyBorder="1"/>
    <xf numFmtId="0" fontId="26" fillId="5" borderId="14" xfId="3" applyNumberFormat="1" applyFont="1" applyFill="1" applyBorder="1" applyAlignment="1">
      <alignment horizontal="center"/>
    </xf>
    <xf numFmtId="10" fontId="0" fillId="40" borderId="18" xfId="8" applyNumberFormat="1" applyFont="1" applyFill="1" applyBorder="1"/>
    <xf numFmtId="10" fontId="26" fillId="4" borderId="12" xfId="8" applyNumberFormat="1" applyFont="1" applyFill="1" applyBorder="1" applyAlignment="1">
      <alignment horizontal="center"/>
    </xf>
    <xf numFmtId="10" fontId="26" fillId="5" borderId="14" xfId="8" applyNumberFormat="1" applyFont="1" applyFill="1" applyBorder="1" applyAlignment="1">
      <alignment horizontal="center"/>
    </xf>
    <xf numFmtId="10" fontId="0" fillId="41" borderId="16" xfId="8" applyNumberFormat="1" applyFont="1" applyFill="1" applyBorder="1"/>
    <xf numFmtId="10" fontId="0" fillId="41" borderId="18" xfId="8" applyNumberFormat="1" applyFont="1" applyFill="1" applyBorder="1"/>
    <xf numFmtId="10" fontId="0" fillId="0" borderId="0" xfId="8" applyNumberFormat="1" applyFont="1"/>
    <xf numFmtId="10" fontId="0" fillId="0" borderId="0" xfId="8" applyNumberFormat="1" applyFont="1" applyAlignment="1">
      <alignment horizontal="right"/>
    </xf>
    <xf numFmtId="0" fontId="26" fillId="42" borderId="11" xfId="2" applyFont="1" applyFill="1" applyBorder="1" applyAlignment="1">
      <alignment horizontal="right" wrapText="1"/>
    </xf>
    <xf numFmtId="0" fontId="26" fillId="42" borderId="12" xfId="2" applyNumberFormat="1" applyFont="1" applyFill="1" applyBorder="1" applyAlignment="1">
      <alignment horizontal="right"/>
    </xf>
    <xf numFmtId="164" fontId="35" fillId="43" borderId="18" xfId="2" applyNumberFormat="1" applyFont="1" applyFill="1" applyBorder="1"/>
    <xf numFmtId="0" fontId="36" fillId="0" borderId="0" xfId="0" applyFont="1" applyAlignment="1">
      <alignment horizontal="center"/>
    </xf>
    <xf numFmtId="0" fontId="0" fillId="44" borderId="0" xfId="0" applyFill="1"/>
    <xf numFmtId="0" fontId="0" fillId="2" borderId="17" xfId="2" applyFont="1" applyBorder="1" applyAlignment="1">
      <alignment horizontal="center" wrapText="1"/>
    </xf>
    <xf numFmtId="0" fontId="0" fillId="2" borderId="17" xfId="2" applyFont="1" applyBorder="1" applyAlignment="1">
      <alignment horizontal="left" vertical="center" wrapText="1"/>
    </xf>
    <xf numFmtId="164" fontId="35" fillId="45" borderId="14" xfId="2" applyNumberFormat="1" applyFont="1" applyFill="1" applyBorder="1"/>
    <xf numFmtId="164" fontId="35" fillId="42" borderId="18" xfId="2" applyNumberFormat="1" applyFont="1" applyFill="1" applyBorder="1"/>
    <xf numFmtId="2" fontId="0" fillId="0" borderId="0" xfId="0" applyNumberFormat="1"/>
    <xf numFmtId="10" fontId="27" fillId="0" borderId="0" xfId="8" applyNumberFormat="1" applyFont="1"/>
    <xf numFmtId="10" fontId="27" fillId="0" borderId="0" xfId="0" applyNumberFormat="1" applyFont="1"/>
    <xf numFmtId="164" fontId="27" fillId="0" borderId="0" xfId="0" applyNumberFormat="1" applyFont="1"/>
    <xf numFmtId="0" fontId="27" fillId="0" borderId="0" xfId="0" applyFont="1"/>
    <xf numFmtId="2" fontId="27" fillId="2" borderId="22" xfId="2" applyNumberFormat="1" applyFont="1" applyBorder="1" applyAlignment="1">
      <alignment horizontal="center" wrapText="1"/>
    </xf>
    <xf numFmtId="2" fontId="27" fillId="2" borderId="22" xfId="2" applyNumberFormat="1" applyFont="1" applyBorder="1" applyAlignment="1">
      <alignment wrapText="1"/>
    </xf>
    <xf numFmtId="0" fontId="32" fillId="0" borderId="0" xfId="0" applyFont="1"/>
    <xf numFmtId="0" fontId="9" fillId="39" borderId="22" xfId="2" applyFill="1" applyBorder="1" applyAlignment="1">
      <alignment horizontal="center" vertical="center" wrapText="1"/>
    </xf>
    <xf numFmtId="0" fontId="9" fillId="39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6" borderId="29" xfId="0" applyFill="1" applyBorder="1"/>
    <xf numFmtId="0" fontId="0" fillId="0" borderId="29" xfId="0" applyBorder="1"/>
    <xf numFmtId="2" fontId="0" fillId="0" borderId="0" xfId="0" applyNumberFormat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2" fontId="0" fillId="46" borderId="29" xfId="0" applyNumberFormat="1" applyFill="1" applyBorder="1" applyAlignment="1">
      <alignment horizontal="center" vertical="center"/>
    </xf>
    <xf numFmtId="0" fontId="0" fillId="46" borderId="29" xfId="0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8" fillId="0" borderId="28" xfId="0" applyFont="1" applyBorder="1" applyAlignment="1">
      <alignment horizontal="center" wrapText="1"/>
    </xf>
    <xf numFmtId="0" fontId="37" fillId="0" borderId="28" xfId="0" applyFont="1" applyBorder="1" applyAlignment="1">
      <alignment horizontal="left" vertical="center"/>
    </xf>
    <xf numFmtId="2" fontId="37" fillId="0" borderId="28" xfId="0" applyNumberFormat="1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38" fillId="0" borderId="28" xfId="0" applyFont="1" applyBorder="1"/>
    <xf numFmtId="0" fontId="0" fillId="0" borderId="29" xfId="0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/>
    </xf>
    <xf numFmtId="2" fontId="0" fillId="46" borderId="29" xfId="8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0" fillId="0" borderId="29" xfId="0" applyBorder="1" applyAlignment="1">
      <alignment horizontal="left" wrapText="1"/>
    </xf>
    <xf numFmtId="0" fontId="0" fillId="46" borderId="29" xfId="0" applyFill="1" applyBorder="1" applyAlignment="1">
      <alignment horizontal="left" wrapText="1"/>
    </xf>
    <xf numFmtId="0" fontId="5" fillId="0" borderId="0" xfId="1" applyFont="1" applyBorder="1" applyAlignment="1">
      <alignment horizontal="left" wrapText="1"/>
    </xf>
    <xf numFmtId="0" fontId="5" fillId="0" borderId="1" xfId="1" applyFont="1" applyAlignment="1">
      <alignment horizontal="left" wrapText="1"/>
    </xf>
    <xf numFmtId="0" fontId="5" fillId="0" borderId="0" xfId="1" applyFont="1" applyBorder="1" applyAlignment="1">
      <alignment horizontal="right"/>
    </xf>
    <xf numFmtId="0" fontId="5" fillId="0" borderId="1" xfId="1" applyFont="1" applyAlignment="1">
      <alignment horizontal="right"/>
    </xf>
    <xf numFmtId="0" fontId="27" fillId="2" borderId="26" xfId="2" applyFont="1" applyBorder="1" applyAlignment="1">
      <alignment horizontal="center" vertical="center" wrapText="1"/>
    </xf>
    <xf numFmtId="0" fontId="26" fillId="40" borderId="13" xfId="2" applyNumberFormat="1" applyFont="1" applyFill="1" applyBorder="1" applyAlignment="1">
      <alignment horizontal="center" wrapText="1"/>
    </xf>
    <xf numFmtId="0" fontId="26" fillId="40" borderId="27" xfId="2" applyNumberFormat="1" applyFont="1" applyFill="1" applyBorder="1" applyAlignment="1">
      <alignment horizontal="center" wrapText="1"/>
    </xf>
    <xf numFmtId="0" fontId="26" fillId="40" borderId="11" xfId="2" applyNumberFormat="1" applyFont="1" applyFill="1" applyBorder="1" applyAlignment="1">
      <alignment horizont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1" fillId="47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27" fillId="0" borderId="0" xfId="0" applyNumberFormat="1" applyFont="1" applyAlignment="1">
      <alignment horizontal="left"/>
    </xf>
  </cellXfs>
  <cellStyles count="53">
    <cellStyle name="20% — akcent 1" xfId="26" builtinId="30" customBuiltin="1"/>
    <cellStyle name="20% — akcent 2" xfId="30" builtinId="34" customBuiltin="1"/>
    <cellStyle name="20% — akcent 3" xfId="34" builtinId="38" customBuiltin="1"/>
    <cellStyle name="20% — akcent 4" xfId="38" builtinId="42" customBuiltin="1"/>
    <cellStyle name="20% — akcent 5" xfId="42" builtinId="46" customBuiltin="1"/>
    <cellStyle name="20% — akcent 6" xfId="46" builtinId="50" customBuiltin="1"/>
    <cellStyle name="40% — akcent 1" xfId="27" builtinId="31" customBuiltin="1"/>
    <cellStyle name="40% — akcent 2" xfId="31" builtinId="35" customBuiltin="1"/>
    <cellStyle name="40% — akcent 3" xfId="35" builtinId="39" customBuiltin="1"/>
    <cellStyle name="40% — akcent 4" xfId="39" builtinId="43" customBuiltin="1"/>
    <cellStyle name="40% — akcent 5" xfId="43" builtinId="47" customBuiltin="1"/>
    <cellStyle name="40% — akcent 6" xfId="47" builtinId="51" customBuiltin="1"/>
    <cellStyle name="60% — akcent 1" xfId="28" builtinId="32" customBuiltin="1"/>
    <cellStyle name="60% — akcent 2" xfId="32" builtinId="36" customBuiltin="1"/>
    <cellStyle name="60% — akcent 3" xfId="36" builtinId="40" customBuiltin="1"/>
    <cellStyle name="60% — akcent 4" xfId="40" builtinId="44" customBuiltin="1"/>
    <cellStyle name="60% — akcent 5" xfId="44" builtinId="48" customBuiltin="1"/>
    <cellStyle name="60% — akcent 6" xfId="48" builtinId="52" customBuiltin="1"/>
    <cellStyle name="Akcent 1" xfId="25" builtinId="29" customBuiltin="1"/>
    <cellStyle name="Akcent 2" xfId="29" builtinId="33" customBuiltin="1"/>
    <cellStyle name="Akcent 3" xfId="33" builtinId="37" customBuiltin="1"/>
    <cellStyle name="Akcent 4" xfId="37" builtinId="41" customBuiltin="1"/>
    <cellStyle name="Akcent 5" xfId="41" builtinId="45" customBuiltin="1"/>
    <cellStyle name="Akcent 6" xfId="45" builtinId="49" customBuiltin="1"/>
    <cellStyle name="Dane wejściowe" xfId="16" builtinId="20" customBuiltin="1"/>
    <cellStyle name="Dane wyjściowe" xfId="17" builtinId="21" customBuiltin="1"/>
    <cellStyle name="Dobry" xfId="13" builtinId="26" customBuiltin="1"/>
    <cellStyle name="Dziesiętny" xfId="4" builtinId="3" customBuiltin="1"/>
    <cellStyle name="Dziesiętny [0]" xfId="5" builtinId="6" customBuiltin="1"/>
    <cellStyle name="Dziesiętny 2" xfId="50" xr:uid="{7B7E675E-351F-4442-BA1C-AEBD913B2B63}"/>
    <cellStyle name="Komórka połączona" xfId="19" builtinId="24" customBuiltin="1"/>
    <cellStyle name="Komórka zaznaczona" xfId="20" builtinId="23" customBuiltin="1"/>
    <cellStyle name="Nagłówek 1" xfId="10" builtinId="16" customBuiltin="1"/>
    <cellStyle name="Nagłówek 2" xfId="1" builtinId="17" customBuiltin="1"/>
    <cellStyle name="Nagłówek 3" xfId="11" builtinId="18" customBuiltin="1"/>
    <cellStyle name="Nagłówek 4" xfId="12" builtinId="19" customBuiltin="1"/>
    <cellStyle name="Neutralny" xfId="15" builtinId="28" customBuiltin="1"/>
    <cellStyle name="Normalny" xfId="0" builtinId="0" customBuiltin="1"/>
    <cellStyle name="Normalny 2" xfId="49" xr:uid="{F681A214-FEE8-44DB-AAE3-DF6D16F8FD13}"/>
    <cellStyle name="Normalny 3" xfId="52" xr:uid="{3632DE8A-6FBE-4D8E-835E-B3ECC03F4145}"/>
    <cellStyle name="Obliczenia" xfId="18" builtinId="22" customBuiltin="1"/>
    <cellStyle name="Procentowy" xfId="8" builtinId="5" customBuiltin="1"/>
    <cellStyle name="Procentowy 2" xfId="51" xr:uid="{096DD105-13B6-425C-84BA-0778D95C7668}"/>
    <cellStyle name="Suma" xfId="24" builtinId="25" customBuiltin="1"/>
    <cellStyle name="Tekst objaśnienia" xfId="23" builtinId="53" customBuiltin="1"/>
    <cellStyle name="Tekst ostrzeżenia" xfId="21" builtinId="11" customBuiltin="1"/>
    <cellStyle name="Tytuł" xfId="9" builtinId="15" customBuiltin="1"/>
    <cellStyle name="Uwaga" xfId="22" builtinId="10" customBuiltin="1"/>
    <cellStyle name="Walutowy" xfId="6" builtinId="4" customBuiltin="1"/>
    <cellStyle name="Walutowy [0]" xfId="7" builtinId="7" customBuiltin="1"/>
    <cellStyle name="Wyróżnienie 1" xfId="2" builtinId="12" customBuiltin="1"/>
    <cellStyle name="Wyróżnienie 2" xfId="3" builtinId="13" customBuiltin="1"/>
    <cellStyle name="Zły" xfId="14" builtinId="27" customBuiltin="1"/>
  </cellStyles>
  <dxfs count="31">
    <dxf>
      <font>
        <color indexed="10"/>
      </font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9"/>
  <colors>
    <mruColors>
      <color rgb="FFFFFF66"/>
      <color rgb="FFECF2F8"/>
      <color rgb="FFEBECE2"/>
      <color rgb="FF70FC8B"/>
      <color rgb="FFFBF3F3"/>
      <color rgb="FFF5F5F5"/>
      <color rgb="FFEAF9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3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Udział aktywów trwałych i obrotowych </a:t>
            </a:r>
          </a:p>
          <a:p>
            <a:pPr>
              <a:defRPr/>
            </a:pPr>
            <a:r>
              <a:rPr lang="pl-PL" sz="13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 aktywach firmy eSky.pl S.A. w latach 2018 – 2022</a:t>
            </a:r>
          </a:p>
        </c:rich>
      </c:tx>
      <c:layout>
        <c:manualLayout>
          <c:xMode val="edge"/>
          <c:yMode val="edge"/>
          <c:x val="0.10763153132111204"/>
          <c:y val="3.3810754948233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Bilans!$U$6</c:f>
              <c:strCache>
                <c:ptCount val="1"/>
                <c:pt idx="0">
                  <c:v>A. Aktywa trwałe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Bilans!$V$4:$Z$4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Bilans!$V$6:$Z$6</c:f>
              <c:numCache>
                <c:formatCode>0.00%</c:formatCode>
                <c:ptCount val="5"/>
                <c:pt idx="0">
                  <c:v>0.67716202947655457</c:v>
                </c:pt>
                <c:pt idx="1">
                  <c:v>0.61154822630610484</c:v>
                </c:pt>
                <c:pt idx="2">
                  <c:v>0.61259943017004659</c:v>
                </c:pt>
                <c:pt idx="3">
                  <c:v>0.61576935191319737</c:v>
                </c:pt>
                <c:pt idx="4">
                  <c:v>0.51118681245637942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D-4007-BC09-FB405D1E45E0}"/>
            </c:ext>
          </c:extLst>
        </c:ser>
        <c:ser>
          <c:idx val="1"/>
          <c:order val="1"/>
          <c:tx>
            <c:strRef>
              <c:f>Bilans!$U$13</c:f>
              <c:strCache>
                <c:ptCount val="1"/>
                <c:pt idx="0">
                  <c:v>B. Aktywa obrotowe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Bilans!$V$4:$Z$4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Bilans!$V$13:$Z$13</c:f>
              <c:numCache>
                <c:formatCode>0.00%</c:formatCode>
                <c:ptCount val="5"/>
                <c:pt idx="0">
                  <c:v>0.32283797052344543</c:v>
                </c:pt>
                <c:pt idx="1">
                  <c:v>0.38845177369389516</c:v>
                </c:pt>
                <c:pt idx="2">
                  <c:v>0.38740056982995347</c:v>
                </c:pt>
                <c:pt idx="3">
                  <c:v>0.38423064808680257</c:v>
                </c:pt>
                <c:pt idx="4">
                  <c:v>0.48881318754362058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D-4007-BC09-FB405D1E4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6356816"/>
        <c:axId val="1216357296"/>
      </c:barChart>
      <c:catAx>
        <c:axId val="12163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357296"/>
        <c:crosses val="autoZero"/>
        <c:auto val="1"/>
        <c:lblAlgn val="ctr"/>
        <c:lblOffset val="100"/>
        <c:noMultiLvlLbl val="0"/>
      </c:catAx>
      <c:valAx>
        <c:axId val="12163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sprawności działania'!$B$23</c:f>
              <c:strCache>
                <c:ptCount val="1"/>
                <c:pt idx="0">
                  <c:v>Wskaźnik cyklów środków pieniężnych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działania'!$C$22:$G$22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działania'!$C$23:$G$23</c:f>
              <c:numCache>
                <c:formatCode>0.00</c:formatCode>
                <c:ptCount val="5"/>
                <c:pt idx="0">
                  <c:v>-27.810758140034196</c:v>
                </c:pt>
                <c:pt idx="1">
                  <c:v>-17.107597757870536</c:v>
                </c:pt>
                <c:pt idx="2">
                  <c:v>-122.10025636014575</c:v>
                </c:pt>
                <c:pt idx="3">
                  <c:v>-20.447676553116715</c:v>
                </c:pt>
                <c:pt idx="4">
                  <c:v>-7.7052739576964129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F-452C-9B19-EC574D2A8B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070128"/>
        <c:axId val="465078288"/>
      </c:barChart>
      <c:catAx>
        <c:axId val="465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78288"/>
        <c:crosses val="autoZero"/>
        <c:auto val="1"/>
        <c:lblAlgn val="ctr"/>
        <c:lblOffset val="100"/>
        <c:noMultiLvlLbl val="0"/>
      </c:catAx>
      <c:valAx>
        <c:axId val="465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rentowności'!$B$3</c:f>
              <c:strCache>
                <c:ptCount val="1"/>
                <c:pt idx="0">
                  <c:v>Wskaźnik rentowności sprzedaży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'Wskaźniki rentowności'!$C$2:$G$2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'Wskaźniki rentowności'!$C$3:$G$3</c:f>
              <c:numCache>
                <c:formatCode>0.00</c:formatCode>
                <c:ptCount val="5"/>
                <c:pt idx="0">
                  <c:v>-9.7672152536354556E-2</c:v>
                </c:pt>
                <c:pt idx="1">
                  <c:v>3.2101424407023023E-2</c:v>
                </c:pt>
                <c:pt idx="2">
                  <c:v>-0.16628346764459057</c:v>
                </c:pt>
                <c:pt idx="3">
                  <c:v>0.10816091049746938</c:v>
                </c:pt>
                <c:pt idx="4">
                  <c:v>0.10976340252660814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4A81-9025-F163194245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357568"/>
        <c:axId val="219359488"/>
      </c:barChart>
      <c:catAx>
        <c:axId val="2193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359488"/>
        <c:crosses val="autoZero"/>
        <c:auto val="1"/>
        <c:lblAlgn val="ctr"/>
        <c:lblOffset val="100"/>
        <c:noMultiLvlLbl val="0"/>
      </c:catAx>
      <c:valAx>
        <c:axId val="219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3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rentowności'!$B$4</c:f>
              <c:strCache>
                <c:ptCount val="1"/>
                <c:pt idx="0">
                  <c:v>Wskaźnik rentowności kapitału własnego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'Wskaźniki rentowności'!$C$2:$G$2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'Wskaźniki rentowności'!$C$4:$G$4</c:f>
              <c:numCache>
                <c:formatCode>0.00</c:formatCode>
                <c:ptCount val="5"/>
                <c:pt idx="0">
                  <c:v>-0.12930591540673203</c:v>
                </c:pt>
                <c:pt idx="1">
                  <c:v>8.5816724665190344E-2</c:v>
                </c:pt>
                <c:pt idx="2">
                  <c:v>-0.81641925833944795</c:v>
                </c:pt>
                <c:pt idx="3">
                  <c:v>0.36217948717948717</c:v>
                </c:pt>
                <c:pt idx="4">
                  <c:v>0.2697978439404129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47C3-9EFA-93E6B45706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357088"/>
        <c:axId val="219342688"/>
      </c:barChart>
      <c:catAx>
        <c:axId val="2193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342688"/>
        <c:crosses val="autoZero"/>
        <c:auto val="1"/>
        <c:lblAlgn val="ctr"/>
        <c:lblOffset val="100"/>
        <c:noMultiLvlLbl val="0"/>
      </c:catAx>
      <c:valAx>
        <c:axId val="219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3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rentowności'!$B$5</c:f>
              <c:strCache>
                <c:ptCount val="1"/>
                <c:pt idx="0">
                  <c:v>Wskaźnik rentowności kapitału podstawowego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'Wskaźniki rentowności'!$C$2:$G$2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'Wskaźniki rentowności'!$C$5:$G$5</c:f>
              <c:numCache>
                <c:formatCode>0.00</c:formatCode>
                <c:ptCount val="5"/>
                <c:pt idx="0">
                  <c:v>-11.935418768920282</c:v>
                </c:pt>
                <c:pt idx="1">
                  <c:v>7.9784313725490197</c:v>
                </c:pt>
                <c:pt idx="2">
                  <c:v>-28.361764705882354</c:v>
                </c:pt>
                <c:pt idx="3">
                  <c:v>32.34901960784314</c:v>
                </c:pt>
                <c:pt idx="4">
                  <c:v>51.918627450980395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2-458C-96B1-26ACDAAD4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085488"/>
        <c:axId val="465086928"/>
      </c:barChart>
      <c:catAx>
        <c:axId val="4650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86928"/>
        <c:crosses val="autoZero"/>
        <c:auto val="1"/>
        <c:lblAlgn val="ctr"/>
        <c:lblOffset val="100"/>
        <c:noMultiLvlLbl val="0"/>
      </c:catAx>
      <c:valAx>
        <c:axId val="465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rentowności aktywów</a:t>
            </a:r>
            <a:r>
              <a:rPr lang="pl-PL" baseline="0"/>
              <a:t> trwałych i obrotowych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rentowności'!$B$6</c:f>
              <c:strCache>
                <c:ptCount val="1"/>
                <c:pt idx="0">
                  <c:v>Wskaźnik rentowności aktywów trwałych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'Wskaźniki rentowności'!$C$6:$G$6</c:f>
              <c:numCache>
                <c:formatCode>0.00</c:formatCode>
                <c:ptCount val="5"/>
                <c:pt idx="0">
                  <c:v>-8.8862176477217239E-2</c:v>
                </c:pt>
                <c:pt idx="1">
                  <c:v>6.1990584865704842E-2</c:v>
                </c:pt>
                <c:pt idx="2">
                  <c:v>-0.30440364076392906</c:v>
                </c:pt>
                <c:pt idx="3">
                  <c:v>0.29099824497967175</c:v>
                </c:pt>
                <c:pt idx="4">
                  <c:v>0.34429917236088448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2-4924-B6CD-E28D1B53980B}"/>
            </c:ext>
          </c:extLst>
        </c:ser>
        <c:ser>
          <c:idx val="1"/>
          <c:order val="1"/>
          <c:tx>
            <c:strRef>
              <c:f>'Wskaźniki rentowności'!$B$7</c:f>
              <c:strCache>
                <c:ptCount val="1"/>
                <c:pt idx="0">
                  <c:v>Wskaźnik rentowności aktywów obrotowych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'Wskaźniki rentowności'!$C$7:$G$7</c:f>
              <c:numCache>
                <c:formatCode>0.00</c:formatCode>
                <c:ptCount val="5"/>
                <c:pt idx="0">
                  <c:v>-0.18639099877084056</c:v>
                </c:pt>
                <c:pt idx="1">
                  <c:v>9.7593150011392668E-2</c:v>
                </c:pt>
                <c:pt idx="2">
                  <c:v>-0.48135576299106475</c:v>
                </c:pt>
                <c:pt idx="3">
                  <c:v>0.46635478354274729</c:v>
                </c:pt>
                <c:pt idx="4">
                  <c:v>0.36005820001495797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2-4924-B6CD-E28D1B53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2271184"/>
        <c:axId val="442270224"/>
      </c:barChart>
      <c:catAx>
        <c:axId val="4422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70224"/>
        <c:crosses val="autoZero"/>
        <c:auto val="1"/>
        <c:lblAlgn val="ctr"/>
        <c:lblOffset val="100"/>
        <c:noMultiLvlLbl val="0"/>
      </c:catAx>
      <c:valAx>
        <c:axId val="4422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'Analiza Du Pointa'!$B$5</c:f>
              <c:strCache>
                <c:ptCount val="1"/>
                <c:pt idx="0">
                  <c:v>ROE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Du Pointa'!$C$4:$G$4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Du Pointa'!$C$5:$G$5</c:f>
              <c:numCache>
                <c:formatCode>0.00</c:formatCode>
                <c:ptCount val="5"/>
                <c:pt idx="0">
                  <c:v>-0.12930591540673203</c:v>
                </c:pt>
                <c:pt idx="1">
                  <c:v>8.5816724665190344E-2</c:v>
                </c:pt>
                <c:pt idx="2">
                  <c:v>-0.81641925833944795</c:v>
                </c:pt>
                <c:pt idx="3">
                  <c:v>0.36217948717948717</c:v>
                </c:pt>
                <c:pt idx="4">
                  <c:v>0.2697978439404129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7-4CC4-8E82-DB2AE3BAB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3972448"/>
        <c:axId val="233964288"/>
      </c:lineChart>
      <c:catAx>
        <c:axId val="2339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964288"/>
        <c:crosses val="autoZero"/>
        <c:auto val="1"/>
        <c:lblAlgn val="ctr"/>
        <c:lblOffset val="100"/>
        <c:noMultiLvlLbl val="0"/>
      </c:catAx>
      <c:valAx>
        <c:axId val="2339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9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Udział kapitałów własnych i zobowiązań</a:t>
            </a:r>
          </a:p>
          <a:p>
            <a:pPr>
              <a:defRPr/>
            </a:pPr>
            <a:r>
              <a:rPr lang="pl-P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 pasywach firmy eSky.pl S.A. w latach 2018 –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Bilans!$U$22</c:f>
              <c:strCache>
                <c:ptCount val="1"/>
                <c:pt idx="0">
                  <c:v>A. Kapitał (fundusz) własny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Bilans!$V$20:$Z$20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Bilans!$V$22:$Z$22</c:f>
              <c:numCache>
                <c:formatCode>0.00%</c:formatCode>
                <c:ptCount val="5"/>
                <c:pt idx="0">
                  <c:v>0.4653622502709055</c:v>
                </c:pt>
                <c:pt idx="1">
                  <c:v>0.44175808818391449</c:v>
                </c:pt>
                <c:pt idx="2">
                  <c:v>0.22840898835845141</c:v>
                </c:pt>
                <c:pt idx="3">
                  <c:v>0.49474861791443558</c:v>
                </c:pt>
                <c:pt idx="4">
                  <c:v>0.65234471069161493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A-462B-9FFD-5E616B5E12BF}"/>
            </c:ext>
          </c:extLst>
        </c:ser>
        <c:ser>
          <c:idx val="1"/>
          <c:order val="1"/>
          <c:tx>
            <c:strRef>
              <c:f>Bilans!$U$30</c:f>
              <c:strCache>
                <c:ptCount val="1"/>
                <c:pt idx="0">
                  <c:v>B. Zobowiązania i rezerwy na zobowiązania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Bilans!$V$20:$Z$20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Bilans!$V$30:$Z$30</c:f>
              <c:numCache>
                <c:formatCode>0.00%</c:formatCode>
                <c:ptCount val="5"/>
                <c:pt idx="0">
                  <c:v>0.5346377497290945</c:v>
                </c:pt>
                <c:pt idx="1">
                  <c:v>0.55824191181608551</c:v>
                </c:pt>
                <c:pt idx="2">
                  <c:v>0.77159101164154864</c:v>
                </c:pt>
                <c:pt idx="3">
                  <c:v>0.50525138208556442</c:v>
                </c:pt>
                <c:pt idx="4">
                  <c:v>0.34765528930838513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A-462B-9FFD-5E616B5E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388351"/>
        <c:axId val="1143369631"/>
      </c:barChart>
      <c:catAx>
        <c:axId val="114338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3369631"/>
        <c:crosses val="autoZero"/>
        <c:auto val="1"/>
        <c:lblAlgn val="ctr"/>
        <c:lblOffset val="100"/>
        <c:noMultiLvlLbl val="0"/>
      </c:catAx>
      <c:valAx>
        <c:axId val="11433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33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Wskaźniki płynności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płynności'!$B$3</c:f>
              <c:strCache>
                <c:ptCount val="1"/>
                <c:pt idx="0">
                  <c:v>Wskaźnik natychmiastowej płynności - I stopnia (cash ratio)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płynności'!$C$2:$G$2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płynności'!$C$3:$G$3</c:f>
              <c:numCache>
                <c:formatCode>0.00</c:formatCode>
                <c:ptCount val="5"/>
                <c:pt idx="0">
                  <c:v>0.40747493163172288</c:v>
                </c:pt>
                <c:pt idx="1">
                  <c:v>0.41245241979336594</c:v>
                </c:pt>
                <c:pt idx="2">
                  <c:v>0.16048524108056553</c:v>
                </c:pt>
                <c:pt idx="3">
                  <c:v>0.34381958591936324</c:v>
                </c:pt>
                <c:pt idx="4">
                  <c:v>0.72172404802122181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2-4BBF-8F1F-3C0076FECEC5}"/>
            </c:ext>
          </c:extLst>
        </c:ser>
        <c:ser>
          <c:idx val="1"/>
          <c:order val="1"/>
          <c:tx>
            <c:strRef>
              <c:f>'Analiza płynności'!$B$4</c:f>
              <c:strCache>
                <c:ptCount val="1"/>
                <c:pt idx="0">
                  <c:v>Wskaźnik szybkiej płynności - II stopnia (quick ratio)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płynności'!$C$2:$G$2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płynności'!$C$4:$G$4</c:f>
              <c:numCache>
                <c:formatCode>0.00</c:formatCode>
                <c:ptCount val="5"/>
                <c:pt idx="0">
                  <c:v>1.2246244698981412</c:v>
                </c:pt>
                <c:pt idx="1">
                  <c:v>1.2329768594042656</c:v>
                </c:pt>
                <c:pt idx="2">
                  <c:v>0.58165343613078857</c:v>
                </c:pt>
                <c:pt idx="3">
                  <c:v>1.0734669382985107</c:v>
                </c:pt>
                <c:pt idx="4">
                  <c:v>1.6059675097210098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2-4BBF-8F1F-3C0076FECEC5}"/>
            </c:ext>
          </c:extLst>
        </c:ser>
        <c:ser>
          <c:idx val="2"/>
          <c:order val="2"/>
          <c:tx>
            <c:strRef>
              <c:f>'Analiza płynności'!$B$5</c:f>
              <c:strCache>
                <c:ptCount val="1"/>
                <c:pt idx="0">
                  <c:v>Wskaźnik bieżącej płynności - III stopnia (current ratio)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płynności'!$C$2:$G$2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płynności'!$C$5:$G$5</c:f>
              <c:numCache>
                <c:formatCode>0.00</c:formatCode>
                <c:ptCount val="5"/>
                <c:pt idx="0">
                  <c:v>1.2575403273750545</c:v>
                </c:pt>
                <c:pt idx="1">
                  <c:v>1.2595462509818138</c:v>
                </c:pt>
                <c:pt idx="2">
                  <c:v>0.59710286037893312</c:v>
                </c:pt>
                <c:pt idx="3">
                  <c:v>1.1173702247279733</c:v>
                </c:pt>
                <c:pt idx="4">
                  <c:v>1.6673544115813221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2-4BBF-8F1F-3C0076FEC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6922831"/>
        <c:axId val="436932911"/>
      </c:barChart>
      <c:catAx>
        <c:axId val="4369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932911"/>
        <c:crosses val="autoZero"/>
        <c:auto val="1"/>
        <c:lblAlgn val="ctr"/>
        <c:lblOffset val="100"/>
        <c:noMultiLvlLbl val="0"/>
      </c:catAx>
      <c:valAx>
        <c:axId val="436932911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DYNaMICZNE WSKAŹNIKI PŁYNNOŚCI FINANSOWEJ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płynności'!$B$8</c:f>
              <c:strCache>
                <c:ptCount val="1"/>
                <c:pt idx="0">
                  <c:v>Wskaźnik wydajności gotówkowej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płynności'!$C$7:$G$7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płynności'!$C$8:$G$8</c:f>
              <c:numCache>
                <c:formatCode>0.00</c:formatCode>
                <c:ptCount val="5"/>
                <c:pt idx="0">
                  <c:v>1.7636742299682122</c:v>
                </c:pt>
                <c:pt idx="1">
                  <c:v>1.2284428776844938</c:v>
                </c:pt>
                <c:pt idx="2">
                  <c:v>0.54004576659038905</c:v>
                </c:pt>
                <c:pt idx="3">
                  <c:v>0.48486024008103273</c:v>
                </c:pt>
                <c:pt idx="4">
                  <c:v>0.52199558913727184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7-49FC-A91A-CDB439296D1E}"/>
            </c:ext>
          </c:extLst>
        </c:ser>
        <c:ser>
          <c:idx val="1"/>
          <c:order val="1"/>
          <c:tx>
            <c:strRef>
              <c:f>'Analiza płynności'!$B$9</c:f>
              <c:strCache>
                <c:ptCount val="1"/>
                <c:pt idx="0">
                  <c:v>Wskaźnik wydajności gotówkowej zysku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płynności'!$C$7:$G$7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płynności'!$C$9:$G$9</c:f>
              <c:numCache>
                <c:formatCode>0.00</c:formatCode>
                <c:ptCount val="5"/>
                <c:pt idx="0">
                  <c:v>-2.0654685494223362</c:v>
                </c:pt>
                <c:pt idx="1">
                  <c:v>2.465921787709497</c:v>
                </c:pt>
                <c:pt idx="2">
                  <c:v>0.32753948846738484</c:v>
                </c:pt>
                <c:pt idx="3">
                  <c:v>0.43937115516062886</c:v>
                </c:pt>
                <c:pt idx="4">
                  <c:v>0.50370855423052219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7-49FC-A91A-CDB439296D1E}"/>
            </c:ext>
          </c:extLst>
        </c:ser>
        <c:ser>
          <c:idx val="2"/>
          <c:order val="2"/>
          <c:tx>
            <c:strRef>
              <c:f>'Analiza płynności'!$B$10</c:f>
              <c:strCache>
                <c:ptCount val="1"/>
                <c:pt idx="0">
                  <c:v>Wskaźnik wydajności gotówkowej majątku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płynności'!$C$7:$G$7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płynności'!$C$10:$G$10</c:f>
              <c:numCache>
                <c:formatCode>0.00</c:formatCode>
                <c:ptCount val="5"/>
                <c:pt idx="0">
                  <c:v>8.1856707518709021E-2</c:v>
                </c:pt>
                <c:pt idx="1">
                  <c:v>0.12337362867724128</c:v>
                </c:pt>
                <c:pt idx="2">
                  <c:v>-6.3893150437686133E-2</c:v>
                </c:pt>
                <c:pt idx="3">
                  <c:v>0.12217745001140425</c:v>
                </c:pt>
                <c:pt idx="4">
                  <c:v>0.13293894778822826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7-49FC-A91A-CDB439296D1E}"/>
            </c:ext>
          </c:extLst>
        </c:ser>
        <c:ser>
          <c:idx val="3"/>
          <c:order val="3"/>
          <c:tx>
            <c:strRef>
              <c:f>'Analiza płynności'!$B$11</c:f>
              <c:strCache>
                <c:ptCount val="1"/>
                <c:pt idx="0">
                  <c:v>Wskaźnik wystarczalności gotówki operacyjnej na spłatę zobowiązań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płynności'!$C$7:$G$7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płynności'!$C$11:$G$11</c:f>
              <c:numCache>
                <c:formatCode>0.00</c:formatCode>
                <c:ptCount val="5"/>
                <c:pt idx="0">
                  <c:v>0.15310686078599295</c:v>
                </c:pt>
                <c:pt idx="1">
                  <c:v>0.22100388033546126</c:v>
                </c:pt>
                <c:pt idx="2">
                  <c:v>-8.2807017543859648E-2</c:v>
                </c:pt>
                <c:pt idx="3">
                  <c:v>0.2418151722951912</c:v>
                </c:pt>
                <c:pt idx="4">
                  <c:v>0.38238724356155479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7-49FC-A91A-CDB439296D1E}"/>
            </c:ext>
          </c:extLst>
        </c:ser>
        <c:ser>
          <c:idx val="4"/>
          <c:order val="4"/>
          <c:tx>
            <c:strRef>
              <c:f>'Analiza płynności'!$B$12</c:f>
              <c:strCache>
                <c:ptCount val="1"/>
                <c:pt idx="0">
                  <c:v>Wskaźnik ogólnej wystarczalności gotówki operacyjnej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płynności'!$C$7:$G$7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płynności'!$C$12:$G$12</c:f>
              <c:numCache>
                <c:formatCode>0.00</c:formatCode>
                <c:ptCount val="5"/>
                <c:pt idx="0">
                  <c:v>0.15520251565047119</c:v>
                </c:pt>
                <c:pt idx="1">
                  <c:v>0.54168371103657043</c:v>
                </c:pt>
                <c:pt idx="2">
                  <c:v>-0.63069483329091369</c:v>
                </c:pt>
                <c:pt idx="3">
                  <c:v>0.84398094309187077</c:v>
                </c:pt>
                <c:pt idx="4">
                  <c:v>3.2221685194135654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7-49FC-A91A-CDB439296D1E}"/>
            </c:ext>
          </c:extLst>
        </c:ser>
        <c:ser>
          <c:idx val="5"/>
          <c:order val="5"/>
          <c:tx>
            <c:strRef>
              <c:f>'Analiza płynności'!$B$13</c:f>
              <c:strCache>
                <c:ptCount val="1"/>
                <c:pt idx="0">
                  <c:v>Wskaźnik wystarczalności gotówki operacyjnej na zakup śr. trwałych i WNiP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płynności'!$C$7:$G$7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płynności'!$C$13:$G$13</c:f>
              <c:numCache>
                <c:formatCode>0.00</c:formatCode>
                <c:ptCount val="5"/>
                <c:pt idx="0">
                  <c:v>0.61534342970781708</c:v>
                </c:pt>
                <c:pt idx="1">
                  <c:v>0.68113780155341808</c:v>
                </c:pt>
                <c:pt idx="2">
                  <c:v>-0.30946954322645104</c:v>
                </c:pt>
                <c:pt idx="3">
                  <c:v>0.99880133185349607</c:v>
                </c:pt>
                <c:pt idx="4">
                  <c:v>2.2891152569531874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7-49FC-A91A-CDB439296D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66639919"/>
        <c:axId val="1666641359"/>
      </c:barChart>
      <c:catAx>
        <c:axId val="16666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641359"/>
        <c:crosses val="autoZero"/>
        <c:auto val="1"/>
        <c:lblAlgn val="ctr"/>
        <c:lblOffset val="100"/>
        <c:noMultiLvlLbl val="0"/>
      </c:catAx>
      <c:valAx>
        <c:axId val="166664135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66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WSKAŹNIKI ZADŁUŻENIA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zadłużenia'!$B$7</c:f>
              <c:strCache>
                <c:ptCount val="1"/>
                <c:pt idx="0">
                  <c:v>Wskaźnik ogólnego zadłużenia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'Wskaźniki zadłużenia'!$C$6:$G$6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'Wskaźniki zadłużenia'!$C$7:$G$7</c:f>
              <c:numCache>
                <c:formatCode>0.00</c:formatCode>
                <c:ptCount val="5"/>
                <c:pt idx="0">
                  <c:v>0.5346377497290945</c:v>
                </c:pt>
                <c:pt idx="1">
                  <c:v>0.55824191181608551</c:v>
                </c:pt>
                <c:pt idx="2">
                  <c:v>0.77159101164154864</c:v>
                </c:pt>
                <c:pt idx="3">
                  <c:v>0.50525138208556442</c:v>
                </c:pt>
                <c:pt idx="4">
                  <c:v>0.34765528930838513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7-44C6-BDA6-806568F63F6E}"/>
            </c:ext>
          </c:extLst>
        </c:ser>
        <c:ser>
          <c:idx val="1"/>
          <c:order val="1"/>
          <c:tx>
            <c:strRef>
              <c:f>'Wskaźniki zadłużenia'!$B$8</c:f>
              <c:strCache>
                <c:ptCount val="1"/>
                <c:pt idx="0">
                  <c:v>Wskaźnik zadłużenia kapitału własnego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'Wskaźniki zadłużenia'!$C$6:$G$6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'Wskaźniki zadłużenia'!$C$8:$G$8</c:f>
              <c:numCache>
                <c:formatCode>0.00</c:formatCode>
                <c:ptCount val="5"/>
                <c:pt idx="0">
                  <c:v>1.1488635990948148</c:v>
                </c:pt>
                <c:pt idx="1">
                  <c:v>1.2636823789939893</c:v>
                </c:pt>
                <c:pt idx="2">
                  <c:v>3.3781114184116952</c:v>
                </c:pt>
                <c:pt idx="3">
                  <c:v>1.0212284861257463</c:v>
                </c:pt>
                <c:pt idx="4">
                  <c:v>0.53293187422306454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44C6-BDA6-806568F63F6E}"/>
            </c:ext>
          </c:extLst>
        </c:ser>
        <c:ser>
          <c:idx val="2"/>
          <c:order val="2"/>
          <c:tx>
            <c:strRef>
              <c:f>'Wskaźniki zadłużenia'!$B$9</c:f>
              <c:strCache>
                <c:ptCount val="1"/>
                <c:pt idx="0">
                  <c:v>Wskaźnik zadłużenia długoterminowego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'Wskaźniki zadłużenia'!$C$6:$G$6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'Wskaźniki zadłużenia'!$C$9:$G$9</c:f>
              <c:numCache>
                <c:formatCode>0.00</c:formatCode>
                <c:ptCount val="5"/>
                <c:pt idx="0">
                  <c:v>0.4443496988182305</c:v>
                </c:pt>
                <c:pt idx="1">
                  <c:v>0.35660655910576822</c:v>
                </c:pt>
                <c:pt idx="2">
                  <c:v>8.5793305864423994E-3</c:v>
                </c:pt>
                <c:pt idx="3">
                  <c:v>0.20109984193888303</c:v>
                </c:pt>
                <c:pt idx="4">
                  <c:v>6.9643985245868229E-3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7-44C6-BDA6-806568F63F6E}"/>
            </c:ext>
          </c:extLst>
        </c:ser>
        <c:ser>
          <c:idx val="3"/>
          <c:order val="3"/>
          <c:tx>
            <c:strRef>
              <c:f>'Wskaźniki zadłużenia'!$B$10</c:f>
              <c:strCache>
                <c:ptCount val="1"/>
                <c:pt idx="0">
                  <c:v>Wskaźnik pokrycia zadłużenia środkami trwałymi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'Wskaźniki zadłużenia'!$C$6:$G$6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'Wskaźniki zadłużenia'!$C$10:$G$10</c:f>
              <c:numCache>
                <c:formatCode>0.00</c:formatCode>
                <c:ptCount val="5"/>
                <c:pt idx="0">
                  <c:v>5.7521035280224377E-2</c:v>
                </c:pt>
                <c:pt idx="1">
                  <c:v>6.3015643019782949E-2</c:v>
                </c:pt>
                <c:pt idx="2">
                  <c:v>5.2861842105263159</c:v>
                </c:pt>
                <c:pt idx="3">
                  <c:v>0.12903225806451613</c:v>
                </c:pt>
                <c:pt idx="4">
                  <c:v>4.2318946598390639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7-44C6-BDA6-806568F63F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6959407"/>
        <c:axId val="116971407"/>
      </c:barChart>
      <c:catAx>
        <c:axId val="11695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71407"/>
        <c:crosses val="autoZero"/>
        <c:auto val="1"/>
        <c:lblAlgn val="ctr"/>
        <c:lblOffset val="100"/>
        <c:noMultiLvlLbl val="0"/>
      </c:catAx>
      <c:valAx>
        <c:axId val="116971407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WSKAŹNIKI ROTACJI AKTYWÓW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sprawności działania'!$B$6</c:f>
              <c:strCache>
                <c:ptCount val="1"/>
                <c:pt idx="0">
                  <c:v>Wskaźnik rotacji aktywów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działania'!$C$5:$G$5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działania'!$C$6:$G$6</c:f>
              <c:numCache>
                <c:formatCode>0.00</c:formatCode>
                <c:ptCount val="5"/>
                <c:pt idx="0">
                  <c:v>0.6160823756251177</c:v>
                </c:pt>
                <c:pt idx="1">
                  <c:v>1.1809517154636293</c:v>
                </c:pt>
                <c:pt idx="2">
                  <c:v>1.1214433973210256</c:v>
                </c:pt>
                <c:pt idx="3">
                  <c:v>1.6566779985011568</c:v>
                </c:pt>
                <c:pt idx="4">
                  <c:v>1.6034597361161886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6-40B0-9431-427FFD5C974C}"/>
            </c:ext>
          </c:extLst>
        </c:ser>
        <c:ser>
          <c:idx val="1"/>
          <c:order val="1"/>
          <c:tx>
            <c:strRef>
              <c:f>'Analiza sprawności działania'!$B$7</c:f>
              <c:strCache>
                <c:ptCount val="1"/>
                <c:pt idx="0">
                  <c:v>Wskaźnik rotacji aktywów trwałych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działania'!$C$5:$G$5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działania'!$C$7:$G$7</c:f>
              <c:numCache>
                <c:formatCode>0.00</c:formatCode>
                <c:ptCount val="5"/>
                <c:pt idx="0">
                  <c:v>0.90980053341347056</c:v>
                </c:pt>
                <c:pt idx="1">
                  <c:v>1.9310851780191653</c:v>
                </c:pt>
                <c:pt idx="2">
                  <c:v>1.8306308202241279</c:v>
                </c:pt>
                <c:pt idx="3">
                  <c:v>2.6904197056151831</c:v>
                </c:pt>
                <c:pt idx="4">
                  <c:v>3.1367392449174636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6-40B0-9431-427FFD5C974C}"/>
            </c:ext>
          </c:extLst>
        </c:ser>
        <c:ser>
          <c:idx val="2"/>
          <c:order val="2"/>
          <c:tx>
            <c:strRef>
              <c:f>'Analiza sprawności działania'!$B$8</c:f>
              <c:strCache>
                <c:ptCount val="1"/>
                <c:pt idx="0">
                  <c:v>Wskaźnik rotacji aktywów obrotowych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działania'!$C$5:$G$5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działania'!$C$8:$G$8</c:f>
              <c:numCache>
                <c:formatCode>0.00</c:formatCode>
                <c:ptCount val="5"/>
                <c:pt idx="0">
                  <c:v>1.9083330706924264</c:v>
                </c:pt>
                <c:pt idx="1">
                  <c:v>3.0401501433077098</c:v>
                </c:pt>
                <c:pt idx="2">
                  <c:v>2.894790262733157</c:v>
                </c:pt>
                <c:pt idx="3">
                  <c:v>4.3116758300001417</c:v>
                </c:pt>
                <c:pt idx="4">
                  <c:v>3.280311941201667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6-40B0-9431-427FFD5C9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4028128"/>
        <c:axId val="234025248"/>
      </c:barChart>
      <c:catAx>
        <c:axId val="2340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025248"/>
        <c:crosses val="autoZero"/>
        <c:auto val="1"/>
        <c:lblAlgn val="ctr"/>
        <c:lblOffset val="100"/>
        <c:noMultiLvlLbl val="0"/>
      </c:catAx>
      <c:valAx>
        <c:axId val="234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0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WSKAŹNIKI ROTACJI NALEŻNOŚCI KRÓTKOTERMINOWYCH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sprawności działania'!$B$11</c:f>
              <c:strCache>
                <c:ptCount val="1"/>
                <c:pt idx="0">
                  <c:v>Wskaźnik rotacji należności krótkoterminowych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działania'!$C$10:$G$10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działania'!$C$11:$G$11</c:f>
              <c:numCache>
                <c:formatCode>0.00</c:formatCode>
                <c:ptCount val="5"/>
                <c:pt idx="0">
                  <c:v>2.9368012610646295</c:v>
                </c:pt>
                <c:pt idx="1">
                  <c:v>4.6667832554029678</c:v>
                </c:pt>
                <c:pt idx="2">
                  <c:v>4.1040315161237055</c:v>
                </c:pt>
                <c:pt idx="3">
                  <c:v>6.6028310462750532</c:v>
                </c:pt>
                <c:pt idx="4">
                  <c:v>6.1854487179487183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3-4BC4-8FDE-1A600EFB02D8}"/>
            </c:ext>
          </c:extLst>
        </c:ser>
        <c:ser>
          <c:idx val="1"/>
          <c:order val="1"/>
          <c:tx>
            <c:strRef>
              <c:f>'Analiza sprawności działania'!$B$12</c:f>
              <c:strCache>
                <c:ptCount val="1"/>
                <c:pt idx="0">
                  <c:v>Wskaźnik rotacji należności krótkoterminowych w dniach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działania'!$C$10:$G$10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działania'!$C$12:$G$12</c:f>
              <c:numCache>
                <c:formatCode>0.00</c:formatCode>
                <c:ptCount val="5"/>
                <c:pt idx="0">
                  <c:v>124.28488261670203</c:v>
                </c:pt>
                <c:pt idx="1">
                  <c:v>78.21233171208911</c:v>
                </c:pt>
                <c:pt idx="2">
                  <c:v>88.936938852932045</c:v>
                </c:pt>
                <c:pt idx="3">
                  <c:v>55.279318438098237</c:v>
                </c:pt>
                <c:pt idx="4">
                  <c:v>59.009461826246465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3-4BC4-8FDE-1A600EFB0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4010368"/>
        <c:axId val="234023328"/>
      </c:barChart>
      <c:catAx>
        <c:axId val="234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023328"/>
        <c:crosses val="autoZero"/>
        <c:auto val="1"/>
        <c:lblAlgn val="ctr"/>
        <c:lblOffset val="100"/>
        <c:noMultiLvlLbl val="0"/>
      </c:catAx>
      <c:valAx>
        <c:axId val="234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sprawności działania'!$B$19</c:f>
              <c:strCache>
                <c:ptCount val="1"/>
                <c:pt idx="0">
                  <c:v>Wskaźnik rotacji zobowiązań krótkoterminowych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działania'!$C$18:$G$18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działania'!$C$19:$G$19</c:f>
              <c:numCache>
                <c:formatCode>0.00</c:formatCode>
                <c:ptCount val="5"/>
                <c:pt idx="0">
                  <c:v>2.3998057944591968</c:v>
                </c:pt>
                <c:pt idx="1">
                  <c:v>3.82920971542505</c:v>
                </c:pt>
                <c:pt idx="2">
                  <c:v>1.7284875460750515</c:v>
                </c:pt>
                <c:pt idx="3">
                  <c:v>4.8177381911214292</c:v>
                </c:pt>
                <c:pt idx="4">
                  <c:v>5.4694425865254903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6-4AC6-B9C7-EE5168315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3436064"/>
        <c:axId val="1253422144"/>
      </c:barChart>
      <c:catAx>
        <c:axId val="12534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422144"/>
        <c:crosses val="autoZero"/>
        <c:auto val="1"/>
        <c:lblAlgn val="ctr"/>
        <c:lblOffset val="100"/>
        <c:noMultiLvlLbl val="0"/>
      </c:catAx>
      <c:valAx>
        <c:axId val="1253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4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sprawności działania'!$B$20</c:f>
              <c:strCache>
                <c:ptCount val="1"/>
                <c:pt idx="0">
                  <c:v>Wskaźnik rotacji zobowiązań krótkoterminowych w dniach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sprawności działania'!$C$22:$G$22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'Analiza sprawności działania'!$C$20:$G$20</c:f>
              <c:numCache>
                <c:formatCode>0.00</c:formatCode>
                <c:ptCount val="5"/>
                <c:pt idx="0">
                  <c:v>152.09564075673623</c:v>
                </c:pt>
                <c:pt idx="1">
                  <c:v>95.319929469959646</c:v>
                </c:pt>
                <c:pt idx="2">
                  <c:v>211.16727212112153</c:v>
                </c:pt>
                <c:pt idx="3">
                  <c:v>75.761692628432058</c:v>
                </c:pt>
                <c:pt idx="4">
                  <c:v>66.734405604551625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A12-A42F-26E6503AF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080208"/>
        <c:axId val="465064368"/>
      </c:barChart>
      <c:catAx>
        <c:axId val="4650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64368"/>
        <c:crosses val="autoZero"/>
        <c:auto val="1"/>
        <c:lblAlgn val="ctr"/>
        <c:lblOffset val="100"/>
        <c:noMultiLvlLbl val="0"/>
      </c:catAx>
      <c:valAx>
        <c:axId val="465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0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306916</xdr:colOff>
      <xdr:row>1</xdr:row>
      <xdr:rowOff>73728</xdr:rowOff>
    </xdr:from>
    <xdr:to>
      <xdr:col>42</xdr:col>
      <xdr:colOff>553358</xdr:colOff>
      <xdr:row>16</xdr:row>
      <xdr:rowOff>90714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30901C-E9E0-3891-85A6-54B2CAE94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322034</xdr:colOff>
      <xdr:row>17</xdr:row>
      <xdr:rowOff>61686</xdr:rowOff>
    </xdr:from>
    <xdr:to>
      <xdr:col>43</xdr:col>
      <xdr:colOff>335643</xdr:colOff>
      <xdr:row>32</xdr:row>
      <xdr:rowOff>137886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D134101-7A6E-47EF-F308-165055EC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514351</xdr:colOff>
      <xdr:row>16</xdr:row>
      <xdr:rowOff>25400</xdr:rowOff>
    </xdr:from>
    <xdr:to>
      <xdr:col>27</xdr:col>
      <xdr:colOff>2682639</xdr:colOff>
      <xdr:row>16</xdr:row>
      <xdr:rowOff>222250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ADBAD8C4-6CB3-033A-315E-FDF5B7552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49851" y="3244850"/>
          <a:ext cx="2168288" cy="196850"/>
        </a:xfrm>
        <a:prstGeom prst="rect">
          <a:avLst/>
        </a:prstGeom>
      </xdr:spPr>
    </xdr:pic>
    <xdr:clientData/>
  </xdr:twoCellAnchor>
  <xdr:twoCellAnchor editAs="oneCell">
    <xdr:from>
      <xdr:col>27</xdr:col>
      <xdr:colOff>495301</xdr:colOff>
      <xdr:row>16</xdr:row>
      <xdr:rowOff>196851</xdr:rowOff>
    </xdr:from>
    <xdr:to>
      <xdr:col>27</xdr:col>
      <xdr:colOff>2717801</xdr:colOff>
      <xdr:row>18</xdr:row>
      <xdr:rowOff>24736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D59D7844-7942-B60F-4657-2068ABB6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28040" y="3416025"/>
          <a:ext cx="2222500" cy="258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1</xdr:row>
      <xdr:rowOff>44450</xdr:rowOff>
    </xdr:from>
    <xdr:to>
      <xdr:col>16</xdr:col>
      <xdr:colOff>488950</xdr:colOff>
      <xdr:row>15</xdr:row>
      <xdr:rowOff>146050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7416D6-2B53-2CA3-77A4-DA64FCC2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9</xdr:row>
      <xdr:rowOff>19050</xdr:rowOff>
    </xdr:from>
    <xdr:to>
      <xdr:col>7</xdr:col>
      <xdr:colOff>487680</xdr:colOff>
      <xdr:row>10</xdr:row>
      <xdr:rowOff>26670</xdr:rowOff>
    </xdr:to>
    <xdr:pic>
      <xdr:nvPicPr>
        <xdr:cNvPr id="25" name="Picture 3">
          <a:extLst>
            <a:ext uri="{FF2B5EF4-FFF2-40B4-BE49-F238E27FC236}">
              <a16:creationId xmlns:a16="http://schemas.microsoft.com/office/drawing/2014/main" id="{05226535-BA0A-4099-B533-EA7E9783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89700" y="1676400"/>
          <a:ext cx="68580" cy="17272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412750</xdr:colOff>
      <xdr:row>9</xdr:row>
      <xdr:rowOff>158750</xdr:rowOff>
    </xdr:from>
    <xdr:to>
      <xdr:col>7</xdr:col>
      <xdr:colOff>481330</xdr:colOff>
      <xdr:row>11</xdr:row>
      <xdr:rowOff>1270</xdr:rowOff>
    </xdr:to>
    <xdr:pic>
      <xdr:nvPicPr>
        <xdr:cNvPr id="26" name="Picture 3">
          <a:extLst>
            <a:ext uri="{FF2B5EF4-FFF2-40B4-BE49-F238E27FC236}">
              <a16:creationId xmlns:a16="http://schemas.microsoft.com/office/drawing/2014/main" id="{F4FD9662-3E71-453F-B43D-404A7BE0E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83350" y="1816100"/>
          <a:ext cx="68580" cy="33782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132174</xdr:colOff>
      <xdr:row>1</xdr:row>
      <xdr:rowOff>27961</xdr:rowOff>
    </xdr:from>
    <xdr:to>
      <xdr:col>29</xdr:col>
      <xdr:colOff>329773</xdr:colOff>
      <xdr:row>20</xdr:row>
      <xdr:rowOff>57097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AC44BF1A-4E54-4430-2D1D-B1619307F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464458</xdr:colOff>
      <xdr:row>2</xdr:row>
      <xdr:rowOff>100692</xdr:rowOff>
    </xdr:from>
    <xdr:to>
      <xdr:col>17</xdr:col>
      <xdr:colOff>7258</xdr:colOff>
      <xdr:row>18</xdr:row>
      <xdr:rowOff>11792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05BF9E-961A-DAF2-E9A8-2EB025A8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388828</xdr:colOff>
      <xdr:row>0</xdr:row>
      <xdr:rowOff>0</xdr:rowOff>
    </xdr:from>
    <xdr:to>
      <xdr:col>16</xdr:col>
      <xdr:colOff>507130</xdr:colOff>
      <xdr:row>16</xdr:row>
      <xdr:rowOff>46625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6151407-D201-05AC-7029-8139027E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101775</xdr:colOff>
      <xdr:row>0</xdr:row>
      <xdr:rowOff>81073</xdr:rowOff>
    </xdr:from>
    <xdr:to>
      <xdr:col>25</xdr:col>
      <xdr:colOff>208768</xdr:colOff>
      <xdr:row>15</xdr:row>
      <xdr:rowOff>147878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B0E1E78-B775-A046-75D7-89E875447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170968</xdr:colOff>
      <xdr:row>16</xdr:row>
      <xdr:rowOff>114022</xdr:rowOff>
    </xdr:from>
    <xdr:to>
      <xdr:col>16</xdr:col>
      <xdr:colOff>327121</xdr:colOff>
      <xdr:row>31</xdr:row>
      <xdr:rowOff>57728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7B34D16-C7AE-E304-F2D5-41B665024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288899</xdr:colOff>
      <xdr:row>16</xdr:row>
      <xdr:rowOff>116789</xdr:rowOff>
    </xdr:from>
    <xdr:to>
      <xdr:col>24</xdr:col>
      <xdr:colOff>125076</xdr:colOff>
      <xdr:row>31</xdr:row>
      <xdr:rowOff>51027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8C3FF67-DE1C-3C36-BBF9-E9C4B40D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403129</xdr:colOff>
      <xdr:row>31</xdr:row>
      <xdr:rowOff>95634</xdr:rowOff>
    </xdr:from>
    <xdr:to>
      <xdr:col>16</xdr:col>
      <xdr:colOff>510887</xdr:colOff>
      <xdr:row>48</xdr:row>
      <xdr:rowOff>58304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F870221-0C16-FEF3-6B58-66159993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536817</xdr:colOff>
      <xdr:row>24</xdr:row>
      <xdr:rowOff>24867</xdr:rowOff>
    </xdr:from>
    <xdr:to>
      <xdr:col>9</xdr:col>
      <xdr:colOff>181430</xdr:colOff>
      <xdr:row>39</xdr:row>
      <xdr:rowOff>154215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1F605AA-EAFA-E5EF-477F-B44D0D888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437030</xdr:colOff>
      <xdr:row>9</xdr:row>
      <xdr:rowOff>44077</xdr:rowOff>
    </xdr:from>
    <xdr:to>
      <xdr:col>3</xdr:col>
      <xdr:colOff>179294</xdr:colOff>
      <xdr:row>23</xdr:row>
      <xdr:rowOff>52295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78F42E0-9243-A478-0F2F-6FD2B471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332441</xdr:colOff>
      <xdr:row>9</xdr:row>
      <xdr:rowOff>21666</xdr:rowOff>
    </xdr:from>
    <xdr:to>
      <xdr:col>9</xdr:col>
      <xdr:colOff>435428</xdr:colOff>
      <xdr:row>23</xdr:row>
      <xdr:rowOff>81644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20E25F0-D1BE-0124-E400-A4B3BF7E7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103841</xdr:rowOff>
    </xdr:from>
    <xdr:to>
      <xdr:col>3</xdr:col>
      <xdr:colOff>410882</xdr:colOff>
      <xdr:row>40</xdr:row>
      <xdr:rowOff>53041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C347B52-579A-EE11-E038-4D4BE410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</xdr:row>
      <xdr:rowOff>25400</xdr:rowOff>
    </xdr:from>
    <xdr:to>
      <xdr:col>16</xdr:col>
      <xdr:colOff>260350</xdr:colOff>
      <xdr:row>17</xdr:row>
      <xdr:rowOff>12700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23410D-6EDA-ACA9-B7A6-FEBF9A69D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4687E-3E44-4D01-AFB6-3C0662D56E61}" name="Tabela1" displayName="Tabela1" ref="B2:H5" totalsRowShown="0">
  <tableColumns count="7">
    <tableColumn id="1" xr3:uid="{75831FAC-7C9C-4A52-8D0E-BF844163C425}" name="WSKAŹNIKI PŁYNNOŚCI - statyczne"/>
    <tableColumn id="2" xr3:uid="{349419C2-75FA-46CD-ADC5-DA35472A2174}" name="2018" dataDxfId="30"/>
    <tableColumn id="3" xr3:uid="{A3BAD4E7-59EE-4489-9543-F5121716F16E}" name="2019" dataDxfId="29"/>
    <tableColumn id="4" xr3:uid="{086B380C-56A9-4AF2-82BE-58579B54292F}" name="2020" dataDxfId="28"/>
    <tableColumn id="5" xr3:uid="{26444551-D885-442F-9834-844E82C8B0E0}" name="2021" dataDxfId="27"/>
    <tableColumn id="6" xr3:uid="{C086F11E-44D7-4338-9F26-2010289E9C52}" name="2022" dataDxfId="26"/>
    <tableColumn id="7" xr3:uid="{EA2A4934-7FD4-46BF-8D02-8EFFA426E7B6}" name="WARTOŚĆ OPTYMALNA" dataDxfId="2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A432FD-5D28-49D8-BAAB-353A6CC37463}" name="Tabela2" displayName="Tabela2" ref="B22:G23" totalsRowShown="0" headerRowDxfId="24" headerRowBorderDxfId="23" tableBorderDxfId="22">
  <tableColumns count="6">
    <tableColumn id="1" xr3:uid="{E92DFB22-671B-41E1-8958-0D45FCC4304A}" name=" "/>
    <tableColumn id="2" xr3:uid="{FAA95784-9B89-4CFF-9E61-984FFE6A90EF}" name="2018" dataDxfId="21">
      <calculatedColumnFormula>C12+C16-C20</calculatedColumnFormula>
    </tableColumn>
    <tableColumn id="3" xr3:uid="{2D5BD88A-4BE2-464A-A034-BF0CBB97A611}" name="2019" dataDxfId="20">
      <calculatedColumnFormula>D12+D16-D20</calculatedColumnFormula>
    </tableColumn>
    <tableColumn id="4" xr3:uid="{3904D098-D5C6-4903-AC39-784871C597ED}" name="2020" dataDxfId="19">
      <calculatedColumnFormula>E12+E16-E20</calculatedColumnFormula>
    </tableColumn>
    <tableColumn id="5" xr3:uid="{A8E57707-17AF-47AB-84C5-85D0EC6A4D2B}" name="2021" dataDxfId="18">
      <calculatedColumnFormula>F12+F16-F20</calculatedColumnFormula>
    </tableColumn>
    <tableColumn id="6" xr3:uid="{88755624-EB29-4FBC-B6DE-2EE5A49D0DC8}" name="2022" dataDxfId="17">
      <calculatedColumnFormula>G12+G16-G20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0ADEFE-4C95-4315-B655-FEACAF659053}" name="Tabela3" displayName="Tabela3" ref="B2:G7" totalsRowShown="0" headerRowDxfId="16" headerRowBorderDxfId="15" tableBorderDxfId="14">
  <tableColumns count="6">
    <tableColumn id="1" xr3:uid="{66598555-A727-41DE-9B6E-D821CFA70F38}" name="WSKAŹNIKI RENTOWNOŚCI"/>
    <tableColumn id="2" xr3:uid="{A40F999C-7EBE-48F3-ABFB-169DA4B0ABE3}" name="2018" dataDxfId="13"/>
    <tableColumn id="3" xr3:uid="{15AFAD2F-04AA-4A83-B277-3C9BBE3C14D4}" name="2019" dataDxfId="12"/>
    <tableColumn id="4" xr3:uid="{0E6E9828-22EA-417C-A01D-B8C20E8EF314}" name="2020" dataDxfId="11"/>
    <tableColumn id="5" xr3:uid="{556BA076-20E2-4B4C-AF27-E6050FF24B4C}" name="2021" dataDxfId="10"/>
    <tableColumn id="6" xr3:uid="{AF19E074-E939-458E-AEA1-0823B6B4264D}" name="2022" dataDxfId="9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DD7F0B-3C88-4314-890C-D2782C458584}" name="Tabela36" displayName="Tabela36" ref="B7:G12" totalsRowShown="0" headerRowDxfId="8" headerRowBorderDxfId="7" tableBorderDxfId="6">
  <tableColumns count="6">
    <tableColumn id="1" xr3:uid="{43361514-BC4B-4045-B46A-C03CD66B2E43}" name="MODEL DU POINTA"/>
    <tableColumn id="2" xr3:uid="{42FFF0DD-4331-4A5D-AC7D-27693315DCE2}" name="2018" dataDxfId="5">
      <calculatedColumnFormula>'Rachunek zysków i strat'!C3/Bilans!C18</calculatedColumnFormula>
    </tableColumn>
    <tableColumn id="3" xr3:uid="{901FCD17-2382-461C-852B-0CA7EFC4D6C1}" name="2019" dataDxfId="4"/>
    <tableColumn id="4" xr3:uid="{58C3ED69-4233-4EAB-B643-924F8B555A60}" name="2020" dataDxfId="3"/>
    <tableColumn id="5" xr3:uid="{DA4564A9-A4D9-4F73-BE25-B20148A3A023}" name="2021" dataDxfId="2"/>
    <tableColumn id="6" xr3:uid="{27D90D20-BE95-45F8-991A-2FC337B14D34}" name="2022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-0.249977111117893"/>
    <pageSetUpPr fitToPage="1"/>
  </sheetPr>
  <dimension ref="A1:AH39"/>
  <sheetViews>
    <sheetView showGridLines="0" tabSelected="1" zoomScale="40" zoomScaleNormal="40" zoomScaleSheetLayoutView="100" workbookViewId="0">
      <selection activeCell="G37" sqref="G37"/>
    </sheetView>
  </sheetViews>
  <sheetFormatPr defaultRowHeight="13" x14ac:dyDescent="0.3"/>
  <cols>
    <col min="1" max="1" width="2.69921875" style="10" customWidth="1"/>
    <col min="2" max="2" width="40.69921875" style="3" customWidth="1"/>
    <col min="3" max="5" width="23.09765625" style="3" bestFit="1" customWidth="1"/>
    <col min="6" max="6" width="23.09765625" bestFit="1" customWidth="1"/>
    <col min="7" max="7" width="22.59765625" bestFit="1" customWidth="1"/>
    <col min="8" max="8" width="10.8984375" bestFit="1" customWidth="1"/>
    <col min="9" max="9" width="43.09765625" customWidth="1"/>
    <col min="10" max="10" width="12.19921875" customWidth="1"/>
    <col min="11" max="11" width="10.59765625" customWidth="1"/>
    <col min="12" max="13" width="10" bestFit="1" customWidth="1"/>
    <col min="15" max="15" width="46.59765625" customWidth="1"/>
    <col min="16" max="16" width="12.19921875" customWidth="1"/>
    <col min="17" max="17" width="10.59765625" customWidth="1"/>
    <col min="18" max="19" width="10" bestFit="1" customWidth="1"/>
    <col min="21" max="21" width="46.59765625" customWidth="1"/>
    <col min="22" max="23" width="12.19921875" customWidth="1"/>
    <col min="24" max="24" width="10.59765625" customWidth="1"/>
    <col min="25" max="26" width="10.19921875" bestFit="1" customWidth="1"/>
    <col min="28" max="28" width="53.59765625" customWidth="1"/>
    <col min="29" max="29" width="13" customWidth="1"/>
  </cols>
  <sheetData>
    <row r="1" spans="1:34" ht="18" customHeight="1" x14ac:dyDescent="0.3">
      <c r="A1" s="10" t="s">
        <v>0</v>
      </c>
      <c r="B1" s="123" t="s">
        <v>37</v>
      </c>
      <c r="C1" s="123"/>
      <c r="D1" s="123"/>
      <c r="E1" s="125" t="s">
        <v>23</v>
      </c>
    </row>
    <row r="2" spans="1:34" ht="13.5" thickBot="1" x14ac:dyDescent="0.35">
      <c r="A2" s="10" t="s">
        <v>1</v>
      </c>
      <c r="B2" s="124"/>
      <c r="C2" s="124"/>
      <c r="D2" s="124"/>
      <c r="E2" s="126"/>
    </row>
    <row r="3" spans="1:34" ht="24.5" customHeight="1" thickTop="1" thickBot="1" x14ac:dyDescent="0.45">
      <c r="B3" s="1"/>
      <c r="C3" s="1"/>
      <c r="D3" s="11"/>
      <c r="E3" s="11"/>
    </row>
    <row r="4" spans="1:34" ht="18.75" customHeight="1" thickTop="1" thickBot="1" x14ac:dyDescent="0.4">
      <c r="B4" s="2"/>
      <c r="C4" s="28">
        <v>2018</v>
      </c>
      <c r="D4" s="28">
        <v>2019</v>
      </c>
      <c r="E4" s="29">
        <v>2020</v>
      </c>
      <c r="F4" s="29">
        <v>2021</v>
      </c>
      <c r="G4" s="29">
        <v>2022</v>
      </c>
      <c r="I4" s="34" t="s">
        <v>38</v>
      </c>
      <c r="J4" s="28">
        <v>2019</v>
      </c>
      <c r="K4" s="29">
        <v>2020</v>
      </c>
      <c r="L4" s="29">
        <v>2021</v>
      </c>
      <c r="M4" s="29">
        <v>2022</v>
      </c>
      <c r="O4" s="34" t="s">
        <v>38</v>
      </c>
      <c r="P4" s="28">
        <v>2019</v>
      </c>
      <c r="Q4" s="29">
        <v>2020</v>
      </c>
      <c r="R4" s="29">
        <v>2021</v>
      </c>
      <c r="S4" s="29">
        <v>2022</v>
      </c>
      <c r="U4" s="34" t="s">
        <v>41</v>
      </c>
      <c r="V4" s="28">
        <v>2018</v>
      </c>
      <c r="W4" s="28">
        <v>2019</v>
      </c>
      <c r="X4" s="29">
        <v>2020</v>
      </c>
      <c r="Y4" s="29">
        <v>2021</v>
      </c>
      <c r="Z4" s="29">
        <v>2022</v>
      </c>
    </row>
    <row r="5" spans="1:34" ht="21.5" customHeight="1" thickTop="1" thickBot="1" x14ac:dyDescent="0.45">
      <c r="B5" s="24"/>
      <c r="C5" s="24"/>
      <c r="E5" s="4"/>
      <c r="G5" s="23"/>
      <c r="I5" s="33" t="s">
        <v>136</v>
      </c>
      <c r="O5" s="33" t="s">
        <v>39</v>
      </c>
      <c r="U5" s="33" t="s">
        <v>140</v>
      </c>
      <c r="AB5" s="85" t="s">
        <v>144</v>
      </c>
      <c r="AC5" s="82">
        <v>2018</v>
      </c>
      <c r="AD5" s="82">
        <v>2019</v>
      </c>
      <c r="AE5" s="83">
        <v>2020</v>
      </c>
      <c r="AF5" s="83">
        <v>2021</v>
      </c>
      <c r="AG5" s="83">
        <v>2022</v>
      </c>
    </row>
    <row r="6" spans="1:34" ht="15" customHeight="1" thickTop="1" thickBot="1" x14ac:dyDescent="0.35">
      <c r="A6" s="10" t="s">
        <v>2</v>
      </c>
      <c r="B6" s="16" t="s">
        <v>17</v>
      </c>
      <c r="C6" s="20">
        <f>SUM(C7:C11)</f>
        <v>133105000</v>
      </c>
      <c r="D6" s="20">
        <f>SUM(D7:D11)</f>
        <v>131278000</v>
      </c>
      <c r="E6" s="20">
        <f>SUM(E7:E11)</f>
        <v>95035000</v>
      </c>
      <c r="F6" s="31">
        <f>SUM(F7:F11)</f>
        <v>113389000</v>
      </c>
      <c r="G6" s="20">
        <f>SUM(G7:G11)</f>
        <v>153811000</v>
      </c>
      <c r="I6" s="16" t="s">
        <v>17</v>
      </c>
      <c r="J6" s="20">
        <f>D6/C6</f>
        <v>0.98627399421509332</v>
      </c>
      <c r="K6" s="20">
        <f t="shared" ref="K6:M11" si="0">E6/D6</f>
        <v>0.72392175383537227</v>
      </c>
      <c r="L6" s="20">
        <f t="shared" si="0"/>
        <v>1.1931288472667965</v>
      </c>
      <c r="M6" s="20">
        <f t="shared" si="0"/>
        <v>1.3564896065755938</v>
      </c>
      <c r="O6" s="16" t="s">
        <v>17</v>
      </c>
      <c r="P6" s="20">
        <f>D6/$C$6</f>
        <v>0.98627399421509332</v>
      </c>
      <c r="Q6" s="20">
        <f>E6/$C$6</f>
        <v>0.71398519965440821</v>
      </c>
      <c r="R6" s="20">
        <f>F6/$C$6</f>
        <v>0.85187633822921749</v>
      </c>
      <c r="S6" s="20">
        <f>G6/$C$6</f>
        <v>1.1555613988956088</v>
      </c>
      <c r="U6" s="16" t="s">
        <v>17</v>
      </c>
      <c r="V6" s="76">
        <f>C6/C19</f>
        <v>0.67716202947655457</v>
      </c>
      <c r="W6" s="76">
        <f>D6/D19</f>
        <v>0.61154822630610484</v>
      </c>
      <c r="X6" s="76">
        <f>E6/E19</f>
        <v>0.61259943017004659</v>
      </c>
      <c r="Y6" s="76">
        <f>F6/F19</f>
        <v>0.61576935191319737</v>
      </c>
      <c r="Z6" s="76">
        <f>G6/G19</f>
        <v>0.51118681245637942</v>
      </c>
      <c r="AB6" s="51" t="s">
        <v>141</v>
      </c>
      <c r="AC6" s="84">
        <f>C6/C19</f>
        <v>0.67716202947655457</v>
      </c>
      <c r="AD6" s="84">
        <f>D6/D19</f>
        <v>0.61154822630610484</v>
      </c>
      <c r="AE6" s="84">
        <f>E6/E19</f>
        <v>0.61259943017004659</v>
      </c>
      <c r="AF6" s="84">
        <f>F6/F19</f>
        <v>0.61576935191319737</v>
      </c>
      <c r="AG6" s="84">
        <f>G6/G19</f>
        <v>0.51118681245637942</v>
      </c>
    </row>
    <row r="7" spans="1:34" ht="13.5" thickTop="1" x14ac:dyDescent="0.3">
      <c r="A7" s="10" t="s">
        <v>3</v>
      </c>
      <c r="B7" s="17" t="s">
        <v>11</v>
      </c>
      <c r="C7" s="70">
        <v>26148000</v>
      </c>
      <c r="D7" s="70">
        <v>38882000</v>
      </c>
      <c r="E7" s="70">
        <v>32029000</v>
      </c>
      <c r="F7" s="71">
        <v>22525000</v>
      </c>
      <c r="G7" s="71">
        <v>17474000</v>
      </c>
      <c r="I7" s="51" t="s">
        <v>11</v>
      </c>
      <c r="J7" s="49">
        <f t="shared" ref="J7:J17" si="1">D7/C7</f>
        <v>1.4869970934679517</v>
      </c>
      <c r="K7" s="49">
        <f>E7/D7</f>
        <v>0.82374877835502291</v>
      </c>
      <c r="L7" s="50">
        <f t="shared" si="0"/>
        <v>0.70326891254800339</v>
      </c>
      <c r="M7" s="50">
        <f t="shared" si="0"/>
        <v>0.77576026637069917</v>
      </c>
      <c r="O7" s="17" t="s">
        <v>11</v>
      </c>
      <c r="P7" s="19">
        <f>D7/$C$7</f>
        <v>1.4869970934679517</v>
      </c>
      <c r="Q7" s="19">
        <f>E7/$C$7</f>
        <v>1.224912039161695</v>
      </c>
      <c r="R7" s="19">
        <f>F7/$C$7</f>
        <v>0.86144255774820255</v>
      </c>
      <c r="S7" s="19">
        <f>G7/$C$7</f>
        <v>0.66827290806180206</v>
      </c>
      <c r="U7" s="51" t="s">
        <v>11</v>
      </c>
      <c r="V7" s="73">
        <f>C7/C6</f>
        <v>0.19644641448480524</v>
      </c>
      <c r="W7" s="73">
        <f>D7/D6</f>
        <v>0.29618062432395376</v>
      </c>
      <c r="X7" s="73">
        <f>E7/E6</f>
        <v>0.33702320197821856</v>
      </c>
      <c r="Y7" s="73">
        <f>F7/F6</f>
        <v>0.19865242660222773</v>
      </c>
      <c r="Z7" s="73">
        <f>G7/G6</f>
        <v>0.11360695919017495</v>
      </c>
      <c r="AB7" s="52" t="s">
        <v>143</v>
      </c>
      <c r="AC7" s="84">
        <f>C13/C19</f>
        <v>0.32283797052344543</v>
      </c>
      <c r="AD7" s="84">
        <f>D13/D19</f>
        <v>0.38845177369389516</v>
      </c>
      <c r="AE7" s="84">
        <f>E13/E19</f>
        <v>0.38740056982995347</v>
      </c>
      <c r="AF7" s="84">
        <f>F13/F19</f>
        <v>0.38423064808680257</v>
      </c>
      <c r="AG7" s="84">
        <f>G13/G19</f>
        <v>0.48881318754362058</v>
      </c>
    </row>
    <row r="8" spans="1:34" x14ac:dyDescent="0.3">
      <c r="B8" s="18" t="s">
        <v>12</v>
      </c>
      <c r="C8" s="70">
        <v>2338000</v>
      </c>
      <c r="D8" s="70">
        <v>2131000</v>
      </c>
      <c r="E8" s="70">
        <v>1607000</v>
      </c>
      <c r="F8" s="70">
        <v>2364000</v>
      </c>
      <c r="G8" s="70">
        <v>5785000</v>
      </c>
      <c r="I8" s="52" t="s">
        <v>12</v>
      </c>
      <c r="J8" s="49">
        <f t="shared" si="1"/>
        <v>0.91146278870829767</v>
      </c>
      <c r="K8" s="49">
        <f t="shared" si="0"/>
        <v>0.75410605349601123</v>
      </c>
      <c r="L8" s="49">
        <f t="shared" si="0"/>
        <v>1.4710640945861855</v>
      </c>
      <c r="M8" s="49">
        <f t="shared" si="0"/>
        <v>2.447123519458545</v>
      </c>
      <c r="O8" s="18" t="s">
        <v>12</v>
      </c>
      <c r="P8" s="19">
        <f>D8/$C$8</f>
        <v>0.91146278870829767</v>
      </c>
      <c r="Q8" s="19">
        <f>E8/$C$8</f>
        <v>0.68733960650128312</v>
      </c>
      <c r="R8" s="19">
        <f>F8/$C$8</f>
        <v>1.0111206159110351</v>
      </c>
      <c r="S8" s="19">
        <f>G8/$C$8</f>
        <v>2.4743370402053038</v>
      </c>
      <c r="U8" s="52" t="s">
        <v>12</v>
      </c>
      <c r="V8" s="73">
        <f>C8/C6</f>
        <v>1.756508019984223E-2</v>
      </c>
      <c r="W8" s="73">
        <f>D8/D6</f>
        <v>1.6232727494325021E-2</v>
      </c>
      <c r="X8" s="73">
        <f>E8/E6</f>
        <v>1.6909559635923607E-2</v>
      </c>
      <c r="Y8" s="73">
        <f>F8/F6</f>
        <v>2.0848583195900838E-2</v>
      </c>
      <c r="Z8" s="73">
        <f>G8/G6</f>
        <v>3.7611094135009848E-2</v>
      </c>
      <c r="AB8" s="52" t="s">
        <v>142</v>
      </c>
      <c r="AC8" s="84">
        <f>C6/C13</f>
        <v>2.0975290743483881</v>
      </c>
      <c r="AD8" s="84">
        <f>D6/D13</f>
        <v>1.5743221365440656</v>
      </c>
      <c r="AE8" s="84">
        <f>E6/E13</f>
        <v>1.5813075092763607</v>
      </c>
      <c r="AF8" s="84">
        <f>F6/F13</f>
        <v>1.6026034231764024</v>
      </c>
      <c r="AG8" s="84">
        <f>G6/G13</f>
        <v>1.045771320174872</v>
      </c>
    </row>
    <row r="9" spans="1:34" x14ac:dyDescent="0.3">
      <c r="B9" s="18" t="s">
        <v>13</v>
      </c>
      <c r="C9" s="70">
        <v>0</v>
      </c>
      <c r="D9" s="70">
        <v>0</v>
      </c>
      <c r="E9" s="70">
        <v>0</v>
      </c>
      <c r="F9" s="70">
        <v>0</v>
      </c>
      <c r="G9" s="72">
        <v>0</v>
      </c>
      <c r="I9" s="52" t="s">
        <v>13</v>
      </c>
      <c r="J9" s="49"/>
      <c r="K9" s="49"/>
      <c r="L9" s="49"/>
      <c r="M9" s="49"/>
      <c r="O9" s="18" t="s">
        <v>13</v>
      </c>
      <c r="P9" s="19"/>
      <c r="Q9" s="19"/>
      <c r="R9" s="19"/>
      <c r="S9" s="19"/>
      <c r="U9" s="52" t="s">
        <v>13</v>
      </c>
      <c r="V9" s="73">
        <f>C9/C6</f>
        <v>0</v>
      </c>
      <c r="W9" s="73">
        <f>D9/D6</f>
        <v>0</v>
      </c>
      <c r="X9" s="73">
        <f>E9/E6</f>
        <v>0</v>
      </c>
      <c r="Y9" s="73">
        <f>F9/F6</f>
        <v>0</v>
      </c>
      <c r="Z9" s="73">
        <f>G9/G6</f>
        <v>0</v>
      </c>
    </row>
    <row r="10" spans="1:34" ht="16.5" thickBot="1" x14ac:dyDescent="0.45">
      <c r="B10" s="18" t="s">
        <v>14</v>
      </c>
      <c r="C10" s="70">
        <v>86174000</v>
      </c>
      <c r="D10" s="70">
        <v>82464000</v>
      </c>
      <c r="E10" s="70">
        <v>51998000</v>
      </c>
      <c r="F10" s="70">
        <v>82490000</v>
      </c>
      <c r="G10" s="70">
        <v>118493000</v>
      </c>
      <c r="I10" s="52" t="s">
        <v>14</v>
      </c>
      <c r="J10" s="49">
        <f t="shared" si="1"/>
        <v>0.95694757119316731</v>
      </c>
      <c r="K10" s="49">
        <f t="shared" si="0"/>
        <v>0.63055393868839738</v>
      </c>
      <c r="L10" s="49">
        <f t="shared" si="0"/>
        <v>1.5864071695065194</v>
      </c>
      <c r="M10" s="49">
        <f t="shared" si="0"/>
        <v>1.4364529033822282</v>
      </c>
      <c r="O10" s="18" t="s">
        <v>14</v>
      </c>
      <c r="P10" s="19">
        <f>D10/$C$10</f>
        <v>0.95694757119316731</v>
      </c>
      <c r="Q10" s="19">
        <f>E10/$C$10</f>
        <v>0.60340706013414724</v>
      </c>
      <c r="R10" s="19">
        <f>F10/$C$10</f>
        <v>0.9572492863276626</v>
      </c>
      <c r="S10" s="19">
        <f>G10/$C$10</f>
        <v>1.3750435166059369</v>
      </c>
      <c r="U10" s="52" t="s">
        <v>14</v>
      </c>
      <c r="V10" s="73">
        <f>C10/C6</f>
        <v>0.64741369595432174</v>
      </c>
      <c r="W10" s="73">
        <f>D10/D6</f>
        <v>0.62816313472173557</v>
      </c>
      <c r="X10" s="73">
        <f>E10/E6</f>
        <v>0.54714578839374972</v>
      </c>
      <c r="Y10" s="73">
        <f>F10/F6</f>
        <v>0.72749561244917937</v>
      </c>
      <c r="Z10" s="73">
        <f>G10/G6</f>
        <v>0.77038053195155098</v>
      </c>
      <c r="AB10" s="85" t="s">
        <v>145</v>
      </c>
      <c r="AC10" s="82">
        <v>2018</v>
      </c>
      <c r="AD10" s="82">
        <v>2019</v>
      </c>
      <c r="AE10" s="83">
        <v>2020</v>
      </c>
      <c r="AF10" s="83">
        <v>2021</v>
      </c>
      <c r="AG10" s="83">
        <v>2022</v>
      </c>
    </row>
    <row r="11" spans="1:34" ht="17" customHeight="1" thickTop="1" x14ac:dyDescent="0.3">
      <c r="B11" s="87" t="s">
        <v>15</v>
      </c>
      <c r="C11" s="70">
        <v>18445000</v>
      </c>
      <c r="D11" s="70">
        <v>7801000</v>
      </c>
      <c r="E11" s="70">
        <v>9401000</v>
      </c>
      <c r="F11" s="70">
        <v>6010000</v>
      </c>
      <c r="G11" s="70">
        <v>12059000</v>
      </c>
      <c r="I11" s="52" t="s">
        <v>15</v>
      </c>
      <c r="J11" s="49">
        <f t="shared" si="1"/>
        <v>0.42293304418541611</v>
      </c>
      <c r="K11" s="49">
        <f t="shared" si="0"/>
        <v>1.205101910011537</v>
      </c>
      <c r="L11" s="49">
        <f t="shared" si="0"/>
        <v>0.63929369216040843</v>
      </c>
      <c r="M11" s="49">
        <f t="shared" si="0"/>
        <v>2.0064891846921795</v>
      </c>
      <c r="O11" s="18" t="s">
        <v>15</v>
      </c>
      <c r="P11" s="19">
        <f>D11/$C$11</f>
        <v>0.42293304418541611</v>
      </c>
      <c r="Q11" s="19">
        <f>E11/$C$11</f>
        <v>0.50967741935483868</v>
      </c>
      <c r="R11" s="19">
        <f>F11/$C$11</f>
        <v>0.32583355923014368</v>
      </c>
      <c r="S11" s="19">
        <f>G11/$C$11</f>
        <v>0.65378151260504203</v>
      </c>
      <c r="U11" s="52" t="s">
        <v>15</v>
      </c>
      <c r="V11" s="73">
        <f>C11/C6</f>
        <v>0.13857480936103075</v>
      </c>
      <c r="W11" s="73">
        <f>D11/D6</f>
        <v>5.9423513459985679E-2</v>
      </c>
      <c r="X11" s="73">
        <f>E11/E6</f>
        <v>9.8921449992108168E-2</v>
      </c>
      <c r="Y11" s="73">
        <f>F11/F6</f>
        <v>5.3003377752692059E-2</v>
      </c>
      <c r="Z11" s="73">
        <f>G11/G6</f>
        <v>7.8401414723264271E-2</v>
      </c>
      <c r="AB11" s="52" t="s">
        <v>146</v>
      </c>
      <c r="AC11" s="84">
        <f>C22/C36</f>
        <v>0.4653622502709055</v>
      </c>
      <c r="AD11" s="84">
        <f>D22/D36</f>
        <v>0.44175808818391449</v>
      </c>
      <c r="AE11" s="84">
        <f>E22/E36</f>
        <v>0.22840898835845141</v>
      </c>
      <c r="AF11" s="84">
        <f>F22/F36</f>
        <v>0.49474861791443558</v>
      </c>
      <c r="AG11" s="84">
        <f>G22/G36</f>
        <v>0.65234471069161493</v>
      </c>
    </row>
    <row r="12" spans="1:34" x14ac:dyDescent="0.3">
      <c r="B12"/>
      <c r="C12"/>
      <c r="D12"/>
      <c r="E12"/>
      <c r="V12" s="22">
        <f>SUM(V7:V11)</f>
        <v>0.99999999999999989</v>
      </c>
      <c r="W12" s="22">
        <f>SUM(W7:W11)</f>
        <v>1</v>
      </c>
      <c r="X12" s="22">
        <f>SUM(X7:X11)</f>
        <v>1</v>
      </c>
      <c r="Y12" s="22">
        <f>SUM(Y7:Y11)</f>
        <v>1</v>
      </c>
      <c r="Z12" s="22">
        <f>SUM(Z7:Z11)</f>
        <v>1</v>
      </c>
      <c r="AB12" s="52" t="s">
        <v>147</v>
      </c>
      <c r="AC12" s="84">
        <f>C30/C36</f>
        <v>0.5346377497290945</v>
      </c>
      <c r="AD12" s="84">
        <f>D30/D36</f>
        <v>0.55824191181608551</v>
      </c>
      <c r="AE12" s="84">
        <f>E30/E36</f>
        <v>0.77159101164154864</v>
      </c>
      <c r="AF12" s="84">
        <f>F30/F36</f>
        <v>0.50525138208556442</v>
      </c>
      <c r="AG12" s="84">
        <f>G30/G36</f>
        <v>0.34765528930838513</v>
      </c>
    </row>
    <row r="13" spans="1:34" ht="26.5" thickBot="1" x14ac:dyDescent="0.35">
      <c r="B13" s="16" t="s">
        <v>18</v>
      </c>
      <c r="C13" s="32">
        <f>SUM(C14:C17)</f>
        <v>63458000</v>
      </c>
      <c r="D13" s="32">
        <f>SUM(D14:D17)</f>
        <v>83387000</v>
      </c>
      <c r="E13" s="32">
        <f>SUM(E14:E17)</f>
        <v>60099000</v>
      </c>
      <c r="F13" s="31">
        <f>SUM(F14:F17)</f>
        <v>70753000</v>
      </c>
      <c r="G13" s="20">
        <f>SUM(G14:G17)</f>
        <v>147079000</v>
      </c>
      <c r="I13" s="16" t="s">
        <v>18</v>
      </c>
      <c r="J13" s="20">
        <f t="shared" si="1"/>
        <v>1.3140502379526615</v>
      </c>
      <c r="K13" s="20">
        <f>E13/D13</f>
        <v>0.7207238538381282</v>
      </c>
      <c r="L13" s="20">
        <f>F13/E13</f>
        <v>1.1772741642955789</v>
      </c>
      <c r="M13" s="20">
        <f>G13/F13</f>
        <v>2.0787669780786682</v>
      </c>
      <c r="O13" s="16" t="s">
        <v>18</v>
      </c>
      <c r="P13" s="20">
        <f>D13/$C$13</f>
        <v>1.3140502379526615</v>
      </c>
      <c r="Q13" s="20">
        <f>E13/$C$13</f>
        <v>0.94706735163415168</v>
      </c>
      <c r="R13" s="20">
        <f>F13/$C$13</f>
        <v>1.1149579249267232</v>
      </c>
      <c r="S13" s="20">
        <f>G13/$C$13</f>
        <v>2.3177377162847868</v>
      </c>
      <c r="U13" s="16" t="s">
        <v>18</v>
      </c>
      <c r="V13" s="76">
        <f>C13/C19</f>
        <v>0.32283797052344543</v>
      </c>
      <c r="W13" s="76">
        <f>D13/D19</f>
        <v>0.38845177369389516</v>
      </c>
      <c r="X13" s="76">
        <f>E13/E19</f>
        <v>0.38740056982995347</v>
      </c>
      <c r="Y13" s="76">
        <f>F13/F19</f>
        <v>0.38423064808680257</v>
      </c>
      <c r="Z13" s="76">
        <f>G13/G19</f>
        <v>0.48881318754362058</v>
      </c>
      <c r="AB13" s="52" t="s">
        <v>148</v>
      </c>
      <c r="AC13" s="84">
        <f>(C22+C32)/C36</f>
        <v>0.67214582602015638</v>
      </c>
      <c r="AD13" s="84">
        <f>(D22+D32)/D36</f>
        <v>0.59929191996832276</v>
      </c>
      <c r="AE13" s="84">
        <f>(E22+E32)/E36</f>
        <v>0.23036858457849343</v>
      </c>
      <c r="AF13" s="84">
        <f>(F22+F32)/F36</f>
        <v>0.59424248677650948</v>
      </c>
      <c r="AG13" s="84">
        <f>(G22+G32)/G36</f>
        <v>0.65688789923227753</v>
      </c>
    </row>
    <row r="14" spans="1:34" ht="13.5" thickTop="1" x14ac:dyDescent="0.3">
      <c r="B14" s="17" t="s">
        <v>19</v>
      </c>
      <c r="C14" s="71">
        <v>0</v>
      </c>
      <c r="D14" s="71">
        <v>0</v>
      </c>
      <c r="E14" s="71">
        <v>62000</v>
      </c>
      <c r="F14" s="71">
        <v>29000</v>
      </c>
      <c r="G14" s="71">
        <v>26000</v>
      </c>
      <c r="I14" s="51" t="s">
        <v>19</v>
      </c>
      <c r="J14" s="49"/>
      <c r="K14" s="49"/>
      <c r="L14" s="50">
        <f t="shared" ref="L14:M17" si="2">F14/E14</f>
        <v>0.46774193548387094</v>
      </c>
      <c r="M14" s="50">
        <f t="shared" si="2"/>
        <v>0.89655172413793105</v>
      </c>
      <c r="O14" s="17" t="s">
        <v>19</v>
      </c>
      <c r="P14" s="19"/>
      <c r="Q14" s="19"/>
      <c r="R14" s="19"/>
      <c r="S14" s="19"/>
      <c r="U14" s="51" t="s">
        <v>19</v>
      </c>
      <c r="V14" s="75">
        <f>C14/C13</f>
        <v>0</v>
      </c>
      <c r="W14" s="75">
        <f>D14/D13</f>
        <v>0</v>
      </c>
      <c r="X14" s="75">
        <f>E14/E13</f>
        <v>1.0316311419491173E-3</v>
      </c>
      <c r="Y14" s="75">
        <f>F14/F13</f>
        <v>4.0987661300580892E-4</v>
      </c>
      <c r="Z14" s="75">
        <f>G14/G13</f>
        <v>1.7677574636759837E-4</v>
      </c>
      <c r="AB14" s="52" t="s">
        <v>149</v>
      </c>
      <c r="AC14" s="84">
        <f>C22/C30</f>
        <v>0.87042534970025687</v>
      </c>
      <c r="AD14" s="84">
        <f>D22/D30</f>
        <v>0.79133808987357612</v>
      </c>
      <c r="AE14" s="84">
        <f>E22/E30</f>
        <v>0.29602339181286552</v>
      </c>
      <c r="AF14" s="84">
        <f>F22/F30</f>
        <v>0.97921279477202861</v>
      </c>
      <c r="AG14" s="84">
        <f>G22/G30</f>
        <v>1.8764124428809055</v>
      </c>
    </row>
    <row r="15" spans="1:34" x14ac:dyDescent="0.3">
      <c r="B15" s="18" t="s">
        <v>20</v>
      </c>
      <c r="C15" s="70">
        <v>41235000</v>
      </c>
      <c r="D15" s="70">
        <v>54322000</v>
      </c>
      <c r="E15" s="70">
        <v>42391000</v>
      </c>
      <c r="F15" s="70">
        <v>46202000</v>
      </c>
      <c r="G15" s="70">
        <v>78000000</v>
      </c>
      <c r="I15" s="52" t="s">
        <v>20</v>
      </c>
      <c r="J15" s="49">
        <f t="shared" si="1"/>
        <v>1.3173760155207954</v>
      </c>
      <c r="K15" s="49">
        <f>E15/D15</f>
        <v>0.78036522955708554</v>
      </c>
      <c r="L15" s="49">
        <f t="shared" si="2"/>
        <v>1.089901158264726</v>
      </c>
      <c r="M15" s="49">
        <f t="shared" si="2"/>
        <v>1.6882386043894204</v>
      </c>
      <c r="O15" s="18" t="s">
        <v>20</v>
      </c>
      <c r="P15" s="19">
        <f>D15/$C$15</f>
        <v>1.3173760155207954</v>
      </c>
      <c r="Q15" s="19">
        <f>E15/$C$15</f>
        <v>1.0280344367648842</v>
      </c>
      <c r="R15" s="19">
        <f>F15/$C$15</f>
        <v>1.1204559233660725</v>
      </c>
      <c r="S15" s="19">
        <f>G15/$C$15</f>
        <v>1.8915969443433975</v>
      </c>
      <c r="U15" s="52" t="s">
        <v>20</v>
      </c>
      <c r="V15" s="75">
        <f>C15/C13</f>
        <v>0.6497998676289829</v>
      </c>
      <c r="W15" s="75">
        <f>D15/D13</f>
        <v>0.65144446976147363</v>
      </c>
      <c r="X15" s="75">
        <f>E15/E13</f>
        <v>0.70535283448975861</v>
      </c>
      <c r="Y15" s="75">
        <f>F15/F13</f>
        <v>0.65300411289980642</v>
      </c>
      <c r="Z15" s="75">
        <f>G15/G13</f>
        <v>0.53032723910279511</v>
      </c>
    </row>
    <row r="16" spans="1:34" ht="16.5" thickBot="1" x14ac:dyDescent="0.45">
      <c r="B16" s="18" t="s">
        <v>21</v>
      </c>
      <c r="C16" s="70">
        <v>20562000</v>
      </c>
      <c r="D16" s="70">
        <v>27306000</v>
      </c>
      <c r="E16" s="70">
        <v>16153000</v>
      </c>
      <c r="F16" s="70">
        <v>21771000</v>
      </c>
      <c r="G16" s="72">
        <v>63664000</v>
      </c>
      <c r="I16" s="52" t="s">
        <v>21</v>
      </c>
      <c r="J16" s="49">
        <f t="shared" si="1"/>
        <v>1.3279836591771228</v>
      </c>
      <c r="K16" s="49">
        <f>E16/D16</f>
        <v>0.59155496960375009</v>
      </c>
      <c r="L16" s="49">
        <f t="shared" si="2"/>
        <v>1.347799170432737</v>
      </c>
      <c r="M16" s="49">
        <f t="shared" si="2"/>
        <v>2.9242570391805613</v>
      </c>
      <c r="O16" s="18" t="s">
        <v>21</v>
      </c>
      <c r="P16" s="19">
        <f>D16/$C$16</f>
        <v>1.3279836591771228</v>
      </c>
      <c r="Q16" s="19">
        <f>E16/$C$16</f>
        <v>0.78557533313879968</v>
      </c>
      <c r="R16" s="19">
        <f>F16/$C$16</f>
        <v>1.0587977823168953</v>
      </c>
      <c r="S16" s="19">
        <f>G16/$C$16</f>
        <v>3.0961968680089487</v>
      </c>
      <c r="U16" s="52" t="s">
        <v>21</v>
      </c>
      <c r="V16" s="75">
        <f>C16/C13</f>
        <v>0.32402533959469254</v>
      </c>
      <c r="W16" s="75">
        <f>D16/D13</f>
        <v>0.327461115041913</v>
      </c>
      <c r="X16" s="75">
        <f>E16/E13</f>
        <v>0.26877319090167889</v>
      </c>
      <c r="Y16" s="75">
        <f>F16/F13</f>
        <v>0.30770426695687814</v>
      </c>
      <c r="Z16" s="75">
        <f>G16/G13</f>
        <v>0.43285581218256858</v>
      </c>
      <c r="AB16" s="85" t="s">
        <v>156</v>
      </c>
      <c r="AC16" s="82">
        <v>2018</v>
      </c>
      <c r="AD16" s="82">
        <v>2019</v>
      </c>
      <c r="AE16" s="83">
        <v>2020</v>
      </c>
      <c r="AF16" s="83">
        <v>2021</v>
      </c>
      <c r="AG16" s="83">
        <v>2022</v>
      </c>
      <c r="AH16" s="86" t="s">
        <v>150</v>
      </c>
    </row>
    <row r="17" spans="1:34" ht="21" customHeight="1" thickTop="1" x14ac:dyDescent="0.3">
      <c r="A17" s="10" t="s">
        <v>4</v>
      </c>
      <c r="B17" s="88" t="s">
        <v>22</v>
      </c>
      <c r="C17" s="70">
        <v>1661000</v>
      </c>
      <c r="D17" s="70">
        <v>1759000</v>
      </c>
      <c r="E17" s="70">
        <v>1493000</v>
      </c>
      <c r="F17" s="70">
        <v>2751000</v>
      </c>
      <c r="G17" s="70">
        <v>5389000</v>
      </c>
      <c r="I17" s="52" t="s">
        <v>22</v>
      </c>
      <c r="J17" s="49">
        <f t="shared" si="1"/>
        <v>1.0590006020469596</v>
      </c>
      <c r="K17" s="49">
        <f>E17/D17</f>
        <v>0.84877771461057416</v>
      </c>
      <c r="L17" s="49">
        <f t="shared" si="2"/>
        <v>1.8425987943737441</v>
      </c>
      <c r="M17" s="49">
        <f t="shared" si="2"/>
        <v>1.9589240276263178</v>
      </c>
      <c r="O17" s="18" t="s">
        <v>22</v>
      </c>
      <c r="P17" s="19">
        <f>D17/$C$17</f>
        <v>1.0590006020469596</v>
      </c>
      <c r="Q17" s="19">
        <f>E17/$C$17</f>
        <v>0.89885611077664063</v>
      </c>
      <c r="R17" s="19">
        <f>F17/$C$17</f>
        <v>1.6562311860325105</v>
      </c>
      <c r="S17" s="19">
        <f>G17/$C$17</f>
        <v>3.2444310656231186</v>
      </c>
      <c r="U17" s="52" t="s">
        <v>22</v>
      </c>
      <c r="V17" s="75">
        <f>C17/C13</f>
        <v>2.6174792776324497E-2</v>
      </c>
      <c r="W17" s="75">
        <f>D17/D13</f>
        <v>2.109441519661338E-2</v>
      </c>
      <c r="X17" s="75">
        <f>E17/E13</f>
        <v>2.4842343466613421E-2</v>
      </c>
      <c r="Y17" s="75">
        <f>F17/F13</f>
        <v>3.8881743530309668E-2</v>
      </c>
      <c r="Z17" s="75">
        <f>G17/G13</f>
        <v>3.6640172968268755E-2</v>
      </c>
      <c r="AB17" s="52">
        <v>1</v>
      </c>
      <c r="AC17" s="84">
        <f>C6/(C22+C32)</f>
        <v>1.0074629689900771</v>
      </c>
      <c r="AD17" s="84">
        <f>D6/(D22+D32)</f>
        <v>1.0204513125063157</v>
      </c>
      <c r="AE17" s="84">
        <f>E6/(E22+E32)</f>
        <v>2.65921428171694</v>
      </c>
      <c r="AF17" s="84">
        <f>F6/(F22+F32)</f>
        <v>1.0362257253826821</v>
      </c>
      <c r="AG17" s="90">
        <f>G6/(G22+G32)</f>
        <v>0.77819489908980977</v>
      </c>
      <c r="AH17" s="89" t="s">
        <v>157</v>
      </c>
    </row>
    <row r="18" spans="1:34" x14ac:dyDescent="0.3">
      <c r="A18" s="10" t="s">
        <v>5</v>
      </c>
      <c r="B18" s="38"/>
      <c r="C18" s="5"/>
      <c r="E18" s="4"/>
      <c r="V18" s="22">
        <f>SUM(V14:V17)</f>
        <v>1</v>
      </c>
      <c r="W18" s="22">
        <f>SUM(W14:W17)</f>
        <v>1</v>
      </c>
      <c r="X18" s="22">
        <f>SUM(X14:X17)</f>
        <v>1</v>
      </c>
      <c r="Y18" s="22">
        <f>SUM(Y14:Y17)</f>
        <v>1</v>
      </c>
      <c r="Z18" s="22">
        <f>SUM(Z14:Z17)</f>
        <v>1.0000000000000002</v>
      </c>
      <c r="AB18" s="52">
        <v>2</v>
      </c>
      <c r="AC18" s="84">
        <f>C13/C33</f>
        <v>1.2575403273750545</v>
      </c>
      <c r="AD18" s="84">
        <f>D13/D33</f>
        <v>1.2595462509818138</v>
      </c>
      <c r="AE18" s="84">
        <f>E13/E33</f>
        <v>0.59710286037893312</v>
      </c>
      <c r="AF18" s="84">
        <f>F13/F33</f>
        <v>1.1173702247279733</v>
      </c>
      <c r="AG18" s="90">
        <f>G13/G33</f>
        <v>1.6673544115813221</v>
      </c>
      <c r="AH18" t="s">
        <v>154</v>
      </c>
    </row>
    <row r="19" spans="1:34" ht="17.5" thickBot="1" x14ac:dyDescent="0.45">
      <c r="A19" s="10" t="s">
        <v>6</v>
      </c>
      <c r="B19" s="6" t="s">
        <v>10</v>
      </c>
      <c r="C19" s="13">
        <f>SUM(C13,C6)</f>
        <v>196563000</v>
      </c>
      <c r="D19" s="13">
        <f>SUM(D13,D6)</f>
        <v>214665000</v>
      </c>
      <c r="E19" s="13">
        <f>SUM(E13,E6)</f>
        <v>155134000</v>
      </c>
      <c r="F19" s="13">
        <f>SUM(F6,F13)</f>
        <v>184142000</v>
      </c>
      <c r="G19" s="13">
        <f>SUM(G6,G13)</f>
        <v>300890000</v>
      </c>
      <c r="I19" s="6" t="s">
        <v>10</v>
      </c>
      <c r="J19" s="37">
        <f>D19/C19</f>
        <v>1.0920926115291281</v>
      </c>
      <c r="K19" s="37">
        <f>E19/D19</f>
        <v>0.72267952390934709</v>
      </c>
      <c r="L19" s="37">
        <f>F19/E19</f>
        <v>1.1869867340492735</v>
      </c>
      <c r="M19" s="37">
        <f>G19/F19</f>
        <v>1.6340107091266522</v>
      </c>
      <c r="O19" s="6" t="s">
        <v>10</v>
      </c>
      <c r="P19" s="37">
        <f>D19/$C$19</f>
        <v>1.0920926115291281</v>
      </c>
      <c r="Q19" s="37">
        <f>E19/$C$19</f>
        <v>0.78923296856478586</v>
      </c>
      <c r="R19" s="37">
        <f>F19/$C$19</f>
        <v>0.93680906376072814</v>
      </c>
      <c r="S19" s="37">
        <f>G19/$C$19</f>
        <v>1.5307560425919424</v>
      </c>
      <c r="U19" s="6" t="s">
        <v>10</v>
      </c>
      <c r="V19" s="37">
        <f>V6+V13</f>
        <v>1</v>
      </c>
      <c r="W19" s="37">
        <f>W6+W13</f>
        <v>1</v>
      </c>
      <c r="X19" s="37">
        <f>X6+X13</f>
        <v>1</v>
      </c>
      <c r="Y19" s="37">
        <f>Y6+Y13</f>
        <v>1</v>
      </c>
      <c r="Z19" s="37">
        <f>Z6+Z13</f>
        <v>1</v>
      </c>
    </row>
    <row r="20" spans="1:34" ht="18" thickTop="1" thickBot="1" x14ac:dyDescent="0.45">
      <c r="B20" s="7"/>
      <c r="C20" s="7"/>
      <c r="D20" s="12"/>
      <c r="E20" s="12"/>
      <c r="F20" s="12"/>
      <c r="G20" s="120">
        <f>G19/C19</f>
        <v>1.5307560425919424</v>
      </c>
      <c r="I20" s="34" t="s">
        <v>40</v>
      </c>
      <c r="J20" s="74">
        <v>2019</v>
      </c>
      <c r="K20" s="74">
        <v>2020</v>
      </c>
      <c r="L20" s="74">
        <v>2021</v>
      </c>
      <c r="M20" s="74">
        <v>2022</v>
      </c>
      <c r="O20" s="34" t="s">
        <v>40</v>
      </c>
      <c r="P20" s="74">
        <v>2019</v>
      </c>
      <c r="Q20" s="74">
        <v>2020</v>
      </c>
      <c r="R20" s="74">
        <v>2021</v>
      </c>
      <c r="S20" s="74">
        <v>2022</v>
      </c>
      <c r="U20" s="34" t="s">
        <v>42</v>
      </c>
      <c r="V20" s="74">
        <v>2018</v>
      </c>
      <c r="W20" s="74">
        <v>2019</v>
      </c>
      <c r="X20" s="74">
        <v>2020</v>
      </c>
      <c r="Y20" s="74">
        <v>2021</v>
      </c>
      <c r="Z20" s="74">
        <v>2022</v>
      </c>
      <c r="AB20" s="85" t="s">
        <v>158</v>
      </c>
      <c r="AC20" s="82">
        <v>2018</v>
      </c>
      <c r="AD20" s="82">
        <v>2019</v>
      </c>
      <c r="AE20" s="83">
        <v>2020</v>
      </c>
      <c r="AF20" s="83">
        <v>2021</v>
      </c>
      <c r="AG20" s="83">
        <v>2022</v>
      </c>
      <c r="AH20" s="86" t="s">
        <v>150</v>
      </c>
    </row>
    <row r="21" spans="1:34" ht="15.5" thickTop="1" thickBot="1" x14ac:dyDescent="0.4">
      <c r="B21" s="2"/>
      <c r="C21" s="2"/>
      <c r="E21"/>
      <c r="F21" s="3"/>
      <c r="I21" s="33" t="s">
        <v>137</v>
      </c>
      <c r="O21" s="33" t="s">
        <v>39</v>
      </c>
      <c r="U21" s="33" t="s">
        <v>43</v>
      </c>
      <c r="AB21" s="52" t="s">
        <v>151</v>
      </c>
      <c r="AC21" s="84">
        <f>C22/C6</f>
        <v>0.68722437173659889</v>
      </c>
      <c r="AD21" s="84">
        <f>D22/D6</f>
        <v>0.72236018220874787</v>
      </c>
      <c r="AE21" s="84">
        <f>E22/E6</f>
        <v>0.37285210711843003</v>
      </c>
      <c r="AF21" s="84">
        <f>F22/F6</f>
        <v>0.8034641808288282</v>
      </c>
      <c r="AG21" s="90">
        <f>G22/G6</f>
        <v>1.2761375974410152</v>
      </c>
      <c r="AH21" t="s">
        <v>155</v>
      </c>
    </row>
    <row r="22" spans="1:34" ht="27" thickTop="1" thickBot="1" x14ac:dyDescent="0.35">
      <c r="B22" s="25" t="s">
        <v>24</v>
      </c>
      <c r="C22" s="30">
        <f>SUM(C23:C28)</f>
        <v>91473000</v>
      </c>
      <c r="D22" s="30">
        <f>SUM(D23:D28)</f>
        <v>94830000</v>
      </c>
      <c r="E22" s="30">
        <f>SUM(E23:E28)</f>
        <v>35434000</v>
      </c>
      <c r="F22" s="30">
        <f>SUM(F23:F28)</f>
        <v>91104000</v>
      </c>
      <c r="G22" s="30">
        <f>SUM(G23:G28)</f>
        <v>196284000</v>
      </c>
      <c r="H22" s="21"/>
      <c r="I22" s="25" t="s">
        <v>24</v>
      </c>
      <c r="J22" s="30">
        <f>D22/C22</f>
        <v>1.0366993539077105</v>
      </c>
      <c r="K22" s="30">
        <f t="shared" ref="K22:M28" si="3">E22/D22</f>
        <v>0.3736581250659074</v>
      </c>
      <c r="L22" s="30">
        <f t="shared" si="3"/>
        <v>2.5710899136422647</v>
      </c>
      <c r="M22" s="30">
        <f t="shared" si="3"/>
        <v>2.154504741833509</v>
      </c>
      <c r="O22" s="25" t="s">
        <v>24</v>
      </c>
      <c r="P22" s="30">
        <f>D22/$C$22</f>
        <v>1.0366993539077105</v>
      </c>
      <c r="Q22" s="30">
        <f>E22/$C$22</f>
        <v>0.38737113683819269</v>
      </c>
      <c r="R22" s="30">
        <f>F22/$C$22</f>
        <v>0.9959660227608147</v>
      </c>
      <c r="S22" s="30">
        <f>G22/$C$22</f>
        <v>2.1458135187432359</v>
      </c>
      <c r="U22" s="25" t="s">
        <v>24</v>
      </c>
      <c r="V22" s="77">
        <f>C22/C36</f>
        <v>0.4653622502709055</v>
      </c>
      <c r="W22" s="77">
        <f>D22/D36</f>
        <v>0.44175808818391449</v>
      </c>
      <c r="X22" s="77">
        <f>E22/E36</f>
        <v>0.22840898835845141</v>
      </c>
      <c r="Y22" s="77">
        <f>F22/F36</f>
        <v>0.49474861791443558</v>
      </c>
      <c r="Z22" s="77">
        <f>G22/G36</f>
        <v>0.65234471069161493</v>
      </c>
      <c r="AB22" s="52" t="s">
        <v>152</v>
      </c>
      <c r="AC22" s="84">
        <f>(C22+C31+C32)/C6</f>
        <v>1.0869764471657715</v>
      </c>
      <c r="AD22" s="84">
        <f>(D22+D31+D32)/D6</f>
        <v>1.0947912064473864</v>
      </c>
      <c r="AE22" s="84">
        <f>(E22+E31+E32)/E6</f>
        <v>0.53822276003577629</v>
      </c>
      <c r="AF22" s="84">
        <f>(F22+F31+F32)/F6</f>
        <v>1.0385575320357354</v>
      </c>
      <c r="AG22" s="90">
        <f>(G22+G31+G32)/G6</f>
        <v>1.3568470395485368</v>
      </c>
      <c r="AH22" t="s">
        <v>154</v>
      </c>
    </row>
    <row r="23" spans="1:34" ht="13.5" thickTop="1" x14ac:dyDescent="0.3">
      <c r="B23" s="26" t="s">
        <v>25</v>
      </c>
      <c r="C23" s="68">
        <v>991000</v>
      </c>
      <c r="D23" s="68">
        <v>1020000</v>
      </c>
      <c r="E23" s="68">
        <v>1020000</v>
      </c>
      <c r="F23" s="68">
        <v>1020000</v>
      </c>
      <c r="G23" s="68">
        <v>1020000</v>
      </c>
      <c r="I23" s="53" t="s">
        <v>25</v>
      </c>
      <c r="J23" s="53">
        <f t="shared" ref="J23:J34" si="4">D23/C23</f>
        <v>1.029263370332997</v>
      </c>
      <c r="K23" s="53">
        <f t="shared" si="3"/>
        <v>1</v>
      </c>
      <c r="L23" s="53">
        <f t="shared" si="3"/>
        <v>1</v>
      </c>
      <c r="M23" s="53">
        <f t="shared" si="3"/>
        <v>1</v>
      </c>
      <c r="O23" s="53" t="s">
        <v>25</v>
      </c>
      <c r="P23" s="53">
        <f>D23/$C$23</f>
        <v>1.029263370332997</v>
      </c>
      <c r="Q23" s="53">
        <f>E23/$C$23</f>
        <v>1.029263370332997</v>
      </c>
      <c r="R23" s="53">
        <f>F23/$C$23</f>
        <v>1.029263370332997</v>
      </c>
      <c r="S23" s="53">
        <f>G23/$C$23</f>
        <v>1.029263370332997</v>
      </c>
      <c r="U23" s="53" t="s">
        <v>25</v>
      </c>
      <c r="V23" s="78">
        <f>C23/C22</f>
        <v>1.0833797951308037E-2</v>
      </c>
      <c r="W23" s="78">
        <f>D23/D22</f>
        <v>1.0756089844985764E-2</v>
      </c>
      <c r="X23" s="78">
        <f>E23/E22</f>
        <v>2.8785911836089632E-2</v>
      </c>
      <c r="Y23" s="78">
        <f>F23/F22</f>
        <v>1.1195995785036881E-2</v>
      </c>
      <c r="Z23" s="78">
        <f>G23/G22</f>
        <v>5.1965519349513973E-3</v>
      </c>
      <c r="AB23" s="52" t="s">
        <v>153</v>
      </c>
      <c r="AC23" s="84">
        <f>(C22+C32)/C6</f>
        <v>0.9925923143383043</v>
      </c>
      <c r="AD23" s="84">
        <f>(D22+D32)/D6</f>
        <v>0.97995856122122516</v>
      </c>
      <c r="AE23" s="84">
        <f>(E22+E32)/E6</f>
        <v>0.37605092860525069</v>
      </c>
      <c r="AF23" s="84">
        <f>(F22+F32)/F6</f>
        <v>0.96504070059705971</v>
      </c>
      <c r="AG23" s="90">
        <f>(G22+G32)/G6</f>
        <v>1.2850251282418033</v>
      </c>
      <c r="AH23" t="s">
        <v>154</v>
      </c>
    </row>
    <row r="24" spans="1:34" x14ac:dyDescent="0.3">
      <c r="B24" s="27" t="s">
        <v>32</v>
      </c>
      <c r="C24" s="69">
        <v>17287000</v>
      </c>
      <c r="D24" s="69">
        <v>4359000</v>
      </c>
      <c r="E24" s="69">
        <v>11733000</v>
      </c>
      <c r="F24" s="69">
        <v>11733000</v>
      </c>
      <c r="G24" s="69">
        <v>31660000</v>
      </c>
      <c r="I24" s="54" t="s">
        <v>32</v>
      </c>
      <c r="J24" s="54">
        <f t="shared" si="4"/>
        <v>0.25215479840342453</v>
      </c>
      <c r="K24" s="54">
        <f t="shared" si="3"/>
        <v>2.6916724019270477</v>
      </c>
      <c r="L24" s="54">
        <f t="shared" si="3"/>
        <v>1</v>
      </c>
      <c r="M24" s="54">
        <f t="shared" si="3"/>
        <v>2.6983721128441149</v>
      </c>
      <c r="O24" s="54" t="s">
        <v>32</v>
      </c>
      <c r="P24" s="54">
        <f>D24/$C$24</f>
        <v>0.25215479840342453</v>
      </c>
      <c r="Q24" s="54">
        <f>E24/$C$24</f>
        <v>0.67871811187597619</v>
      </c>
      <c r="R24" s="54">
        <f>F24/$C$24</f>
        <v>0.67871811187597619</v>
      </c>
      <c r="S24" s="54">
        <f>G24/$C$24</f>
        <v>1.8314340255683461</v>
      </c>
      <c r="U24" s="54" t="s">
        <v>32</v>
      </c>
      <c r="V24" s="79">
        <f>C24/C22</f>
        <v>0.18898472773386682</v>
      </c>
      <c r="W24" s="79">
        <f>D24/D22</f>
        <v>4.5966466308130338E-2</v>
      </c>
      <c r="X24" s="79">
        <f>E24/E22</f>
        <v>0.3311226505616075</v>
      </c>
      <c r="Y24" s="79">
        <f>F24/F22</f>
        <v>0.12878688092729187</v>
      </c>
      <c r="Z24" s="79">
        <f>G24/G22</f>
        <v>0.16129689633388355</v>
      </c>
    </row>
    <row r="25" spans="1:34" x14ac:dyDescent="0.3">
      <c r="B25" s="27" t="s">
        <v>31</v>
      </c>
      <c r="C25" s="69">
        <v>85787000</v>
      </c>
      <c r="D25" s="69">
        <v>82077000</v>
      </c>
      <c r="E25" s="69">
        <v>51610000</v>
      </c>
      <c r="F25" s="69">
        <v>82102000</v>
      </c>
      <c r="G25" s="69">
        <v>118106000</v>
      </c>
      <c r="I25" s="54" t="s">
        <v>31</v>
      </c>
      <c r="J25" s="54">
        <f t="shared" si="4"/>
        <v>0.9567533542378216</v>
      </c>
      <c r="K25" s="54">
        <f t="shared" si="3"/>
        <v>0.62879978556721128</v>
      </c>
      <c r="L25" s="54">
        <f t="shared" si="3"/>
        <v>1.5908157333850028</v>
      </c>
      <c r="M25" s="54">
        <f t="shared" si="3"/>
        <v>1.4385276850746633</v>
      </c>
      <c r="O25" s="54" t="s">
        <v>31</v>
      </c>
      <c r="P25" s="54">
        <f>D25/$C$25</f>
        <v>0.9567533542378216</v>
      </c>
      <c r="Q25" s="54">
        <f>E25/$C$25</f>
        <v>0.60160630398545234</v>
      </c>
      <c r="R25" s="54">
        <f>F25/$C$25</f>
        <v>0.95704477368365837</v>
      </c>
      <c r="S25" s="54">
        <f>G25/$C$25</f>
        <v>1.3767354027999581</v>
      </c>
      <c r="U25" s="54" t="s">
        <v>31</v>
      </c>
      <c r="V25" s="79">
        <f>C25/C22</f>
        <v>0.93783958107856968</v>
      </c>
      <c r="W25" s="79">
        <f>D25/D22</f>
        <v>0.8655172413793103</v>
      </c>
      <c r="X25" s="79">
        <f>E25/E22</f>
        <v>1.4565106959417509</v>
      </c>
      <c r="Y25" s="79">
        <f>F25/F22</f>
        <v>0.90118984896382159</v>
      </c>
      <c r="Z25" s="79">
        <f>G25/G22</f>
        <v>0.60170976747977423</v>
      </c>
    </row>
    <row r="26" spans="1:34" x14ac:dyDescent="0.3">
      <c r="B26" s="27" t="s">
        <v>33</v>
      </c>
      <c r="C26" s="69">
        <v>0</v>
      </c>
      <c r="D26" s="69">
        <v>0</v>
      </c>
      <c r="E26" s="69">
        <v>0</v>
      </c>
      <c r="F26" s="69">
        <v>0</v>
      </c>
      <c r="G26" s="69">
        <v>76000</v>
      </c>
      <c r="I26" s="54" t="s">
        <v>33</v>
      </c>
      <c r="J26" s="54"/>
      <c r="K26" s="54"/>
      <c r="L26" s="54"/>
      <c r="M26" s="54"/>
      <c r="O26" s="54" t="s">
        <v>33</v>
      </c>
      <c r="P26" s="54"/>
      <c r="Q26" s="54"/>
      <c r="R26" s="54"/>
      <c r="S26" s="54"/>
      <c r="U26" s="54" t="s">
        <v>33</v>
      </c>
      <c r="V26" s="79">
        <f>C26/C22</f>
        <v>0</v>
      </c>
      <c r="W26" s="79">
        <f>D26/D22</f>
        <v>0</v>
      </c>
      <c r="X26" s="79">
        <f>E26/E22</f>
        <v>0</v>
      </c>
      <c r="Y26" s="79">
        <f>F26/F22</f>
        <v>0</v>
      </c>
      <c r="Z26" s="79">
        <f>G26/G22</f>
        <v>3.8719406574147665E-4</v>
      </c>
    </row>
    <row r="27" spans="1:34" x14ac:dyDescent="0.3">
      <c r="B27" s="27" t="s">
        <v>138</v>
      </c>
      <c r="C27" s="69">
        <v>-764000</v>
      </c>
      <c r="D27" s="69">
        <v>-764000</v>
      </c>
      <c r="E27" s="69">
        <v>0</v>
      </c>
      <c r="F27" s="69">
        <v>-28929000</v>
      </c>
      <c r="G27" s="69">
        <v>-3751000</v>
      </c>
      <c r="I27" s="54" t="s">
        <v>138</v>
      </c>
      <c r="J27" s="54">
        <f t="shared" si="4"/>
        <v>1</v>
      </c>
      <c r="K27" s="54">
        <f>E27/D27</f>
        <v>0</v>
      </c>
      <c r="L27" s="54" t="s">
        <v>16</v>
      </c>
      <c r="M27" s="54">
        <f t="shared" si="3"/>
        <v>0.12966227660824778</v>
      </c>
      <c r="O27" s="54" t="s">
        <v>138</v>
      </c>
      <c r="P27" s="54">
        <f>D27/$C$27</f>
        <v>1</v>
      </c>
      <c r="Q27" s="54">
        <f>E27/$C$27</f>
        <v>0</v>
      </c>
      <c r="R27" s="54">
        <f>F27/$C$27</f>
        <v>37.8651832460733</v>
      </c>
      <c r="S27" s="54">
        <f>G27/$C$27</f>
        <v>4.9096858638743459</v>
      </c>
      <c r="U27" s="54" t="s">
        <v>34</v>
      </c>
      <c r="V27" s="79">
        <f>C27/C22</f>
        <v>-8.352191357012451E-3</v>
      </c>
      <c r="W27" s="79">
        <f>D27/D22</f>
        <v>-8.0565221976167875E-3</v>
      </c>
      <c r="X27" s="79">
        <f>E27/E22</f>
        <v>0</v>
      </c>
      <c r="Y27" s="79">
        <f>F27/F22</f>
        <v>-0.31753819810326661</v>
      </c>
      <c r="Z27" s="79">
        <f>G27/G22</f>
        <v>-1.9110065007845775E-2</v>
      </c>
    </row>
    <row r="28" spans="1:34" x14ac:dyDescent="0.3">
      <c r="B28" s="27" t="s">
        <v>139</v>
      </c>
      <c r="C28" s="69">
        <v>-11828000</v>
      </c>
      <c r="D28" s="69">
        <v>8138000</v>
      </c>
      <c r="E28" s="69">
        <v>-28929000</v>
      </c>
      <c r="F28" s="69">
        <v>25178000</v>
      </c>
      <c r="G28" s="69">
        <v>49173000</v>
      </c>
      <c r="I28" s="54" t="s">
        <v>139</v>
      </c>
      <c r="J28" s="54">
        <f t="shared" si="4"/>
        <v>-0.68802840716942848</v>
      </c>
      <c r="K28" s="54">
        <f t="shared" si="3"/>
        <v>-3.5548046202998278</v>
      </c>
      <c r="L28" s="54">
        <f t="shared" si="3"/>
        <v>-0.87033772339175219</v>
      </c>
      <c r="M28" s="54">
        <f t="shared" si="3"/>
        <v>1.9530145365001192</v>
      </c>
      <c r="O28" s="54" t="s">
        <v>139</v>
      </c>
      <c r="P28" s="54">
        <f>D28/$C$28</f>
        <v>-0.68802840716942848</v>
      </c>
      <c r="Q28" s="54">
        <f>E28/$C$28</f>
        <v>2.4458065607034158</v>
      </c>
      <c r="R28" s="54">
        <f>F28/$C$28</f>
        <v>-2.1286777138992221</v>
      </c>
      <c r="S28" s="54">
        <f>G28/$C$28</f>
        <v>-4.1573385187690226</v>
      </c>
      <c r="U28" s="54" t="s">
        <v>35</v>
      </c>
      <c r="V28" s="79">
        <f>C28/C22</f>
        <v>-0.12930591540673203</v>
      </c>
      <c r="W28" s="79">
        <f>D28/D22</f>
        <v>8.5816724665190344E-2</v>
      </c>
      <c r="X28" s="79">
        <f>E28/E22</f>
        <v>-0.81641925833944795</v>
      </c>
      <c r="Y28" s="79">
        <f>F28/F22</f>
        <v>0.27636547242711629</v>
      </c>
      <c r="Z28" s="79">
        <f>G28/G22</f>
        <v>0.25051965519349512</v>
      </c>
    </row>
    <row r="29" spans="1:34" x14ac:dyDescent="0.3">
      <c r="C29"/>
      <c r="D29"/>
      <c r="E29"/>
      <c r="V29" s="80">
        <f>SUM(V23:V28)</f>
        <v>1.0000000000000002</v>
      </c>
      <c r="W29" s="80">
        <f>SUM(W23:W28)</f>
        <v>0.99999999999999989</v>
      </c>
      <c r="X29" s="80">
        <f>SUM(X23:X28)</f>
        <v>1</v>
      </c>
      <c r="Y29" s="80">
        <f>SUM(Y23:Y28)</f>
        <v>1</v>
      </c>
      <c r="Z29" s="80">
        <f>SUM(Z23:Z28)</f>
        <v>1</v>
      </c>
    </row>
    <row r="30" spans="1:34" ht="13.5" thickBot="1" x14ac:dyDescent="0.35">
      <c r="B30" s="25" t="s">
        <v>26</v>
      </c>
      <c r="C30" s="30">
        <f>SUM(C31:C34)</f>
        <v>105090000</v>
      </c>
      <c r="D30" s="30">
        <f>SUM(D31:D34)</f>
        <v>119835000</v>
      </c>
      <c r="E30" s="30">
        <f>SUM(E31:E34)</f>
        <v>119700000</v>
      </c>
      <c r="F30" s="30">
        <f>SUM(F31:F34)</f>
        <v>93038000</v>
      </c>
      <c r="G30" s="30">
        <f>SUM(G31:G34)</f>
        <v>104606000</v>
      </c>
      <c r="I30" s="25" t="s">
        <v>26</v>
      </c>
      <c r="J30" s="30">
        <f t="shared" si="4"/>
        <v>1.1403083071652869</v>
      </c>
      <c r="K30" s="30">
        <f t="shared" ref="K30:M34" si="5">E30/D30</f>
        <v>0.99887345099511826</v>
      </c>
      <c r="L30" s="30">
        <f t="shared" si="5"/>
        <v>0.77725981620718465</v>
      </c>
      <c r="M30" s="30">
        <f t="shared" si="5"/>
        <v>1.1243362926976075</v>
      </c>
      <c r="O30" s="25" t="s">
        <v>26</v>
      </c>
      <c r="P30" s="30">
        <f>D30/$C$30</f>
        <v>1.1403083071652869</v>
      </c>
      <c r="Q30" s="30">
        <f>E30/$C$30</f>
        <v>1.1390236939765914</v>
      </c>
      <c r="R30" s="30">
        <f>F30/$C$30</f>
        <v>0.88531734703587406</v>
      </c>
      <c r="S30" s="30">
        <f>G30/$C$30</f>
        <v>0.99539442382719578</v>
      </c>
      <c r="U30" s="25" t="s">
        <v>26</v>
      </c>
      <c r="V30" s="77">
        <f>C30/C36</f>
        <v>0.5346377497290945</v>
      </c>
      <c r="W30" s="77">
        <f>D30/D36</f>
        <v>0.55824191181608551</v>
      </c>
      <c r="X30" s="77">
        <f>E30/E36</f>
        <v>0.77159101164154864</v>
      </c>
      <c r="Y30" s="77">
        <f>F30/F36</f>
        <v>0.50525138208556442</v>
      </c>
      <c r="Z30" s="77">
        <f>G30/G36</f>
        <v>0.34765528930838513</v>
      </c>
    </row>
    <row r="31" spans="1:34" ht="13.5" thickTop="1" x14ac:dyDescent="0.3">
      <c r="A31" s="10" t="s">
        <v>7</v>
      </c>
      <c r="B31" s="26" t="s">
        <v>27</v>
      </c>
      <c r="C31" s="68">
        <v>12563000</v>
      </c>
      <c r="D31" s="68">
        <v>15075000</v>
      </c>
      <c r="E31" s="68">
        <v>15412000</v>
      </c>
      <c r="F31" s="68">
        <v>8336000</v>
      </c>
      <c r="G31" s="68">
        <v>11047000</v>
      </c>
      <c r="I31" s="53" t="s">
        <v>27</v>
      </c>
      <c r="J31" s="53">
        <f t="shared" si="4"/>
        <v>1.1999522407068375</v>
      </c>
      <c r="K31" s="53">
        <f t="shared" si="5"/>
        <v>1.0223548922056385</v>
      </c>
      <c r="L31" s="53">
        <f t="shared" si="5"/>
        <v>0.54087723851544256</v>
      </c>
      <c r="M31" s="53">
        <f t="shared" si="5"/>
        <v>1.3252159309021114</v>
      </c>
      <c r="O31" s="53" t="s">
        <v>27</v>
      </c>
      <c r="P31" s="53">
        <f>D31/$C$31</f>
        <v>1.1999522407068375</v>
      </c>
      <c r="Q31" s="53">
        <f>E31/$C$31</f>
        <v>1.2267770436997532</v>
      </c>
      <c r="R31" s="53">
        <f>F31/$C$31</f>
        <v>0.66353577967046085</v>
      </c>
      <c r="S31" s="53">
        <f>G31/$C$31</f>
        <v>0.87932818594284801</v>
      </c>
      <c r="U31" s="53" t="s">
        <v>27</v>
      </c>
      <c r="V31" s="78">
        <f>C31/C30</f>
        <v>0.11954515177466933</v>
      </c>
      <c r="W31" s="78">
        <f>D31/D30</f>
        <v>0.1257979722117912</v>
      </c>
      <c r="X31" s="78">
        <f>E31/E30</f>
        <v>0.12875522138680034</v>
      </c>
      <c r="Y31" s="78">
        <f>F31/F30</f>
        <v>8.9597798748898297E-2</v>
      </c>
      <c r="Z31" s="78">
        <f>G31/G30</f>
        <v>0.1056057969906124</v>
      </c>
    </row>
    <row r="32" spans="1:34" x14ac:dyDescent="0.3">
      <c r="B32" s="27" t="s">
        <v>28</v>
      </c>
      <c r="C32" s="69">
        <v>40646000</v>
      </c>
      <c r="D32" s="69">
        <v>33817000</v>
      </c>
      <c r="E32" s="69">
        <v>304000</v>
      </c>
      <c r="F32" s="69">
        <v>18321000</v>
      </c>
      <c r="G32" s="69">
        <v>1367000</v>
      </c>
      <c r="I32" s="54" t="s">
        <v>28</v>
      </c>
      <c r="J32" s="54">
        <f t="shared" si="4"/>
        <v>0.83198838754120952</v>
      </c>
      <c r="K32" s="54">
        <f t="shared" si="5"/>
        <v>8.9895614631694126E-3</v>
      </c>
      <c r="L32" s="54">
        <f t="shared" si="5"/>
        <v>60.266447368421055</v>
      </c>
      <c r="M32" s="54">
        <f t="shared" si="5"/>
        <v>7.4613831122755311E-2</v>
      </c>
      <c r="O32" s="54" t="s">
        <v>28</v>
      </c>
      <c r="P32" s="54">
        <f>D32/$C$32</f>
        <v>0.83198838754120952</v>
      </c>
      <c r="Q32" s="54">
        <f>E32/$C$32</f>
        <v>7.4792107464449146E-3</v>
      </c>
      <c r="R32" s="54">
        <f>F32/$C$32</f>
        <v>0.45074546080795158</v>
      </c>
      <c r="S32" s="54">
        <f>G32/$C$32</f>
        <v>3.3631845692073017E-2</v>
      </c>
      <c r="U32" s="54" t="s">
        <v>28</v>
      </c>
      <c r="V32" s="79">
        <f>C32/C30</f>
        <v>0.38677324198306212</v>
      </c>
      <c r="W32" s="79">
        <f>D32/D30</f>
        <v>0.28219635331914716</v>
      </c>
      <c r="X32" s="79">
        <f>E32/E30</f>
        <v>2.5396825396825397E-3</v>
      </c>
      <c r="Y32" s="79">
        <f>F32/F30</f>
        <v>0.19691953825318687</v>
      </c>
      <c r="Z32" s="79">
        <f>G32/G30</f>
        <v>1.3068084048716134E-2</v>
      </c>
    </row>
    <row r="33" spans="1:26" x14ac:dyDescent="0.3">
      <c r="B33" s="27" t="s">
        <v>29</v>
      </c>
      <c r="C33" s="69">
        <v>50462000</v>
      </c>
      <c r="D33" s="69">
        <v>66204000</v>
      </c>
      <c r="E33" s="69">
        <v>100651000</v>
      </c>
      <c r="F33" s="69">
        <v>63321000</v>
      </c>
      <c r="G33" s="69">
        <v>88211000</v>
      </c>
      <c r="I33" s="54" t="s">
        <v>29</v>
      </c>
      <c r="J33" s="54">
        <f t="shared" si="4"/>
        <v>1.3119575125837264</v>
      </c>
      <c r="K33" s="54">
        <f t="shared" si="5"/>
        <v>1.5203159929913601</v>
      </c>
      <c r="L33" s="54">
        <f t="shared" si="5"/>
        <v>0.62911446483393108</v>
      </c>
      <c r="M33" s="54">
        <f t="shared" si="5"/>
        <v>1.3930765464853683</v>
      </c>
      <c r="O33" s="54" t="s">
        <v>29</v>
      </c>
      <c r="P33" s="54">
        <f>D33/$C$33</f>
        <v>1.3119575125837264</v>
      </c>
      <c r="Q33" s="54">
        <f>E33/$C$33</f>
        <v>1.9945899885062026</v>
      </c>
      <c r="R33" s="54">
        <f>F33/$C$33</f>
        <v>1.2548254131821965</v>
      </c>
      <c r="S33" s="54">
        <f>G33/$C$33</f>
        <v>1.7480678530379294</v>
      </c>
      <c r="U33" s="54" t="s">
        <v>29</v>
      </c>
      <c r="V33" s="79">
        <f>C33/C30</f>
        <v>0.48017889428109239</v>
      </c>
      <c r="W33" s="79">
        <f>D33/D30</f>
        <v>0.55245963199399173</v>
      </c>
      <c r="X33" s="79">
        <f>E33/E30</f>
        <v>0.84086048454469509</v>
      </c>
      <c r="Y33" s="79">
        <f>F33/F30</f>
        <v>0.68059287602914942</v>
      </c>
      <c r="Z33" s="79">
        <f>G33/G30</f>
        <v>0.84326902854520769</v>
      </c>
    </row>
    <row r="34" spans="1:26" x14ac:dyDescent="0.3">
      <c r="B34" s="27" t="s">
        <v>30</v>
      </c>
      <c r="C34" s="69">
        <v>1419000</v>
      </c>
      <c r="D34" s="69">
        <v>4739000</v>
      </c>
      <c r="E34" s="69">
        <v>3333000</v>
      </c>
      <c r="F34" s="69">
        <v>3060000</v>
      </c>
      <c r="G34" s="69">
        <v>3981000</v>
      </c>
      <c r="I34" s="54" t="s">
        <v>30</v>
      </c>
      <c r="J34" s="54">
        <f t="shared" si="4"/>
        <v>3.3396758280479211</v>
      </c>
      <c r="K34" s="54">
        <f t="shared" si="5"/>
        <v>0.70331293521840055</v>
      </c>
      <c r="L34" s="54">
        <f t="shared" si="5"/>
        <v>0.91809180918091804</v>
      </c>
      <c r="M34" s="54">
        <f t="shared" si="5"/>
        <v>1.3009803921568628</v>
      </c>
      <c r="O34" s="54" t="s">
        <v>30</v>
      </c>
      <c r="P34" s="54">
        <f>D34/$C$34</f>
        <v>3.3396758280479211</v>
      </c>
      <c r="Q34" s="54">
        <f>E34/$C$34</f>
        <v>2.3488372093023258</v>
      </c>
      <c r="R34" s="54">
        <f>F34/$C$34</f>
        <v>2.1564482029598309</v>
      </c>
      <c r="S34" s="54">
        <f>G34/$C$34</f>
        <v>2.8054968287526427</v>
      </c>
      <c r="U34" s="54" t="s">
        <v>30</v>
      </c>
      <c r="V34" s="79">
        <f>C34/C30</f>
        <v>1.3502711961176134E-2</v>
      </c>
      <c r="W34" s="79">
        <f>D34/D30</f>
        <v>3.954604247506989E-2</v>
      </c>
      <c r="X34" s="79">
        <f>E34/E30</f>
        <v>2.7844611528822054E-2</v>
      </c>
      <c r="Y34" s="79">
        <f>F34/F30</f>
        <v>3.2889786968765454E-2</v>
      </c>
      <c r="Z34" s="79">
        <f>G34/G30</f>
        <v>3.8057090415463742E-2</v>
      </c>
    </row>
    <row r="35" spans="1:26" x14ac:dyDescent="0.3">
      <c r="B35"/>
      <c r="C35"/>
      <c r="D35"/>
      <c r="E35"/>
      <c r="J35" s="35"/>
      <c r="K35" s="35"/>
      <c r="L35" s="35"/>
      <c r="M35" s="35"/>
      <c r="P35" s="35"/>
      <c r="Q35" s="35"/>
      <c r="R35" s="35"/>
      <c r="S35" s="35"/>
      <c r="V35" s="81">
        <f>SUM(V31:V34)</f>
        <v>1</v>
      </c>
      <c r="W35" s="81">
        <f>SUM(W31:W34)</f>
        <v>1</v>
      </c>
      <c r="X35" s="81">
        <f>SUM(X31:X34)</f>
        <v>1</v>
      </c>
      <c r="Y35" s="81">
        <f>SUM(Y31:Y34)</f>
        <v>1</v>
      </c>
      <c r="Z35" s="81">
        <f>SUM(Z31:Z34)</f>
        <v>1</v>
      </c>
    </row>
    <row r="36" spans="1:26" ht="17.5" thickBot="1" x14ac:dyDescent="0.45">
      <c r="A36" s="10" t="s">
        <v>8</v>
      </c>
      <c r="B36" s="8" t="s">
        <v>36</v>
      </c>
      <c r="C36" s="14">
        <f>SUM(C22,C30)</f>
        <v>196563000</v>
      </c>
      <c r="D36" s="14">
        <f>SUM(D22,D30)</f>
        <v>214665000</v>
      </c>
      <c r="E36" s="14">
        <f>SUM(E22,E30)</f>
        <v>155134000</v>
      </c>
      <c r="F36" s="14">
        <f>SUM(F22,F30)</f>
        <v>184142000</v>
      </c>
      <c r="G36" s="14">
        <f>SUM(G22,G30)</f>
        <v>300890000</v>
      </c>
      <c r="I36" s="8" t="s">
        <v>36</v>
      </c>
      <c r="J36" s="36">
        <f>D36/C36</f>
        <v>1.0920926115291281</v>
      </c>
      <c r="K36" s="36">
        <f>E36/D36</f>
        <v>0.72267952390934709</v>
      </c>
      <c r="L36" s="36">
        <f>F36/E36</f>
        <v>1.1869867340492735</v>
      </c>
      <c r="M36" s="36">
        <f>G36/F36</f>
        <v>1.6340107091266522</v>
      </c>
      <c r="O36" s="8" t="s">
        <v>36</v>
      </c>
      <c r="P36" s="36">
        <f>D36/$C$36</f>
        <v>1.0920926115291281</v>
      </c>
      <c r="Q36" s="36">
        <f>E36/$C$36</f>
        <v>0.78923296856478586</v>
      </c>
      <c r="R36" s="36">
        <f>F36/$C$36</f>
        <v>0.93680906376072814</v>
      </c>
      <c r="S36" s="36">
        <f>G36/$C$36</f>
        <v>1.5307560425919424</v>
      </c>
      <c r="U36" s="8" t="s">
        <v>36</v>
      </c>
      <c r="V36" s="36">
        <f>SUM(V22,V30)</f>
        <v>1</v>
      </c>
      <c r="W36" s="36">
        <f>SUM(W22,W30)</f>
        <v>1</v>
      </c>
      <c r="X36" s="36">
        <f>SUM(X22,X30)</f>
        <v>1</v>
      </c>
      <c r="Y36" s="36">
        <f>SUM(Y22,Y30)</f>
        <v>1</v>
      </c>
      <c r="Z36" s="36">
        <f>SUM(Z22,Z30)</f>
        <v>1</v>
      </c>
    </row>
    <row r="37" spans="1:26" ht="13.5" thickTop="1" x14ac:dyDescent="0.3">
      <c r="E37" s="4"/>
      <c r="F37" s="3"/>
      <c r="G37" s="4"/>
    </row>
    <row r="39" spans="1:26" ht="17" x14ac:dyDescent="0.4">
      <c r="B39" s="9"/>
      <c r="C39" s="9"/>
      <c r="D39" s="15"/>
      <c r="E39" s="15"/>
    </row>
  </sheetData>
  <mergeCells count="2">
    <mergeCell ref="B1:D2"/>
    <mergeCell ref="E1:E2"/>
  </mergeCells>
  <phoneticPr fontId="0" type="noConversion"/>
  <conditionalFormatting sqref="D39:E39">
    <cfRule type="cellIs" dxfId="0" priority="1" operator="lessThan">
      <formula>0</formula>
    </cfRule>
  </conditionalFormatting>
  <printOptions horizontalCentered="1" verticalCentered="1"/>
  <pageMargins left="0.5" right="0.5" top="0.5" bottom="0.5" header="0.5" footer="0.5"/>
  <pageSetup paperSize="9"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548B-F394-4741-A412-A5D77A6A591C}">
  <sheetPr>
    <tabColor theme="6" tint="0.39997558519241921"/>
  </sheetPr>
  <dimension ref="A2:AC45"/>
  <sheetViews>
    <sheetView zoomScale="70" zoomScaleNormal="70" workbookViewId="0">
      <selection activeCell="D46" sqref="C46:D46"/>
    </sheetView>
  </sheetViews>
  <sheetFormatPr defaultRowHeight="13" x14ac:dyDescent="0.3"/>
  <cols>
    <col min="1" max="1" width="16.5" bestFit="1" customWidth="1"/>
    <col min="2" max="2" width="51.09765625" customWidth="1"/>
    <col min="3" max="3" width="16.09765625" bestFit="1" customWidth="1"/>
    <col min="4" max="4" width="16.69921875" customWidth="1"/>
    <col min="5" max="5" width="16.09765625" bestFit="1" customWidth="1"/>
    <col min="6" max="6" width="16.69921875" customWidth="1"/>
    <col min="7" max="7" width="16.09765625" bestFit="1" customWidth="1"/>
    <col min="8" max="8" width="17.19921875" bestFit="1" customWidth="1"/>
    <col min="9" max="9" width="51" bestFit="1" customWidth="1"/>
    <col min="10" max="14" width="17.19921875" bestFit="1" customWidth="1"/>
    <col min="15" max="15" width="16.5" bestFit="1" customWidth="1"/>
    <col min="17" max="17" width="38.19921875" bestFit="1" customWidth="1"/>
    <col min="18" max="22" width="17.3984375" bestFit="1" customWidth="1"/>
    <col min="24" max="24" width="38.19921875" bestFit="1" customWidth="1"/>
    <col min="25" max="25" width="16.5" bestFit="1" customWidth="1"/>
    <col min="26" max="26" width="16.5" customWidth="1"/>
    <col min="27" max="29" width="16.5" bestFit="1" customWidth="1"/>
  </cols>
  <sheetData>
    <row r="2" spans="1:29" ht="13.5" customHeight="1" thickBot="1" x14ac:dyDescent="0.35">
      <c r="B2" s="127" t="s">
        <v>78</v>
      </c>
      <c r="C2" s="127"/>
      <c r="D2" s="127"/>
      <c r="E2" s="127"/>
      <c r="F2" s="127"/>
      <c r="G2" s="127"/>
    </row>
    <row r="3" spans="1:29" ht="13.5" thickBot="1" x14ac:dyDescent="0.35">
      <c r="B3" s="39" t="s">
        <v>59</v>
      </c>
      <c r="C3" s="40">
        <v>2018</v>
      </c>
      <c r="D3" s="40">
        <v>2019</v>
      </c>
      <c r="E3" s="40">
        <v>2020</v>
      </c>
      <c r="F3" s="40">
        <v>2021</v>
      </c>
      <c r="G3" s="41">
        <v>2022</v>
      </c>
      <c r="I3" s="33" t="s">
        <v>159</v>
      </c>
      <c r="J3" s="40">
        <v>2018</v>
      </c>
      <c r="K3" s="40">
        <v>2019</v>
      </c>
      <c r="L3" s="40">
        <v>2020</v>
      </c>
      <c r="M3" s="40">
        <v>2021</v>
      </c>
      <c r="N3" s="41">
        <v>2022</v>
      </c>
      <c r="Q3" s="33" t="s">
        <v>164</v>
      </c>
      <c r="R3" s="40">
        <v>2018</v>
      </c>
      <c r="S3" s="40">
        <v>2019</v>
      </c>
      <c r="T3" s="40">
        <v>2020</v>
      </c>
      <c r="U3" s="40">
        <v>2021</v>
      </c>
      <c r="V3" s="41">
        <v>2022</v>
      </c>
      <c r="X3" s="33" t="s">
        <v>163</v>
      </c>
      <c r="Y3" s="40">
        <v>2018</v>
      </c>
      <c r="Z3" s="40">
        <v>2019</v>
      </c>
      <c r="AA3" s="40">
        <v>2020</v>
      </c>
      <c r="AB3" s="40">
        <v>2021</v>
      </c>
      <c r="AC3" s="41">
        <v>2022</v>
      </c>
    </row>
    <row r="4" spans="1:29" ht="26.5" thickTop="1" x14ac:dyDescent="0.3">
      <c r="A4" s="22"/>
      <c r="B4" s="42" t="s">
        <v>60</v>
      </c>
      <c r="C4" s="58">
        <v>121099000</v>
      </c>
      <c r="D4" s="58">
        <v>253509000</v>
      </c>
      <c r="E4" s="58">
        <v>173974000</v>
      </c>
      <c r="F4" s="58">
        <v>305064000</v>
      </c>
      <c r="G4" s="58">
        <v>482465000</v>
      </c>
      <c r="H4" s="22"/>
      <c r="I4" s="42" t="s">
        <v>60</v>
      </c>
      <c r="K4" s="91">
        <f>D4/C4</f>
        <v>2.0934029182734788</v>
      </c>
      <c r="L4" s="91">
        <f t="shared" ref="L4:N19" si="0">E4/D4</f>
        <v>0.68626360405350495</v>
      </c>
      <c r="M4" s="91">
        <f t="shared" si="0"/>
        <v>1.7535033970593308</v>
      </c>
      <c r="N4" s="91">
        <f t="shared" si="0"/>
        <v>1.5815205989562846</v>
      </c>
      <c r="O4" s="22"/>
      <c r="P4" s="22"/>
      <c r="Q4" s="41" t="s">
        <v>160</v>
      </c>
      <c r="R4" s="94">
        <f>SUM(C4,C18,C27)</f>
        <v>133874000</v>
      </c>
      <c r="S4" s="94">
        <f>SUM(D4,D18,D27)</f>
        <v>267819000</v>
      </c>
      <c r="T4" s="94">
        <f>SUM(E4,E18,E27)</f>
        <v>185276000</v>
      </c>
      <c r="U4" s="94">
        <f>SUM(F4,F18,F27)</f>
        <v>323104000</v>
      </c>
      <c r="V4" s="94">
        <f>SUM(G4,G18,G27)</f>
        <v>502978000</v>
      </c>
      <c r="X4" s="41" t="s">
        <v>160</v>
      </c>
      <c r="Y4" s="92">
        <f>SUM(Y5:Y7)</f>
        <v>1</v>
      </c>
      <c r="Z4" s="92">
        <f>SUM(Z5:Z7)</f>
        <v>1</v>
      </c>
      <c r="AA4" s="92">
        <f>SUM(AA5:AA7)</f>
        <v>1</v>
      </c>
      <c r="AB4" s="92">
        <f>SUM(AB5:AB7)</f>
        <v>1</v>
      </c>
      <c r="AC4" s="92">
        <f>SUM(AC5:AC7)</f>
        <v>0.99999999999999989</v>
      </c>
    </row>
    <row r="5" spans="1:29" ht="26" x14ac:dyDescent="0.3">
      <c r="A5" s="22"/>
      <c r="B5" s="43" t="s">
        <v>61</v>
      </c>
      <c r="C5" s="60">
        <v>6841000</v>
      </c>
      <c r="D5" s="60">
        <v>19941000</v>
      </c>
      <c r="E5" s="60">
        <v>17546000</v>
      </c>
      <c r="F5" s="60">
        <v>304799000</v>
      </c>
      <c r="G5" s="61">
        <v>482465000</v>
      </c>
      <c r="I5" s="43" t="s">
        <v>61</v>
      </c>
      <c r="K5" s="91">
        <f t="shared" ref="K5:K44" si="1">D5/C5</f>
        <v>2.9149247186083906</v>
      </c>
      <c r="L5" s="91">
        <f t="shared" si="0"/>
        <v>0.87989569229226217</v>
      </c>
      <c r="M5" s="91">
        <f t="shared" si="0"/>
        <v>17.371423686310269</v>
      </c>
      <c r="N5" s="91">
        <f t="shared" si="0"/>
        <v>1.5828956131745839</v>
      </c>
      <c r="Q5" s="42" t="s">
        <v>60</v>
      </c>
      <c r="R5" s="22">
        <f>C4</f>
        <v>121099000</v>
      </c>
      <c r="S5" s="22">
        <f>D4</f>
        <v>253509000</v>
      </c>
      <c r="T5" s="22">
        <f>E4</f>
        <v>173974000</v>
      </c>
      <c r="U5" s="22">
        <f>F4</f>
        <v>305064000</v>
      </c>
      <c r="V5" s="22">
        <f>G4</f>
        <v>482465000</v>
      </c>
      <c r="X5" s="42" t="s">
        <v>60</v>
      </c>
      <c r="Y5" s="80">
        <f>R5/R4</f>
        <v>0.90457445060280561</v>
      </c>
      <c r="Z5" s="80">
        <f>S5/S4</f>
        <v>0.94656839133892667</v>
      </c>
      <c r="AA5" s="80">
        <f>T5/T4</f>
        <v>0.93899911483408538</v>
      </c>
      <c r="AB5" s="80">
        <f>U5/U4</f>
        <v>0.9441665841339012</v>
      </c>
      <c r="AC5" s="80">
        <f>V5/V4</f>
        <v>0.95921690411906679</v>
      </c>
    </row>
    <row r="6" spans="1:29" ht="13.5" thickBot="1" x14ac:dyDescent="0.35">
      <c r="B6" s="43" t="s">
        <v>75</v>
      </c>
      <c r="C6" s="60">
        <v>121099000</v>
      </c>
      <c r="D6" s="60">
        <v>253509000</v>
      </c>
      <c r="E6" s="60">
        <v>173974000</v>
      </c>
      <c r="F6" s="60">
        <v>265000</v>
      </c>
      <c r="G6" s="60">
        <v>0</v>
      </c>
      <c r="I6" s="43" t="s">
        <v>75</v>
      </c>
      <c r="K6" s="91">
        <f>D6/C6</f>
        <v>2.0934029182734788</v>
      </c>
      <c r="L6" s="91">
        <f t="shared" si="0"/>
        <v>0.68626360405350495</v>
      </c>
      <c r="M6" s="91">
        <f t="shared" si="0"/>
        <v>1.5232161127524803E-3</v>
      </c>
      <c r="N6" s="91">
        <f t="shared" si="0"/>
        <v>0</v>
      </c>
      <c r="Q6" s="42" t="s">
        <v>51</v>
      </c>
      <c r="R6" s="22">
        <f>C18</f>
        <v>4810000</v>
      </c>
      <c r="S6" s="22">
        <f>D18</f>
        <v>6315000</v>
      </c>
      <c r="T6" s="22">
        <f>E18</f>
        <v>4702000</v>
      </c>
      <c r="U6" s="22">
        <f>F18</f>
        <v>15715000</v>
      </c>
      <c r="V6" s="22">
        <f>G18</f>
        <v>15713000</v>
      </c>
      <c r="X6" s="42" t="s">
        <v>51</v>
      </c>
      <c r="Y6" s="80">
        <f>R6/R4</f>
        <v>3.5929306661487664E-2</v>
      </c>
      <c r="Z6" s="80">
        <f>S6/S4</f>
        <v>2.3579357700536558E-2</v>
      </c>
      <c r="AA6" s="80">
        <f>T6/T4</f>
        <v>2.5378354454975278E-2</v>
      </c>
      <c r="AB6" s="80">
        <f>U6/U4</f>
        <v>4.8637590373378232E-2</v>
      </c>
      <c r="AC6" s="80">
        <f>V6/V4</f>
        <v>3.1239934947452971E-2</v>
      </c>
    </row>
    <row r="7" spans="1:29" ht="14" thickTop="1" thickBot="1" x14ac:dyDescent="0.35">
      <c r="B7" s="42" t="s">
        <v>44</v>
      </c>
      <c r="C7" s="58">
        <v>111976000</v>
      </c>
      <c r="D7" s="58">
        <v>231950000</v>
      </c>
      <c r="E7" s="58">
        <v>192328000</v>
      </c>
      <c r="F7" s="59">
        <v>258663000</v>
      </c>
      <c r="G7" s="59">
        <v>405836000</v>
      </c>
      <c r="I7" s="42" t="s">
        <v>44</v>
      </c>
      <c r="K7" s="91">
        <f t="shared" si="1"/>
        <v>2.071426019861399</v>
      </c>
      <c r="L7" s="91">
        <f t="shared" si="0"/>
        <v>0.82917870230653157</v>
      </c>
      <c r="M7" s="91">
        <f t="shared" si="0"/>
        <v>1.3449055779709662</v>
      </c>
      <c r="N7" s="91">
        <f t="shared" si="0"/>
        <v>1.5689758488844558</v>
      </c>
      <c r="Q7" s="42" t="s">
        <v>55</v>
      </c>
      <c r="R7" s="22">
        <f>C27</f>
        <v>7965000</v>
      </c>
      <c r="S7" s="22">
        <f>D27</f>
        <v>7995000</v>
      </c>
      <c r="T7" s="22">
        <f>E27</f>
        <v>6600000</v>
      </c>
      <c r="U7" s="22">
        <f>F27</f>
        <v>2325000</v>
      </c>
      <c r="V7" s="22">
        <f>G27</f>
        <v>4800000</v>
      </c>
      <c r="X7" s="42" t="s">
        <v>55</v>
      </c>
      <c r="Y7" s="80">
        <f>R7/R4</f>
        <v>5.9496242735706709E-2</v>
      </c>
      <c r="Z7" s="80">
        <f>S7/S4</f>
        <v>2.9852250960536779E-2</v>
      </c>
      <c r="AA7" s="80">
        <f>T7/T4</f>
        <v>3.5622530710939355E-2</v>
      </c>
      <c r="AB7" s="80">
        <f>U7/U4</f>
        <v>7.1958254927206103E-3</v>
      </c>
      <c r="AC7" s="80">
        <f>V7/V4</f>
        <v>9.5431609334801926E-3</v>
      </c>
    </row>
    <row r="8" spans="1:29" x14ac:dyDescent="0.3">
      <c r="B8" s="43" t="s">
        <v>45</v>
      </c>
      <c r="C8" s="60">
        <v>9792000</v>
      </c>
      <c r="D8" s="60">
        <v>11042000</v>
      </c>
      <c r="E8" s="60">
        <v>14430000</v>
      </c>
      <c r="F8" s="60">
        <v>12542000</v>
      </c>
      <c r="G8" s="61">
        <v>11774000</v>
      </c>
      <c r="I8" s="43" t="s">
        <v>45</v>
      </c>
      <c r="K8" s="91">
        <f t="shared" si="1"/>
        <v>1.12765522875817</v>
      </c>
      <c r="L8" s="91">
        <f t="shared" si="0"/>
        <v>1.3068284731026989</v>
      </c>
      <c r="M8" s="91">
        <f t="shared" si="0"/>
        <v>0.86916146916146919</v>
      </c>
      <c r="N8" s="91">
        <f t="shared" si="0"/>
        <v>0.93876574708977834</v>
      </c>
      <c r="Q8" s="41" t="s">
        <v>161</v>
      </c>
      <c r="R8" s="94">
        <f>C7+C22+C36</f>
        <v>143276000</v>
      </c>
      <c r="S8" s="94">
        <f>D7+D22+D36</f>
        <v>256730000</v>
      </c>
      <c r="T8" s="94">
        <f>E7+E22+E36</f>
        <v>216903000</v>
      </c>
      <c r="U8" s="94">
        <f>F7+F22+F36</f>
        <v>279409000</v>
      </c>
      <c r="V8" s="94">
        <f>G7+G22+G36</f>
        <v>435087000</v>
      </c>
      <c r="X8" s="41" t="s">
        <v>161</v>
      </c>
      <c r="Y8" s="93">
        <f>SUM(Y9:Y11)</f>
        <v>1</v>
      </c>
      <c r="Z8" s="93">
        <f>SUM(Z9:Z11)</f>
        <v>1</v>
      </c>
      <c r="AA8" s="93">
        <f>SUM(AA9:AA11)</f>
        <v>1</v>
      </c>
      <c r="AB8" s="93">
        <f>SUM(AB9:AB11)</f>
        <v>1</v>
      </c>
      <c r="AC8" s="93">
        <f>SUM(AC9:AC11)</f>
        <v>1</v>
      </c>
    </row>
    <row r="9" spans="1:29" x14ac:dyDescent="0.3">
      <c r="B9" s="43" t="s">
        <v>62</v>
      </c>
      <c r="C9" s="60">
        <v>2125000</v>
      </c>
      <c r="D9" s="60">
        <v>2282000</v>
      </c>
      <c r="E9" s="60">
        <v>2366000</v>
      </c>
      <c r="F9" s="60">
        <v>972000</v>
      </c>
      <c r="G9" s="60">
        <v>2519000</v>
      </c>
      <c r="H9" s="22"/>
      <c r="I9" s="43" t="s">
        <v>62</v>
      </c>
      <c r="K9" s="91">
        <f t="shared" si="1"/>
        <v>1.0738823529411765</v>
      </c>
      <c r="L9" s="91">
        <f t="shared" si="0"/>
        <v>1.0368098159509203</v>
      </c>
      <c r="M9" s="91">
        <f t="shared" si="0"/>
        <v>0.41081994928148774</v>
      </c>
      <c r="N9" s="91">
        <f t="shared" si="0"/>
        <v>2.5915637860082303</v>
      </c>
      <c r="Q9" s="42" t="s">
        <v>44</v>
      </c>
      <c r="R9" s="22">
        <f>C7</f>
        <v>111976000</v>
      </c>
      <c r="S9" s="22">
        <f>D7</f>
        <v>231950000</v>
      </c>
      <c r="T9" s="22">
        <f>E7</f>
        <v>192328000</v>
      </c>
      <c r="U9" s="22">
        <f>F7</f>
        <v>258663000</v>
      </c>
      <c r="V9" s="22">
        <f>G7</f>
        <v>405836000</v>
      </c>
      <c r="X9" s="42" t="s">
        <v>44</v>
      </c>
      <c r="Y9" s="80">
        <f>R9/R8</f>
        <v>0.78154052318601863</v>
      </c>
      <c r="Z9" s="80">
        <f>S9/S8</f>
        <v>0.90347836248198499</v>
      </c>
      <c r="AA9" s="80">
        <f>T9/T8</f>
        <v>0.8867005066781003</v>
      </c>
      <c r="AB9" s="80">
        <f>U9/U8</f>
        <v>0.9257504232147139</v>
      </c>
      <c r="AC9" s="80">
        <f>V9/V8</f>
        <v>0.93276976788550336</v>
      </c>
    </row>
    <row r="10" spans="1:29" x14ac:dyDescent="0.3">
      <c r="B10" s="43" t="s">
        <v>46</v>
      </c>
      <c r="C10" s="60">
        <v>27829000</v>
      </c>
      <c r="D10" s="60">
        <v>68416000</v>
      </c>
      <c r="E10" s="60">
        <v>53571000</v>
      </c>
      <c r="F10" s="60">
        <v>71190000</v>
      </c>
      <c r="G10" s="60">
        <v>133141000</v>
      </c>
      <c r="I10" s="43" t="s">
        <v>46</v>
      </c>
      <c r="K10" s="91">
        <f t="shared" si="1"/>
        <v>2.4584426317869847</v>
      </c>
      <c r="L10" s="91">
        <f t="shared" si="0"/>
        <v>0.78301859214218894</v>
      </c>
      <c r="M10" s="91">
        <f t="shared" si="0"/>
        <v>1.328890631125049</v>
      </c>
      <c r="N10" s="91">
        <f t="shared" si="0"/>
        <v>1.870220536592218</v>
      </c>
      <c r="Q10" s="42" t="s">
        <v>53</v>
      </c>
      <c r="R10" s="22">
        <f>C22</f>
        <v>21723000</v>
      </c>
      <c r="S10" s="22">
        <f>D22</f>
        <v>17134000</v>
      </c>
      <c r="T10" s="22">
        <f>E22</f>
        <v>16610000</v>
      </c>
      <c r="U10" s="22">
        <f>F22</f>
        <v>10911000</v>
      </c>
      <c r="V10" s="22">
        <f>G22</f>
        <v>12931000</v>
      </c>
      <c r="X10" s="42" t="s">
        <v>53</v>
      </c>
      <c r="Y10" s="80">
        <f>R10/R8</f>
        <v>0.15161646053770345</v>
      </c>
      <c r="Z10" s="80">
        <f>S10/S8</f>
        <v>6.6739375998130332E-2</v>
      </c>
      <c r="AA10" s="80">
        <f>T10/T8</f>
        <v>7.657800952499505E-2</v>
      </c>
      <c r="AB10" s="80">
        <f>U10/U8</f>
        <v>3.9050281129097489E-2</v>
      </c>
      <c r="AC10" s="80">
        <f>V10/V8</f>
        <v>2.9720492683072582E-2</v>
      </c>
    </row>
    <row r="11" spans="1:29" ht="13.5" thickBot="1" x14ac:dyDescent="0.35">
      <c r="B11" s="43" t="s">
        <v>47</v>
      </c>
      <c r="C11" s="60">
        <v>222000</v>
      </c>
      <c r="D11" s="60">
        <v>384000</v>
      </c>
      <c r="E11" s="60">
        <v>90000</v>
      </c>
      <c r="F11" s="60">
        <v>255000</v>
      </c>
      <c r="G11" s="60">
        <v>473000</v>
      </c>
      <c r="I11" s="43" t="s">
        <v>47</v>
      </c>
      <c r="K11" s="91">
        <f t="shared" si="1"/>
        <v>1.7297297297297298</v>
      </c>
      <c r="L11" s="91">
        <f t="shared" si="0"/>
        <v>0.234375</v>
      </c>
      <c r="M11" s="91">
        <f t="shared" si="0"/>
        <v>2.8333333333333335</v>
      </c>
      <c r="N11" s="91">
        <f t="shared" si="0"/>
        <v>1.8549019607843138</v>
      </c>
      <c r="Q11" s="42" t="s">
        <v>58</v>
      </c>
      <c r="R11" s="22">
        <f>C36</f>
        <v>9577000</v>
      </c>
      <c r="S11" s="22">
        <f>D36</f>
        <v>7646000</v>
      </c>
      <c r="T11" s="22">
        <f>E36</f>
        <v>7965000</v>
      </c>
      <c r="U11" s="22">
        <f>F36</f>
        <v>9835000</v>
      </c>
      <c r="V11" s="22">
        <f>G36</f>
        <v>16320000</v>
      </c>
      <c r="X11" s="42" t="s">
        <v>58</v>
      </c>
      <c r="Y11" s="80">
        <f>R11/R8</f>
        <v>6.684301627627795E-2</v>
      </c>
      <c r="Z11" s="80">
        <f>S11/S8</f>
        <v>2.9782261519884702E-2</v>
      </c>
      <c r="AA11" s="80">
        <f>T11/T8</f>
        <v>3.6721483796904604E-2</v>
      </c>
      <c r="AB11" s="80">
        <f>U11/U8</f>
        <v>3.5199295656188595E-2</v>
      </c>
      <c r="AC11" s="80">
        <f>V11/V8</f>
        <v>3.7509739431424063E-2</v>
      </c>
    </row>
    <row r="12" spans="1:29" ht="13.5" thickBot="1" x14ac:dyDescent="0.35">
      <c r="B12" s="43" t="s">
        <v>48</v>
      </c>
      <c r="C12" s="60">
        <v>18169000</v>
      </c>
      <c r="D12" s="60">
        <v>25236000</v>
      </c>
      <c r="E12" s="60">
        <v>26093000</v>
      </c>
      <c r="F12" s="60">
        <v>34373000</v>
      </c>
      <c r="G12" s="60">
        <v>46489000</v>
      </c>
      <c r="I12" s="43" t="s">
        <v>48</v>
      </c>
      <c r="K12" s="91">
        <f t="shared" si="1"/>
        <v>1.3889592162474544</v>
      </c>
      <c r="L12" s="91">
        <f t="shared" si="0"/>
        <v>1.0339594230464415</v>
      </c>
      <c r="M12" s="91">
        <f t="shared" si="0"/>
        <v>1.3173264860307363</v>
      </c>
      <c r="N12" s="91">
        <f t="shared" si="0"/>
        <v>1.3524859628196551</v>
      </c>
      <c r="Q12" s="41" t="s">
        <v>72</v>
      </c>
      <c r="R12" s="94">
        <f>R4-R8</f>
        <v>-9402000</v>
      </c>
      <c r="S12" s="94">
        <f>S4-S8</f>
        <v>11089000</v>
      </c>
      <c r="T12" s="94">
        <f>T4-T8</f>
        <v>-31627000</v>
      </c>
      <c r="U12" s="94">
        <f>U4-U8</f>
        <v>43695000</v>
      </c>
      <c r="V12" s="94">
        <f>V4-V8</f>
        <v>67891000</v>
      </c>
      <c r="X12" s="41" t="s">
        <v>72</v>
      </c>
      <c r="Y12" s="92">
        <f>SUM(Y13:Y15)</f>
        <v>0.99999999999999989</v>
      </c>
      <c r="Z12" s="92">
        <f>SUM(Z13:Z15)</f>
        <v>1</v>
      </c>
      <c r="AA12" s="92">
        <f>SUM(AA13:AA15)</f>
        <v>1</v>
      </c>
      <c r="AB12" s="92">
        <f>SUM(AB13:AB15)</f>
        <v>1</v>
      </c>
      <c r="AC12" s="92">
        <f>SUM(AC13:AC15)</f>
        <v>1</v>
      </c>
    </row>
    <row r="13" spans="1:29" ht="13.5" thickBot="1" x14ac:dyDescent="0.35">
      <c r="B13" s="43" t="s">
        <v>63</v>
      </c>
      <c r="C13" s="60">
        <v>3278000</v>
      </c>
      <c r="D13" s="60">
        <v>5566000</v>
      </c>
      <c r="E13" s="60">
        <v>4670000</v>
      </c>
      <c r="F13" s="60">
        <v>7916000</v>
      </c>
      <c r="G13" s="60">
        <v>10021000</v>
      </c>
      <c r="I13" s="43" t="s">
        <v>63</v>
      </c>
      <c r="K13" s="91">
        <f t="shared" si="1"/>
        <v>1.6979865771812082</v>
      </c>
      <c r="L13" s="91">
        <f t="shared" si="0"/>
        <v>0.83902263744160976</v>
      </c>
      <c r="M13" s="91">
        <f t="shared" si="0"/>
        <v>1.6950749464668093</v>
      </c>
      <c r="N13" s="91">
        <f t="shared" si="0"/>
        <v>1.2659171298635674</v>
      </c>
      <c r="Q13" s="41" t="s">
        <v>73</v>
      </c>
      <c r="R13" s="94">
        <v>2426000</v>
      </c>
      <c r="S13" s="94">
        <v>2951000</v>
      </c>
      <c r="T13" s="94">
        <v>-2698000</v>
      </c>
      <c r="U13" s="94">
        <v>10491000</v>
      </c>
      <c r="V13" s="94">
        <v>14716000</v>
      </c>
      <c r="X13" s="41" t="s">
        <v>73</v>
      </c>
      <c r="Y13" s="22">
        <f>R13/R12</f>
        <v>-0.25803020633907681</v>
      </c>
      <c r="Z13" s="22">
        <f>S13/S12</f>
        <v>0.26611957796014069</v>
      </c>
      <c r="AA13" s="22">
        <f>T13/T12</f>
        <v>8.5306858064312138E-2</v>
      </c>
      <c r="AB13" s="22">
        <f>U13/U12</f>
        <v>0.24009612083762444</v>
      </c>
      <c r="AC13" s="22">
        <f>V13/V12</f>
        <v>0.21675921698015937</v>
      </c>
    </row>
    <row r="14" spans="1:29" ht="13.5" thickBot="1" x14ac:dyDescent="0.35">
      <c r="B14" s="43" t="s">
        <v>64</v>
      </c>
      <c r="C14" s="60">
        <v>1664000</v>
      </c>
      <c r="D14" s="60">
        <v>2051000</v>
      </c>
      <c r="E14" s="60">
        <v>2358000</v>
      </c>
      <c r="F14" s="60">
        <v>2196000</v>
      </c>
      <c r="G14" s="60">
        <v>2692000</v>
      </c>
      <c r="I14" s="43" t="s">
        <v>64</v>
      </c>
      <c r="K14" s="91">
        <f t="shared" si="1"/>
        <v>1.2325721153846154</v>
      </c>
      <c r="L14" s="91">
        <f t="shared" si="0"/>
        <v>1.1496830814236958</v>
      </c>
      <c r="M14" s="91">
        <f t="shared" si="0"/>
        <v>0.93129770992366412</v>
      </c>
      <c r="N14" s="91">
        <f t="shared" si="0"/>
        <v>1.2258652094717668</v>
      </c>
      <c r="Q14" s="41" t="s">
        <v>162</v>
      </c>
      <c r="R14" s="94"/>
      <c r="S14" s="94"/>
      <c r="T14" s="94"/>
      <c r="U14" s="94">
        <v>208000</v>
      </c>
      <c r="V14" s="94">
        <v>218000</v>
      </c>
      <c r="X14" s="41" t="s">
        <v>162</v>
      </c>
      <c r="Y14" s="22">
        <f>R14/R12</f>
        <v>0</v>
      </c>
      <c r="Z14" s="22">
        <f>S14/S12</f>
        <v>0</v>
      </c>
      <c r="AA14" s="22">
        <f>T14/T12</f>
        <v>0</v>
      </c>
      <c r="AB14" s="22">
        <f>U14/U12</f>
        <v>4.7602700537818969E-3</v>
      </c>
      <c r="AC14" s="22">
        <f>V14/V12</f>
        <v>3.2110294442562345E-3</v>
      </c>
    </row>
    <row r="15" spans="1:29" x14ac:dyDescent="0.3">
      <c r="B15" s="43" t="s">
        <v>49</v>
      </c>
      <c r="C15" s="60">
        <v>50561000</v>
      </c>
      <c r="D15" s="60">
        <v>119024000</v>
      </c>
      <c r="E15" s="60">
        <v>91108000</v>
      </c>
      <c r="F15" s="60">
        <v>131150000</v>
      </c>
      <c r="G15" s="60">
        <v>201419000</v>
      </c>
      <c r="I15" s="43" t="s">
        <v>49</v>
      </c>
      <c r="K15" s="91">
        <f t="shared" si="1"/>
        <v>2.354067364173968</v>
      </c>
      <c r="L15" s="91">
        <f t="shared" si="0"/>
        <v>0.76545906707890843</v>
      </c>
      <c r="M15" s="91">
        <f>F15/E15</f>
        <v>1.4395003731834746</v>
      </c>
      <c r="N15" s="91">
        <f t="shared" si="0"/>
        <v>1.5357910789172704</v>
      </c>
      <c r="Q15" s="41" t="s">
        <v>74</v>
      </c>
      <c r="R15" s="94">
        <f>R12-R13-R14</f>
        <v>-11828000</v>
      </c>
      <c r="S15" s="94">
        <f>S12-S13-S14</f>
        <v>8138000</v>
      </c>
      <c r="T15" s="94">
        <f>T12-T13-T14</f>
        <v>-28929000</v>
      </c>
      <c r="U15" s="94">
        <f>U12-U13-U14</f>
        <v>32996000</v>
      </c>
      <c r="V15" s="94">
        <f>V12-V13-V14</f>
        <v>52957000</v>
      </c>
      <c r="X15" s="41" t="s">
        <v>74</v>
      </c>
      <c r="Y15" s="22">
        <f>R15/R12</f>
        <v>1.2580302063390767</v>
      </c>
      <c r="Z15" s="22">
        <f>S15/S12</f>
        <v>0.73388042203985937</v>
      </c>
      <c r="AA15" s="22">
        <f>T15/T12</f>
        <v>0.91469314193568785</v>
      </c>
      <c r="AB15" s="22">
        <f>U15/U12</f>
        <v>0.75514360910859368</v>
      </c>
      <c r="AC15" s="22">
        <f>V15/V12</f>
        <v>0.78002975357558435</v>
      </c>
    </row>
    <row r="16" spans="1:29" ht="13.5" thickBot="1" x14ac:dyDescent="0.35">
      <c r="B16" s="43" t="s">
        <v>50</v>
      </c>
      <c r="C16" s="60">
        <v>0</v>
      </c>
      <c r="D16" s="60">
        <v>0</v>
      </c>
      <c r="E16" s="60">
        <v>0</v>
      </c>
      <c r="F16" s="60">
        <v>265000</v>
      </c>
      <c r="G16" s="60">
        <v>0</v>
      </c>
      <c r="I16" s="43" t="s">
        <v>50</v>
      </c>
      <c r="K16" s="91"/>
      <c r="L16" s="91"/>
      <c r="M16" s="91"/>
      <c r="N16" s="91">
        <f t="shared" si="0"/>
        <v>0</v>
      </c>
    </row>
    <row r="17" spans="2:14" ht="13.5" thickTop="1" x14ac:dyDescent="0.3">
      <c r="B17" s="42" t="s">
        <v>65</v>
      </c>
      <c r="C17" s="58">
        <v>9123000</v>
      </c>
      <c r="D17" s="58">
        <v>21559000</v>
      </c>
      <c r="E17" s="58">
        <v>-18354000</v>
      </c>
      <c r="F17" s="59">
        <v>46401000</v>
      </c>
      <c r="G17" s="59">
        <v>76629000</v>
      </c>
      <c r="H17" s="22"/>
      <c r="I17" s="42" t="s">
        <v>65</v>
      </c>
      <c r="K17" s="91">
        <f t="shared" si="1"/>
        <v>2.3631480872520005</v>
      </c>
      <c r="L17" s="91">
        <f t="shared" si="0"/>
        <v>-0.85133818822765439</v>
      </c>
      <c r="M17" s="91">
        <f t="shared" si="0"/>
        <v>-2.5281137626675383</v>
      </c>
      <c r="N17" s="91">
        <f t="shared" si="0"/>
        <v>1.6514514773388504</v>
      </c>
    </row>
    <row r="18" spans="2:14" ht="14.5" customHeight="1" x14ac:dyDescent="0.3">
      <c r="B18" s="42" t="s">
        <v>51</v>
      </c>
      <c r="C18" s="58">
        <v>4810000</v>
      </c>
      <c r="D18" s="58">
        <v>6315000</v>
      </c>
      <c r="E18" s="58">
        <v>4702000</v>
      </c>
      <c r="F18" s="58">
        <v>15715000</v>
      </c>
      <c r="G18" s="58">
        <v>15713000</v>
      </c>
      <c r="H18" s="22"/>
      <c r="I18" s="42" t="s">
        <v>51</v>
      </c>
      <c r="K18" s="91">
        <f t="shared" si="1"/>
        <v>1.312889812889813</v>
      </c>
      <c r="L18" s="91">
        <f t="shared" si="0"/>
        <v>0.74457640538400638</v>
      </c>
      <c r="M18" s="91">
        <f t="shared" si="0"/>
        <v>3.3421948107188428</v>
      </c>
      <c r="N18" s="91">
        <f t="shared" si="0"/>
        <v>0.99987273305758828</v>
      </c>
    </row>
    <row r="19" spans="2:14" hidden="1" x14ac:dyDescent="0.3">
      <c r="B19" s="43" t="s">
        <v>66</v>
      </c>
      <c r="C19" s="60">
        <v>25000</v>
      </c>
      <c r="D19" s="60">
        <v>6000</v>
      </c>
      <c r="E19" s="60">
        <v>0</v>
      </c>
      <c r="F19" s="58">
        <v>0</v>
      </c>
      <c r="G19" s="58">
        <v>214000</v>
      </c>
      <c r="I19" s="43" t="s">
        <v>66</v>
      </c>
      <c r="K19" s="91">
        <f t="shared" si="1"/>
        <v>0.24</v>
      </c>
      <c r="L19" s="91">
        <f t="shared" si="0"/>
        <v>0</v>
      </c>
      <c r="M19" s="91" t="e">
        <f t="shared" si="0"/>
        <v>#DIV/0!</v>
      </c>
      <c r="N19" s="91" t="e">
        <f t="shared" si="0"/>
        <v>#DIV/0!</v>
      </c>
    </row>
    <row r="20" spans="2:14" hidden="1" x14ac:dyDescent="0.3">
      <c r="B20" s="43" t="s">
        <v>67</v>
      </c>
      <c r="C20" s="60">
        <v>0</v>
      </c>
      <c r="D20" s="60">
        <v>510000</v>
      </c>
      <c r="E20" s="60">
        <v>200000</v>
      </c>
      <c r="F20" s="58">
        <v>93000</v>
      </c>
      <c r="G20" s="58">
        <v>811000</v>
      </c>
      <c r="I20" s="43" t="s">
        <v>67</v>
      </c>
      <c r="K20" s="91" t="e">
        <f t="shared" si="1"/>
        <v>#DIV/0!</v>
      </c>
      <c r="L20" s="91">
        <f t="shared" ref="L20:L44" si="2">E20/D20</f>
        <v>0.39215686274509803</v>
      </c>
      <c r="M20" s="91">
        <f t="shared" ref="M20:M44" si="3">F20/E20</f>
        <v>0.46500000000000002</v>
      </c>
      <c r="N20" s="91">
        <f t="shared" ref="N20:N44" si="4">G20/F20</f>
        <v>8.720430107526882</v>
      </c>
    </row>
    <row r="21" spans="2:14" hidden="1" x14ac:dyDescent="0.3">
      <c r="B21" s="43" t="s">
        <v>52</v>
      </c>
      <c r="C21" s="60">
        <v>4785000</v>
      </c>
      <c r="D21" s="60">
        <v>5799000</v>
      </c>
      <c r="E21" s="60">
        <v>4502000</v>
      </c>
      <c r="F21" s="58">
        <v>15622000</v>
      </c>
      <c r="G21" s="58">
        <v>14688000</v>
      </c>
      <c r="I21" s="43" t="s">
        <v>52</v>
      </c>
      <c r="K21" s="91">
        <f t="shared" si="1"/>
        <v>1.2119122257053292</v>
      </c>
      <c r="L21" s="91">
        <f t="shared" si="2"/>
        <v>0.77634074840489742</v>
      </c>
      <c r="M21" s="91">
        <f t="shared" si="3"/>
        <v>3.4700133274100398</v>
      </c>
      <c r="N21" s="91">
        <f t="shared" si="4"/>
        <v>0.94021252080399431</v>
      </c>
    </row>
    <row r="22" spans="2:14" x14ac:dyDescent="0.3">
      <c r="B22" s="42" t="s">
        <v>53</v>
      </c>
      <c r="C22" s="58">
        <v>21723000</v>
      </c>
      <c r="D22" s="58">
        <v>17134000</v>
      </c>
      <c r="E22" s="58">
        <v>16610000</v>
      </c>
      <c r="F22" s="58">
        <v>10911000</v>
      </c>
      <c r="G22" s="58">
        <v>12931000</v>
      </c>
      <c r="I22" s="42" t="s">
        <v>53</v>
      </c>
      <c r="K22" s="91">
        <f t="shared" si="1"/>
        <v>0.78874925194494316</v>
      </c>
      <c r="L22" s="91">
        <f t="shared" si="2"/>
        <v>0.96941753239173578</v>
      </c>
      <c r="M22" s="91">
        <f t="shared" si="3"/>
        <v>0.65689343768813968</v>
      </c>
      <c r="N22" s="91">
        <f t="shared" si="4"/>
        <v>1.185134268169737</v>
      </c>
    </row>
    <row r="23" spans="2:14" hidden="1" x14ac:dyDescent="0.3">
      <c r="B23" s="44" t="s">
        <v>79</v>
      </c>
      <c r="C23" s="60">
        <v>0</v>
      </c>
      <c r="D23" s="60">
        <v>0</v>
      </c>
      <c r="E23" s="60">
        <v>1202000</v>
      </c>
      <c r="F23" s="58">
        <v>0</v>
      </c>
      <c r="G23" s="58">
        <v>0</v>
      </c>
      <c r="I23" s="44" t="s">
        <v>79</v>
      </c>
      <c r="K23" s="91" t="e">
        <f t="shared" si="1"/>
        <v>#DIV/0!</v>
      </c>
      <c r="L23" s="91" t="e">
        <f t="shared" si="2"/>
        <v>#DIV/0!</v>
      </c>
      <c r="M23" s="91">
        <f t="shared" si="3"/>
        <v>0</v>
      </c>
      <c r="N23" s="91" t="e">
        <f t="shared" si="4"/>
        <v>#DIV/0!</v>
      </c>
    </row>
    <row r="24" spans="2:14" hidden="1" x14ac:dyDescent="0.3">
      <c r="B24" s="43" t="s">
        <v>67</v>
      </c>
      <c r="C24" s="60">
        <v>16550000</v>
      </c>
      <c r="D24" s="60">
        <v>3702000</v>
      </c>
      <c r="E24" s="60">
        <v>4420000</v>
      </c>
      <c r="F24" s="58">
        <v>360000</v>
      </c>
      <c r="G24" s="58">
        <v>0</v>
      </c>
      <c r="I24" s="43" t="s">
        <v>67</v>
      </c>
      <c r="K24" s="91">
        <f t="shared" si="1"/>
        <v>0.2236858006042296</v>
      </c>
      <c r="L24" s="91">
        <f t="shared" si="2"/>
        <v>1.1939492166396541</v>
      </c>
      <c r="M24" s="91">
        <f t="shared" si="3"/>
        <v>8.1447963800904979E-2</v>
      </c>
      <c r="N24" s="91">
        <f t="shared" si="4"/>
        <v>0</v>
      </c>
    </row>
    <row r="25" spans="2:14" hidden="1" x14ac:dyDescent="0.3">
      <c r="B25" s="43" t="s">
        <v>54</v>
      </c>
      <c r="C25" s="60">
        <v>5173000</v>
      </c>
      <c r="D25" s="60">
        <v>13432000</v>
      </c>
      <c r="E25" s="60">
        <v>10988000</v>
      </c>
      <c r="F25" s="58">
        <v>10551000</v>
      </c>
      <c r="G25" s="58">
        <v>12931000</v>
      </c>
      <c r="H25" s="22"/>
      <c r="I25" s="43" t="s">
        <v>54</v>
      </c>
      <c r="K25" s="91">
        <f t="shared" si="1"/>
        <v>2.5965590566402472</v>
      </c>
      <c r="L25" s="91">
        <f t="shared" si="2"/>
        <v>0.81804645622394279</v>
      </c>
      <c r="M25" s="91">
        <f t="shared" si="3"/>
        <v>0.96022934109938118</v>
      </c>
      <c r="N25" s="91">
        <f t="shared" si="4"/>
        <v>1.2255710359207659</v>
      </c>
    </row>
    <row r="26" spans="2:14" x14ac:dyDescent="0.3">
      <c r="B26" s="42" t="s">
        <v>68</v>
      </c>
      <c r="C26" s="58">
        <v>-7790000</v>
      </c>
      <c r="D26" s="58">
        <v>10740000</v>
      </c>
      <c r="E26" s="58">
        <v>-30262000</v>
      </c>
      <c r="F26" s="58">
        <v>51205000</v>
      </c>
      <c r="G26" s="58">
        <v>79411000</v>
      </c>
      <c r="I26" s="42" t="s">
        <v>68</v>
      </c>
      <c r="K26" s="91">
        <f t="shared" si="1"/>
        <v>-1.3786906290115533</v>
      </c>
      <c r="L26" s="91">
        <f t="shared" si="2"/>
        <v>-2.8176908752327745</v>
      </c>
      <c r="M26" s="91">
        <f t="shared" si="3"/>
        <v>-1.6920560438834182</v>
      </c>
      <c r="N26" s="91">
        <f t="shared" si="4"/>
        <v>1.5508446440777268</v>
      </c>
    </row>
    <row r="27" spans="2:14" x14ac:dyDescent="0.3">
      <c r="B27" s="42" t="s">
        <v>55</v>
      </c>
      <c r="C27" s="58">
        <v>7965000</v>
      </c>
      <c r="D27" s="58">
        <v>7995000</v>
      </c>
      <c r="E27" s="58">
        <v>6600000</v>
      </c>
      <c r="F27" s="58">
        <f>F30+F35</f>
        <v>2325000</v>
      </c>
      <c r="G27" s="58">
        <v>4800000</v>
      </c>
      <c r="H27" s="22"/>
      <c r="I27" s="42" t="s">
        <v>55</v>
      </c>
      <c r="K27" s="91">
        <f t="shared" si="1"/>
        <v>1.0037664783427496</v>
      </c>
      <c r="L27" s="91">
        <f t="shared" si="2"/>
        <v>0.82551594746716694</v>
      </c>
      <c r="M27" s="91">
        <f t="shared" si="3"/>
        <v>0.35227272727272729</v>
      </c>
      <c r="N27" s="91">
        <f t="shared" si="4"/>
        <v>2.064516129032258</v>
      </c>
    </row>
    <row r="28" spans="2:14" hidden="1" x14ac:dyDescent="0.3">
      <c r="B28" s="43" t="s">
        <v>69</v>
      </c>
      <c r="C28" s="60">
        <v>7735000</v>
      </c>
      <c r="D28" s="60">
        <v>7551000</v>
      </c>
      <c r="E28" s="60">
        <v>5936000</v>
      </c>
      <c r="F28" s="58">
        <v>0</v>
      </c>
      <c r="G28" s="58">
        <v>0</v>
      </c>
      <c r="H28" s="22"/>
      <c r="I28" s="43" t="s">
        <v>69</v>
      </c>
      <c r="K28" s="91">
        <f t="shared" si="1"/>
        <v>0.97621202327084677</v>
      </c>
      <c r="L28" s="91">
        <f t="shared" si="2"/>
        <v>0.78612104357038803</v>
      </c>
      <c r="M28" s="91">
        <f t="shared" si="3"/>
        <v>0</v>
      </c>
      <c r="N28" s="91" t="e">
        <f t="shared" si="4"/>
        <v>#DIV/0!</v>
      </c>
    </row>
    <row r="29" spans="2:14" hidden="1" x14ac:dyDescent="0.3">
      <c r="B29" s="43" t="s">
        <v>70</v>
      </c>
      <c r="C29" s="60">
        <v>7735000</v>
      </c>
      <c r="D29" s="60">
        <v>7551000</v>
      </c>
      <c r="E29" s="60">
        <v>5936000</v>
      </c>
      <c r="F29" s="58">
        <v>0</v>
      </c>
      <c r="G29" s="58">
        <v>0</v>
      </c>
      <c r="I29" s="43" t="s">
        <v>70</v>
      </c>
      <c r="K29" s="91">
        <f t="shared" si="1"/>
        <v>0.97621202327084677</v>
      </c>
      <c r="L29" s="91">
        <f t="shared" si="2"/>
        <v>0.78612104357038803</v>
      </c>
      <c r="M29" s="91">
        <f t="shared" si="3"/>
        <v>0</v>
      </c>
      <c r="N29" s="91" t="e">
        <f t="shared" si="4"/>
        <v>#DIV/0!</v>
      </c>
    </row>
    <row r="30" spans="2:14" hidden="1" x14ac:dyDescent="0.3">
      <c r="B30" s="43" t="s">
        <v>56</v>
      </c>
      <c r="C30" s="58">
        <v>226000</v>
      </c>
      <c r="D30" s="58">
        <v>220000</v>
      </c>
      <c r="E30" s="58">
        <v>156000</v>
      </c>
      <c r="F30" s="58">
        <v>95000</v>
      </c>
      <c r="G30" s="58">
        <v>491000</v>
      </c>
      <c r="I30" s="43" t="s">
        <v>56</v>
      </c>
      <c r="K30" s="91">
        <f t="shared" si="1"/>
        <v>0.97345132743362828</v>
      </c>
      <c r="L30" s="91">
        <f t="shared" si="2"/>
        <v>0.70909090909090911</v>
      </c>
      <c r="M30" s="91">
        <f t="shared" si="3"/>
        <v>0.60897435897435892</v>
      </c>
      <c r="N30" s="91">
        <f t="shared" si="4"/>
        <v>5.1684210526315786</v>
      </c>
    </row>
    <row r="31" spans="2:14" hidden="1" x14ac:dyDescent="0.3">
      <c r="B31" s="43" t="s">
        <v>61</v>
      </c>
      <c r="C31" s="58">
        <v>210000</v>
      </c>
      <c r="D31" s="58">
        <v>213000</v>
      </c>
      <c r="E31" s="58">
        <v>142000</v>
      </c>
      <c r="F31" s="58">
        <v>32000</v>
      </c>
      <c r="G31" s="58">
        <v>0</v>
      </c>
      <c r="I31" s="43" t="s">
        <v>61</v>
      </c>
      <c r="K31" s="91">
        <f t="shared" si="1"/>
        <v>1.0142857142857142</v>
      </c>
      <c r="L31" s="91">
        <f t="shared" si="2"/>
        <v>0.66666666666666663</v>
      </c>
      <c r="M31" s="91">
        <f t="shared" si="3"/>
        <v>0.22535211267605634</v>
      </c>
      <c r="N31" s="91">
        <f t="shared" si="4"/>
        <v>0</v>
      </c>
    </row>
    <row r="32" spans="2:14" hidden="1" x14ac:dyDescent="0.3">
      <c r="B32" s="43" t="s">
        <v>57</v>
      </c>
      <c r="C32" s="60">
        <v>0</v>
      </c>
      <c r="D32" s="60">
        <v>0</v>
      </c>
      <c r="E32" s="60">
        <v>0</v>
      </c>
      <c r="F32" s="58">
        <v>0</v>
      </c>
      <c r="G32" s="58">
        <v>430000</v>
      </c>
      <c r="I32" s="43" t="s">
        <v>57</v>
      </c>
      <c r="K32" s="91" t="e">
        <f t="shared" si="1"/>
        <v>#DIV/0!</v>
      </c>
      <c r="L32" s="91" t="e">
        <f t="shared" si="2"/>
        <v>#DIV/0!</v>
      </c>
      <c r="M32" s="91" t="e">
        <f t="shared" si="3"/>
        <v>#DIV/0!</v>
      </c>
      <c r="N32" s="91" t="e">
        <f t="shared" si="4"/>
        <v>#DIV/0!</v>
      </c>
    </row>
    <row r="33" spans="2:14" hidden="1" x14ac:dyDescent="0.3">
      <c r="B33" s="43" t="s">
        <v>76</v>
      </c>
      <c r="C33" s="60">
        <v>0</v>
      </c>
      <c r="D33" s="60">
        <v>0</v>
      </c>
      <c r="E33" s="60">
        <v>17000</v>
      </c>
      <c r="F33" s="58">
        <v>0</v>
      </c>
      <c r="G33" s="58">
        <v>0</v>
      </c>
      <c r="I33" s="43" t="s">
        <v>76</v>
      </c>
      <c r="K33" s="91" t="e">
        <f t="shared" si="1"/>
        <v>#DIV/0!</v>
      </c>
      <c r="L33" s="91" t="e">
        <f t="shared" si="2"/>
        <v>#DIV/0!</v>
      </c>
      <c r="M33" s="91">
        <f t="shared" si="3"/>
        <v>0</v>
      </c>
      <c r="N33" s="91" t="e">
        <f t="shared" si="4"/>
        <v>#DIV/0!</v>
      </c>
    </row>
    <row r="34" spans="2:14" hidden="1" x14ac:dyDescent="0.3">
      <c r="B34" s="43" t="s">
        <v>77</v>
      </c>
      <c r="C34" s="60">
        <v>0</v>
      </c>
      <c r="D34" s="60">
        <v>0</v>
      </c>
      <c r="E34" s="60">
        <v>17000</v>
      </c>
      <c r="F34" s="58">
        <v>0</v>
      </c>
      <c r="G34" s="58">
        <v>0</v>
      </c>
      <c r="I34" s="43" t="s">
        <v>77</v>
      </c>
      <c r="K34" s="91" t="e">
        <f t="shared" si="1"/>
        <v>#DIV/0!</v>
      </c>
      <c r="L34" s="91" t="e">
        <f t="shared" si="2"/>
        <v>#DIV/0!</v>
      </c>
      <c r="M34" s="91">
        <f t="shared" si="3"/>
        <v>0</v>
      </c>
      <c r="N34" s="91" t="e">
        <f t="shared" si="4"/>
        <v>#DIV/0!</v>
      </c>
    </row>
    <row r="35" spans="2:14" hidden="1" x14ac:dyDescent="0.3">
      <c r="B35" s="43" t="s">
        <v>9</v>
      </c>
      <c r="C35" s="58">
        <v>4000</v>
      </c>
      <c r="D35" s="58">
        <v>224000</v>
      </c>
      <c r="E35" s="58">
        <v>491000</v>
      </c>
      <c r="F35" s="58">
        <f>743000+1487000</f>
        <v>2230000</v>
      </c>
      <c r="G35" s="58">
        <v>3879000</v>
      </c>
      <c r="I35" s="43" t="s">
        <v>9</v>
      </c>
      <c r="K35" s="91">
        <f t="shared" si="1"/>
        <v>56</v>
      </c>
      <c r="L35" s="91">
        <f t="shared" si="2"/>
        <v>2.1919642857142856</v>
      </c>
      <c r="M35" s="91">
        <f t="shared" si="3"/>
        <v>4.5417515274949087</v>
      </c>
      <c r="N35" s="91">
        <f t="shared" si="4"/>
        <v>1.7394618834080717</v>
      </c>
    </row>
    <row r="36" spans="2:14" x14ac:dyDescent="0.3">
      <c r="B36" s="42" t="s">
        <v>58</v>
      </c>
      <c r="C36" s="58">
        <v>9577000</v>
      </c>
      <c r="D36" s="58">
        <v>7646000</v>
      </c>
      <c r="E36" s="58">
        <v>7965000</v>
      </c>
      <c r="F36" s="58">
        <v>9835000</v>
      </c>
      <c r="G36" s="58">
        <v>16320000</v>
      </c>
      <c r="H36" s="22"/>
      <c r="I36" s="42" t="s">
        <v>58</v>
      </c>
      <c r="K36" s="91">
        <f t="shared" si="1"/>
        <v>0.79837109742090429</v>
      </c>
      <c r="L36" s="91">
        <f t="shared" si="2"/>
        <v>1.0417211613915773</v>
      </c>
      <c r="M36" s="91">
        <f t="shared" si="3"/>
        <v>1.2347771500313873</v>
      </c>
      <c r="N36" s="91">
        <f t="shared" si="4"/>
        <v>1.6593797661413319</v>
      </c>
    </row>
    <row r="37" spans="2:14" hidden="1" x14ac:dyDescent="0.3">
      <c r="B37" s="43" t="s">
        <v>56</v>
      </c>
      <c r="C37" s="60">
        <v>3375000</v>
      </c>
      <c r="D37" s="60">
        <v>2213000</v>
      </c>
      <c r="E37" s="60">
        <v>1434000</v>
      </c>
      <c r="F37" s="58">
        <v>1050000</v>
      </c>
      <c r="G37" s="58">
        <v>1961000</v>
      </c>
      <c r="I37" s="43" t="s">
        <v>56</v>
      </c>
      <c r="K37" s="91">
        <f t="shared" si="1"/>
        <v>0.65570370370370368</v>
      </c>
      <c r="L37" s="91">
        <f t="shared" si="2"/>
        <v>0.64798915499322185</v>
      </c>
      <c r="M37" s="91">
        <f t="shared" si="3"/>
        <v>0.73221757322175729</v>
      </c>
      <c r="N37" s="91">
        <f t="shared" si="4"/>
        <v>1.8676190476190475</v>
      </c>
    </row>
    <row r="38" spans="2:14" hidden="1" x14ac:dyDescent="0.3">
      <c r="B38" s="43" t="s">
        <v>71</v>
      </c>
      <c r="C38" s="60">
        <v>2925000</v>
      </c>
      <c r="D38" s="60">
        <v>63000</v>
      </c>
      <c r="E38" s="60">
        <v>18000</v>
      </c>
      <c r="F38" s="58">
        <v>0</v>
      </c>
      <c r="G38" s="58">
        <v>0</v>
      </c>
      <c r="H38" s="22"/>
      <c r="I38" s="43" t="s">
        <v>71</v>
      </c>
      <c r="K38" s="91">
        <f t="shared" si="1"/>
        <v>2.1538461538461538E-2</v>
      </c>
      <c r="L38" s="91">
        <f t="shared" si="2"/>
        <v>0.2857142857142857</v>
      </c>
      <c r="M38" s="91">
        <f t="shared" si="3"/>
        <v>0</v>
      </c>
      <c r="N38" s="91"/>
    </row>
    <row r="39" spans="2:14" hidden="1" x14ac:dyDescent="0.3">
      <c r="B39" s="43" t="s">
        <v>57</v>
      </c>
      <c r="C39" s="60">
        <v>4044000</v>
      </c>
      <c r="D39" s="60">
        <v>326000</v>
      </c>
      <c r="E39" s="60">
        <v>2762000</v>
      </c>
      <c r="F39" s="58">
        <v>1304000</v>
      </c>
      <c r="G39" s="58">
        <v>0</v>
      </c>
      <c r="I39" s="43" t="s">
        <v>57</v>
      </c>
      <c r="K39" s="91">
        <f t="shared" si="1"/>
        <v>8.0613254203758658E-2</v>
      </c>
      <c r="L39" s="91">
        <f t="shared" si="2"/>
        <v>8.4723926380368102</v>
      </c>
      <c r="M39" s="91">
        <f t="shared" si="3"/>
        <v>0.47212165097755249</v>
      </c>
      <c r="N39" s="91">
        <f t="shared" si="4"/>
        <v>0</v>
      </c>
    </row>
    <row r="40" spans="2:14" hidden="1" x14ac:dyDescent="0.3">
      <c r="B40" s="43" t="s">
        <v>9</v>
      </c>
      <c r="C40" s="60">
        <v>2158000</v>
      </c>
      <c r="D40" s="60">
        <v>5107000</v>
      </c>
      <c r="E40" s="60">
        <v>3769000</v>
      </c>
      <c r="F40" s="58">
        <v>7481000</v>
      </c>
      <c r="G40" s="58">
        <v>14359000</v>
      </c>
      <c r="I40" s="43" t="s">
        <v>9</v>
      </c>
      <c r="K40" s="91">
        <f t="shared" si="1"/>
        <v>2.3665430954587583</v>
      </c>
      <c r="L40" s="91">
        <f t="shared" si="2"/>
        <v>0.73800665752888195</v>
      </c>
      <c r="M40" s="91">
        <f t="shared" si="3"/>
        <v>1.9848766250994958</v>
      </c>
      <c r="N40" s="91">
        <f t="shared" si="4"/>
        <v>1.9193958027001738</v>
      </c>
    </row>
    <row r="41" spans="2:14" x14ac:dyDescent="0.3">
      <c r="B41" s="42" t="s">
        <v>72</v>
      </c>
      <c r="C41" s="58">
        <v>-9402000</v>
      </c>
      <c r="D41" s="58">
        <v>11089000</v>
      </c>
      <c r="E41" s="58">
        <v>-31627000</v>
      </c>
      <c r="F41" s="58">
        <v>43695000</v>
      </c>
      <c r="G41" s="58">
        <v>67891000</v>
      </c>
      <c r="H41" s="22"/>
      <c r="I41" s="42" t="s">
        <v>72</v>
      </c>
      <c r="K41" s="91">
        <f t="shared" si="1"/>
        <v>-1.1794299085300999</v>
      </c>
      <c r="L41" s="91">
        <f t="shared" si="2"/>
        <v>-2.8521056903237443</v>
      </c>
      <c r="M41" s="91">
        <f t="shared" si="3"/>
        <v>-1.3815727068643879</v>
      </c>
      <c r="N41" s="91">
        <f t="shared" si="4"/>
        <v>1.5537475683716673</v>
      </c>
    </row>
    <row r="42" spans="2:14" x14ac:dyDescent="0.3">
      <c r="B42" s="42" t="s">
        <v>73</v>
      </c>
      <c r="C42" s="58">
        <v>2426000</v>
      </c>
      <c r="D42" s="58">
        <v>2951000</v>
      </c>
      <c r="E42" s="58">
        <v>-2698000</v>
      </c>
      <c r="F42" s="58">
        <v>10491000</v>
      </c>
      <c r="G42" s="58">
        <v>14716000</v>
      </c>
      <c r="I42" s="42" t="s">
        <v>73</v>
      </c>
      <c r="K42" s="91">
        <f t="shared" si="1"/>
        <v>1.2164056059356967</v>
      </c>
      <c r="L42" s="91">
        <f t="shared" si="2"/>
        <v>-0.91426635038969839</v>
      </c>
      <c r="M42" s="91">
        <f t="shared" si="3"/>
        <v>-3.8884358784284654</v>
      </c>
      <c r="N42" s="91">
        <f t="shared" si="4"/>
        <v>1.40272614622057</v>
      </c>
    </row>
    <row r="43" spans="2:14" x14ac:dyDescent="0.3">
      <c r="B43" s="42" t="s">
        <v>162</v>
      </c>
      <c r="C43" s="58"/>
      <c r="D43" s="58"/>
      <c r="E43" s="58"/>
      <c r="F43" s="58">
        <v>208000</v>
      </c>
      <c r="G43" s="58">
        <v>218000</v>
      </c>
      <c r="I43" s="42" t="s">
        <v>162</v>
      </c>
      <c r="K43" s="91"/>
      <c r="L43" s="91"/>
      <c r="M43" s="91"/>
      <c r="N43" s="91">
        <f t="shared" si="4"/>
        <v>1.0480769230769231</v>
      </c>
    </row>
    <row r="44" spans="2:14" x14ac:dyDescent="0.3">
      <c r="B44" s="42" t="s">
        <v>74</v>
      </c>
      <c r="C44" s="58">
        <v>-11828000</v>
      </c>
      <c r="D44" s="58">
        <v>8138000</v>
      </c>
      <c r="E44" s="58">
        <v>-28929000</v>
      </c>
      <c r="F44" s="58">
        <v>32996000</v>
      </c>
      <c r="G44" s="58">
        <v>52957000</v>
      </c>
      <c r="I44" s="42" t="s">
        <v>74</v>
      </c>
      <c r="K44" s="91">
        <f t="shared" si="1"/>
        <v>-0.68802840716942848</v>
      </c>
      <c r="L44" s="91">
        <f t="shared" si="2"/>
        <v>-3.5548046202998278</v>
      </c>
      <c r="M44" s="91">
        <f t="shared" si="3"/>
        <v>-1.1405855715717792</v>
      </c>
      <c r="N44" s="91">
        <f t="shared" si="4"/>
        <v>1.6049521154079283</v>
      </c>
    </row>
    <row r="45" spans="2:14" x14ac:dyDescent="0.3">
      <c r="F45" s="22"/>
      <c r="G45" s="22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51E8-5EE3-4642-90B4-E186560610BF}">
  <sheetPr>
    <tabColor rgb="FFFFFF00"/>
  </sheetPr>
  <dimension ref="B2:AB81"/>
  <sheetViews>
    <sheetView zoomScale="43" zoomScaleNormal="85" workbookViewId="0">
      <selection activeCell="F1" sqref="F1"/>
    </sheetView>
  </sheetViews>
  <sheetFormatPr defaultRowHeight="13" x14ac:dyDescent="0.3"/>
  <cols>
    <col min="2" max="2" width="48.8984375" customWidth="1"/>
    <col min="3" max="3" width="14.296875" bestFit="1" customWidth="1"/>
    <col min="4" max="4" width="16.8984375" bestFit="1" customWidth="1"/>
    <col min="5" max="7" width="14.296875" bestFit="1" customWidth="1"/>
    <col min="8" max="8" width="13.3984375" customWidth="1"/>
    <col min="9" max="9" width="22.796875" customWidth="1"/>
    <col min="10" max="10" width="22.3984375" bestFit="1" customWidth="1"/>
    <col min="11" max="11" width="24.09765625" bestFit="1" customWidth="1"/>
    <col min="12" max="12" width="22.296875" bestFit="1" customWidth="1"/>
    <col min="13" max="14" width="13.3984375" customWidth="1"/>
    <col min="15" max="15" width="16.5" bestFit="1" customWidth="1"/>
    <col min="16" max="16" width="53" customWidth="1"/>
    <col min="18" max="18" width="9.3984375" bestFit="1" customWidth="1"/>
    <col min="19" max="19" width="10.09765625" bestFit="1" customWidth="1"/>
    <col min="20" max="21" width="9.09765625" bestFit="1" customWidth="1"/>
    <col min="23" max="23" width="53" customWidth="1"/>
    <col min="25" max="25" width="9.3984375" bestFit="1" customWidth="1"/>
    <col min="26" max="26" width="10.09765625" bestFit="1" customWidth="1"/>
    <col min="27" max="28" width="9.09765625" bestFit="1" customWidth="1"/>
  </cols>
  <sheetData>
    <row r="2" spans="2:28" ht="13.5" thickBot="1" x14ac:dyDescent="0.35">
      <c r="B2" s="128" t="s">
        <v>165</v>
      </c>
      <c r="C2" s="129"/>
      <c r="D2" s="129"/>
      <c r="E2" s="129"/>
      <c r="F2" s="129"/>
      <c r="G2" s="130"/>
      <c r="P2" s="95"/>
    </row>
    <row r="3" spans="2:28" ht="27" thickTop="1" thickBot="1" x14ac:dyDescent="0.35">
      <c r="B3" s="45" t="s">
        <v>59</v>
      </c>
      <c r="C3" s="46">
        <v>2018</v>
      </c>
      <c r="D3" s="46">
        <v>2019</v>
      </c>
      <c r="E3" s="46">
        <v>2020</v>
      </c>
      <c r="F3" s="46">
        <v>2021</v>
      </c>
      <c r="G3" s="47">
        <v>2022</v>
      </c>
      <c r="J3" s="48" t="s">
        <v>166</v>
      </c>
      <c r="K3" s="48" t="s">
        <v>174</v>
      </c>
      <c r="L3" s="48" t="s">
        <v>175</v>
      </c>
      <c r="M3" s="48" t="s">
        <v>176</v>
      </c>
      <c r="P3" s="33" t="s">
        <v>159</v>
      </c>
      <c r="Q3" s="46">
        <v>2018</v>
      </c>
      <c r="R3" s="46">
        <v>2019</v>
      </c>
      <c r="S3" s="46">
        <v>2020</v>
      </c>
      <c r="T3" s="46">
        <v>2021</v>
      </c>
      <c r="U3" s="47">
        <v>2022</v>
      </c>
      <c r="W3" s="33" t="s">
        <v>163</v>
      </c>
      <c r="X3" s="46">
        <v>2018</v>
      </c>
      <c r="Y3" s="46">
        <v>2019</v>
      </c>
      <c r="Z3" s="46">
        <v>2020</v>
      </c>
      <c r="AA3" s="46">
        <v>2021</v>
      </c>
      <c r="AB3" s="47">
        <v>2022</v>
      </c>
    </row>
    <row r="4" spans="2:28" ht="33" customHeight="1" thickTop="1" x14ac:dyDescent="0.3">
      <c r="B4" s="48" t="s">
        <v>80</v>
      </c>
      <c r="C4" s="48"/>
      <c r="D4" s="48"/>
      <c r="E4" s="48"/>
      <c r="F4" s="48"/>
      <c r="G4" s="48"/>
      <c r="J4" s="48" t="s">
        <v>167</v>
      </c>
      <c r="K4" s="99" t="s">
        <v>177</v>
      </c>
      <c r="L4" s="99" t="s">
        <v>177</v>
      </c>
      <c r="M4" s="99" t="s">
        <v>177</v>
      </c>
      <c r="P4" s="48" t="s">
        <v>80</v>
      </c>
      <c r="Q4" s="48"/>
      <c r="R4" s="48"/>
      <c r="S4" s="48"/>
      <c r="T4" s="48"/>
      <c r="U4" s="48"/>
      <c r="W4" s="48" t="s">
        <v>80</v>
      </c>
      <c r="X4" s="48"/>
      <c r="Y4" s="48"/>
      <c r="Z4" s="48"/>
      <c r="AA4" s="48"/>
      <c r="AB4" s="48"/>
    </row>
    <row r="5" spans="2:28" x14ac:dyDescent="0.3">
      <c r="B5" s="55" t="s">
        <v>81</v>
      </c>
      <c r="C5" s="60">
        <v>-11828000</v>
      </c>
      <c r="D5" s="60">
        <v>8138000</v>
      </c>
      <c r="E5" s="60">
        <v>-28929000</v>
      </c>
      <c r="F5" s="60">
        <v>25178000</v>
      </c>
      <c r="G5" s="66">
        <v>49173000</v>
      </c>
      <c r="J5" s="48" t="s">
        <v>168</v>
      </c>
      <c r="K5" s="99" t="s">
        <v>177</v>
      </c>
      <c r="L5" s="99" t="s">
        <v>177</v>
      </c>
      <c r="M5" s="99" t="s">
        <v>16</v>
      </c>
      <c r="P5" s="55" t="s">
        <v>81</v>
      </c>
      <c r="R5" s="91">
        <f t="shared" ref="R5:R17" si="0">D5/C5</f>
        <v>-0.68802840716942848</v>
      </c>
      <c r="S5" s="91">
        <f t="shared" ref="S5:S17" si="1">E5/D5</f>
        <v>-3.5548046202998278</v>
      </c>
      <c r="T5" s="91">
        <f t="shared" ref="T5:T17" si="2">F5/E5</f>
        <v>-0.87033772339175219</v>
      </c>
      <c r="U5" s="91">
        <f t="shared" ref="U5:U17" si="3">G5/F5</f>
        <v>1.9530145365001192</v>
      </c>
      <c r="W5" s="55" t="s">
        <v>81</v>
      </c>
      <c r="Y5" s="91"/>
      <c r="Z5" s="91">
        <f t="shared" ref="Z5:Z17" si="4">S5/R5</f>
        <v>5.1666538521634751</v>
      </c>
      <c r="AA5" s="91">
        <f t="shared" ref="AA5:AA17" si="5">T5/S5</f>
        <v>0.24483419381804003</v>
      </c>
      <c r="AB5" s="91">
        <f t="shared" ref="AB5:AB17" si="6">U5/T5</f>
        <v>-2.2439732117885436</v>
      </c>
    </row>
    <row r="6" spans="2:28" x14ac:dyDescent="0.3">
      <c r="B6" s="55" t="s">
        <v>82</v>
      </c>
      <c r="C6" s="60">
        <v>27918000</v>
      </c>
      <c r="D6" s="60">
        <v>18346000</v>
      </c>
      <c r="E6" s="60">
        <v>19017000</v>
      </c>
      <c r="F6" s="60">
        <v>-2680000</v>
      </c>
      <c r="G6" s="60">
        <v>-9173000</v>
      </c>
      <c r="J6" s="48" t="s">
        <v>169</v>
      </c>
      <c r="K6" s="100" t="s">
        <v>177</v>
      </c>
      <c r="L6" s="100" t="s">
        <v>16</v>
      </c>
      <c r="M6" s="100" t="s">
        <v>177</v>
      </c>
      <c r="P6" s="55" t="s">
        <v>82</v>
      </c>
      <c r="R6" s="91">
        <f t="shared" si="0"/>
        <v>0.65713876352174228</v>
      </c>
      <c r="S6" s="91">
        <f t="shared" si="1"/>
        <v>1.0365747301864165</v>
      </c>
      <c r="T6" s="91">
        <f t="shared" si="2"/>
        <v>-0.14092653941210495</v>
      </c>
      <c r="U6" s="91">
        <f t="shared" si="3"/>
        <v>3.4227611940298508</v>
      </c>
      <c r="W6" s="55" t="s">
        <v>82</v>
      </c>
      <c r="Y6" s="91"/>
      <c r="Z6" s="91">
        <f t="shared" si="4"/>
        <v>1.5774061548754157</v>
      </c>
      <c r="AA6" s="91">
        <f t="shared" si="5"/>
        <v>-0.1359540564786495</v>
      </c>
      <c r="AB6" s="91">
        <f t="shared" si="6"/>
        <v>-24.287555830920027</v>
      </c>
    </row>
    <row r="7" spans="2:28" hidden="1" x14ac:dyDescent="0.3">
      <c r="B7" s="56" t="s">
        <v>83</v>
      </c>
      <c r="C7" s="60">
        <v>9792000</v>
      </c>
      <c r="D7" s="60">
        <v>11042000</v>
      </c>
      <c r="E7" s="60">
        <v>14430000</v>
      </c>
      <c r="F7" s="60">
        <v>11903000</v>
      </c>
      <c r="G7" s="60">
        <v>11089000</v>
      </c>
      <c r="J7" s="48"/>
      <c r="K7" s="100"/>
      <c r="L7" s="100"/>
      <c r="M7" s="100"/>
      <c r="P7" s="56" t="s">
        <v>83</v>
      </c>
      <c r="R7" s="91">
        <f t="shared" si="0"/>
        <v>1.12765522875817</v>
      </c>
      <c r="S7" s="91">
        <f t="shared" si="1"/>
        <v>1.3068284731026989</v>
      </c>
      <c r="T7" s="91">
        <f t="shared" si="2"/>
        <v>0.82487872487872493</v>
      </c>
      <c r="U7" s="91">
        <f t="shared" si="3"/>
        <v>0.93161387885407043</v>
      </c>
      <c r="W7" s="56" t="s">
        <v>83</v>
      </c>
      <c r="Y7" s="91" t="e">
        <f t="shared" ref="Y7:Y17" si="7">R7/Q7</f>
        <v>#DIV/0!</v>
      </c>
      <c r="Z7" s="91">
        <f t="shared" si="4"/>
        <v>1.1588900931553727</v>
      </c>
      <c r="AA7" s="91">
        <f t="shared" si="5"/>
        <v>0.63120657519825918</v>
      </c>
      <c r="AB7" s="91">
        <f t="shared" si="6"/>
        <v>1.129394965291459</v>
      </c>
    </row>
    <row r="8" spans="2:28" hidden="1" x14ac:dyDescent="0.3">
      <c r="B8" s="56" t="s">
        <v>84</v>
      </c>
      <c r="C8" s="60">
        <v>637000</v>
      </c>
      <c r="D8" s="60">
        <v>304000</v>
      </c>
      <c r="E8" s="60">
        <v>4000</v>
      </c>
      <c r="F8" s="60">
        <v>-26000</v>
      </c>
      <c r="G8" s="60">
        <v>0</v>
      </c>
      <c r="J8" s="48"/>
      <c r="K8" s="100"/>
      <c r="L8" s="100"/>
      <c r="M8" s="100"/>
      <c r="P8" s="56" t="s">
        <v>84</v>
      </c>
      <c r="R8" s="91">
        <f t="shared" si="0"/>
        <v>0.47723704866562011</v>
      </c>
      <c r="S8" s="91">
        <f t="shared" si="1"/>
        <v>1.3157894736842105E-2</v>
      </c>
      <c r="T8" s="91">
        <f t="shared" si="2"/>
        <v>-6.5</v>
      </c>
      <c r="U8" s="91">
        <f t="shared" si="3"/>
        <v>0</v>
      </c>
      <c r="W8" s="56" t="s">
        <v>84</v>
      </c>
      <c r="Y8" s="91" t="e">
        <f t="shared" si="7"/>
        <v>#DIV/0!</v>
      </c>
      <c r="Z8" s="91">
        <f t="shared" si="4"/>
        <v>2.7570983379501382E-2</v>
      </c>
      <c r="AA8" s="91">
        <f t="shared" si="5"/>
        <v>-494</v>
      </c>
      <c r="AB8" s="91">
        <f t="shared" si="6"/>
        <v>0</v>
      </c>
    </row>
    <row r="9" spans="2:28" hidden="1" x14ac:dyDescent="0.3">
      <c r="B9" s="56" t="s">
        <v>85</v>
      </c>
      <c r="C9" s="60">
        <v>-620000</v>
      </c>
      <c r="D9" s="60">
        <v>-5258000</v>
      </c>
      <c r="E9" s="60">
        <v>-2139000</v>
      </c>
      <c r="F9" s="60">
        <v>-1212000</v>
      </c>
      <c r="G9" s="60">
        <v>-5476000</v>
      </c>
      <c r="J9" s="48"/>
      <c r="K9" s="100"/>
      <c r="L9" s="100"/>
      <c r="M9" s="100"/>
      <c r="P9" s="56" t="s">
        <v>85</v>
      </c>
      <c r="R9" s="91">
        <f t="shared" si="0"/>
        <v>8.4806451612903224</v>
      </c>
      <c r="S9" s="91">
        <f t="shared" si="1"/>
        <v>0.40680867249904906</v>
      </c>
      <c r="T9" s="91">
        <f t="shared" si="2"/>
        <v>0.56661991584852733</v>
      </c>
      <c r="U9" s="91">
        <f t="shared" si="3"/>
        <v>4.5181518151815183</v>
      </c>
      <c r="W9" s="56" t="s">
        <v>85</v>
      </c>
      <c r="Y9" s="91" t="e">
        <f t="shared" si="7"/>
        <v>#DIV/0!</v>
      </c>
      <c r="Z9" s="91">
        <f t="shared" si="4"/>
        <v>4.7969071310272046E-2</v>
      </c>
      <c r="AA9" s="91">
        <f t="shared" si="5"/>
        <v>1.3928412891685633</v>
      </c>
      <c r="AB9" s="91">
        <f t="shared" si="6"/>
        <v>7.9738669411495611</v>
      </c>
    </row>
    <row r="10" spans="2:28" hidden="1" x14ac:dyDescent="0.3">
      <c r="B10" s="56" t="s">
        <v>86</v>
      </c>
      <c r="C10" s="60">
        <v>-25000</v>
      </c>
      <c r="D10" s="60">
        <v>-6000</v>
      </c>
      <c r="E10" s="60">
        <v>2706000</v>
      </c>
      <c r="F10" s="60">
        <v>116000</v>
      </c>
      <c r="G10" s="60">
        <v>-336000</v>
      </c>
      <c r="J10" s="48"/>
      <c r="K10" s="100"/>
      <c r="L10" s="100"/>
      <c r="M10" s="100"/>
      <c r="P10" s="56" t="s">
        <v>86</v>
      </c>
      <c r="R10" s="91">
        <f t="shared" si="0"/>
        <v>0.24</v>
      </c>
      <c r="S10" s="91">
        <f t="shared" si="1"/>
        <v>-451</v>
      </c>
      <c r="T10" s="91">
        <f t="shared" si="2"/>
        <v>4.2867701404286772E-2</v>
      </c>
      <c r="U10" s="91">
        <f t="shared" si="3"/>
        <v>-2.896551724137931</v>
      </c>
      <c r="W10" s="56" t="s">
        <v>86</v>
      </c>
      <c r="Y10" s="91" t="e">
        <f t="shared" si="7"/>
        <v>#DIV/0!</v>
      </c>
      <c r="Z10" s="91">
        <f t="shared" si="4"/>
        <v>-1879.1666666666667</v>
      </c>
      <c r="AA10" s="91">
        <f t="shared" si="5"/>
        <v>-9.5050335707952925E-5</v>
      </c>
      <c r="AB10" s="91">
        <f t="shared" si="6"/>
        <v>-67.569560047562419</v>
      </c>
    </row>
    <row r="11" spans="2:28" hidden="1" x14ac:dyDescent="0.3">
      <c r="B11" s="56" t="s">
        <v>87</v>
      </c>
      <c r="C11" s="60">
        <v>5228000</v>
      </c>
      <c r="D11" s="60">
        <v>2512000</v>
      </c>
      <c r="E11" s="60">
        <v>336000</v>
      </c>
      <c r="F11" s="60">
        <v>-7076000</v>
      </c>
      <c r="G11" s="60">
        <v>2712000</v>
      </c>
      <c r="J11" s="48"/>
      <c r="K11" s="100"/>
      <c r="L11" s="100"/>
      <c r="M11" s="100"/>
      <c r="P11" s="56" t="s">
        <v>87</v>
      </c>
      <c r="R11" s="91">
        <f t="shared" si="0"/>
        <v>0.48048967100229534</v>
      </c>
      <c r="S11" s="91">
        <f t="shared" si="1"/>
        <v>0.13375796178343949</v>
      </c>
      <c r="T11" s="91">
        <f t="shared" si="2"/>
        <v>-21.05952380952381</v>
      </c>
      <c r="U11" s="91">
        <f t="shared" si="3"/>
        <v>-0.3832673827020916</v>
      </c>
      <c r="W11" s="56" t="s">
        <v>87</v>
      </c>
      <c r="Y11" s="91" t="e">
        <f t="shared" si="7"/>
        <v>#DIV/0!</v>
      </c>
      <c r="Z11" s="91">
        <f t="shared" si="4"/>
        <v>0.27837843320215827</v>
      </c>
      <c r="AA11" s="91">
        <f t="shared" si="5"/>
        <v>-157.44501133786849</v>
      </c>
      <c r="AB11" s="91">
        <f t="shared" si="6"/>
        <v>1.8199242592976651E-2</v>
      </c>
    </row>
    <row r="12" spans="2:28" hidden="1" x14ac:dyDescent="0.3">
      <c r="B12" s="56" t="s">
        <v>88</v>
      </c>
      <c r="C12" s="60">
        <v>0</v>
      </c>
      <c r="D12" s="60">
        <v>0</v>
      </c>
      <c r="E12" s="60">
        <v>-62000</v>
      </c>
      <c r="F12" s="60">
        <v>34000</v>
      </c>
      <c r="G12" s="60">
        <v>3000</v>
      </c>
      <c r="J12" s="48"/>
      <c r="K12" s="100"/>
      <c r="L12" s="100"/>
      <c r="M12" s="100"/>
      <c r="P12" s="56" t="s">
        <v>88</v>
      </c>
      <c r="R12" s="91" t="e">
        <f t="shared" si="0"/>
        <v>#DIV/0!</v>
      </c>
      <c r="S12" s="91" t="e">
        <f t="shared" si="1"/>
        <v>#DIV/0!</v>
      </c>
      <c r="T12" s="91">
        <f t="shared" si="2"/>
        <v>-0.54838709677419351</v>
      </c>
      <c r="U12" s="91">
        <f t="shared" si="3"/>
        <v>8.8235294117647065E-2</v>
      </c>
      <c r="W12" s="56" t="s">
        <v>88</v>
      </c>
      <c r="Y12" s="91" t="e">
        <f t="shared" si="7"/>
        <v>#DIV/0!</v>
      </c>
      <c r="Z12" s="91" t="e">
        <f t="shared" si="4"/>
        <v>#DIV/0!</v>
      </c>
      <c r="AA12" s="91" t="e">
        <f t="shared" si="5"/>
        <v>#DIV/0!</v>
      </c>
      <c r="AB12" s="91">
        <f t="shared" si="6"/>
        <v>-0.16089965397923878</v>
      </c>
    </row>
    <row r="13" spans="2:28" hidden="1" x14ac:dyDescent="0.3">
      <c r="B13" s="56" t="s">
        <v>89</v>
      </c>
      <c r="C13" s="60">
        <v>-3757000</v>
      </c>
      <c r="D13" s="60">
        <v>-13087000</v>
      </c>
      <c r="E13" s="60">
        <v>11932000</v>
      </c>
      <c r="F13" s="60">
        <v>-3812000</v>
      </c>
      <c r="G13" s="60">
        <v>-31797000</v>
      </c>
      <c r="J13" s="48"/>
      <c r="K13" s="100"/>
      <c r="L13" s="100"/>
      <c r="M13" s="100"/>
      <c r="P13" s="56" t="s">
        <v>89</v>
      </c>
      <c r="R13" s="91">
        <f t="shared" si="0"/>
        <v>3.4833643864785735</v>
      </c>
      <c r="S13" s="91">
        <f t="shared" si="1"/>
        <v>-0.91174447925422175</v>
      </c>
      <c r="T13" s="91">
        <f t="shared" si="2"/>
        <v>-0.31947703654039555</v>
      </c>
      <c r="U13" s="91">
        <f t="shared" si="3"/>
        <v>8.341290661070305</v>
      </c>
      <c r="W13" s="56" t="s">
        <v>89</v>
      </c>
      <c r="Y13" s="91" t="e">
        <f t="shared" si="7"/>
        <v>#DIV/0!</v>
      </c>
      <c r="Z13" s="91">
        <f t="shared" si="4"/>
        <v>-0.2617424932037985</v>
      </c>
      <c r="AA13" s="91">
        <f t="shared" si="5"/>
        <v>0.35040194244084449</v>
      </c>
      <c r="AB13" s="91">
        <f t="shared" si="6"/>
        <v>-26.109202562405795</v>
      </c>
    </row>
    <row r="14" spans="2:28" hidden="1" x14ac:dyDescent="0.3">
      <c r="B14" s="56" t="s">
        <v>90</v>
      </c>
      <c r="C14" s="60">
        <v>17047000</v>
      </c>
      <c r="D14" s="60">
        <v>19884000</v>
      </c>
      <c r="E14" s="60">
        <v>-1287000</v>
      </c>
      <c r="F14" s="60">
        <v>-5001000</v>
      </c>
      <c r="G14" s="60">
        <v>16451000</v>
      </c>
      <c r="J14" s="48"/>
      <c r="K14" s="100"/>
      <c r="L14" s="100"/>
      <c r="M14" s="100"/>
      <c r="P14" s="56" t="s">
        <v>90</v>
      </c>
      <c r="R14" s="91">
        <f t="shared" si="0"/>
        <v>1.166422244383176</v>
      </c>
      <c r="S14" s="91">
        <f t="shared" si="1"/>
        <v>-6.4725407362703685E-2</v>
      </c>
      <c r="T14" s="91">
        <f t="shared" si="2"/>
        <v>3.885780885780886</v>
      </c>
      <c r="U14" s="91">
        <f t="shared" si="3"/>
        <v>-3.2895420915816835</v>
      </c>
      <c r="W14" s="56" t="s">
        <v>90</v>
      </c>
      <c r="Y14" s="91" t="e">
        <f t="shared" si="7"/>
        <v>#DIV/0!</v>
      </c>
      <c r="Z14" s="91">
        <f t="shared" si="4"/>
        <v>-5.5490546133172884E-2</v>
      </c>
      <c r="AA14" s="91">
        <f t="shared" si="5"/>
        <v>-60.034861797099559</v>
      </c>
      <c r="AB14" s="91">
        <f t="shared" si="6"/>
        <v>-0.8465588226086036</v>
      </c>
    </row>
    <row r="15" spans="2:28" hidden="1" x14ac:dyDescent="0.3">
      <c r="B15" s="56" t="s">
        <v>91</v>
      </c>
      <c r="C15" s="60">
        <v>-384000</v>
      </c>
      <c r="D15" s="60">
        <v>2955000</v>
      </c>
      <c r="E15" s="60">
        <v>-4857000</v>
      </c>
      <c r="F15" s="60">
        <v>2680000</v>
      </c>
      <c r="G15" s="60">
        <v>-1654000</v>
      </c>
      <c r="J15" s="48"/>
      <c r="K15" s="100"/>
      <c r="L15" s="100"/>
      <c r="M15" s="100"/>
      <c r="P15" s="56" t="s">
        <v>91</v>
      </c>
      <c r="R15" s="91">
        <f t="shared" si="0"/>
        <v>-7.6953125</v>
      </c>
      <c r="S15" s="91">
        <f t="shared" si="1"/>
        <v>-1.6436548223350254</v>
      </c>
      <c r="T15" s="91">
        <f t="shared" si="2"/>
        <v>-0.55178093473337453</v>
      </c>
      <c r="U15" s="91">
        <f t="shared" si="3"/>
        <v>-0.61716417910447763</v>
      </c>
      <c r="W15" s="56" t="s">
        <v>91</v>
      </c>
      <c r="Y15" s="91" t="e">
        <f t="shared" si="7"/>
        <v>#DIV/0!</v>
      </c>
      <c r="Z15" s="91">
        <f t="shared" si="4"/>
        <v>0.21359169264861244</v>
      </c>
      <c r="AA15" s="91">
        <f t="shared" si="5"/>
        <v>0.33570365701814325</v>
      </c>
      <c r="AB15" s="91">
        <f t="shared" si="6"/>
        <v>1.1184949320561373</v>
      </c>
    </row>
    <row r="16" spans="2:28" hidden="1" x14ac:dyDescent="0.3">
      <c r="B16" s="56" t="s">
        <v>92</v>
      </c>
      <c r="C16" s="60">
        <v>0</v>
      </c>
      <c r="D16" s="60">
        <v>0</v>
      </c>
      <c r="E16" s="60">
        <v>-2046000</v>
      </c>
      <c r="F16" s="60">
        <v>-286000</v>
      </c>
      <c r="G16" s="60">
        <v>-165000</v>
      </c>
      <c r="J16" s="48"/>
      <c r="K16" s="99"/>
      <c r="L16" s="99"/>
      <c r="M16" s="99"/>
      <c r="P16" s="56" t="s">
        <v>92</v>
      </c>
      <c r="R16" s="91" t="e">
        <f t="shared" si="0"/>
        <v>#DIV/0!</v>
      </c>
      <c r="S16" s="91" t="e">
        <f t="shared" si="1"/>
        <v>#DIV/0!</v>
      </c>
      <c r="T16" s="91">
        <f t="shared" si="2"/>
        <v>0.13978494623655913</v>
      </c>
      <c r="U16" s="91">
        <f t="shared" si="3"/>
        <v>0.57692307692307687</v>
      </c>
      <c r="W16" s="56" t="s">
        <v>92</v>
      </c>
      <c r="Y16" s="91" t="e">
        <f t="shared" si="7"/>
        <v>#DIV/0!</v>
      </c>
      <c r="Z16" s="91" t="e">
        <f t="shared" si="4"/>
        <v>#DIV/0!</v>
      </c>
      <c r="AA16" s="91" t="e">
        <f t="shared" si="5"/>
        <v>#DIV/0!</v>
      </c>
      <c r="AB16" s="91">
        <f t="shared" si="6"/>
        <v>4.1272189349112427</v>
      </c>
    </row>
    <row r="17" spans="2:28" ht="26" x14ac:dyDescent="0.3">
      <c r="B17" s="55" t="s">
        <v>93</v>
      </c>
      <c r="C17" s="62">
        <v>16090000</v>
      </c>
      <c r="D17" s="62">
        <v>26484000</v>
      </c>
      <c r="E17" s="62">
        <v>-9912000</v>
      </c>
      <c r="F17" s="62">
        <v>22498000</v>
      </c>
      <c r="G17" s="62">
        <v>40000000</v>
      </c>
      <c r="J17" s="48" t="s">
        <v>170</v>
      </c>
      <c r="K17" s="99" t="s">
        <v>177</v>
      </c>
      <c r="L17" s="99" t="s">
        <v>16</v>
      </c>
      <c r="M17" s="99" t="s">
        <v>16</v>
      </c>
      <c r="P17" s="55" t="s">
        <v>93</v>
      </c>
      <c r="R17" s="91">
        <f t="shared" si="0"/>
        <v>1.6459912989434431</v>
      </c>
      <c r="S17" s="91">
        <f t="shared" si="1"/>
        <v>-0.37426370638876305</v>
      </c>
      <c r="T17" s="91">
        <f t="shared" si="2"/>
        <v>-2.2697740112994351</v>
      </c>
      <c r="U17" s="91">
        <f t="shared" si="3"/>
        <v>1.7779358165170238</v>
      </c>
      <c r="W17" s="55" t="s">
        <v>93</v>
      </c>
      <c r="Y17" s="91" t="e">
        <f t="shared" si="7"/>
        <v>#DIV/0!</v>
      </c>
      <c r="Z17" s="91">
        <f t="shared" si="4"/>
        <v>-0.22737890937151478</v>
      </c>
      <c r="AA17" s="91">
        <f t="shared" si="5"/>
        <v>6.0646383086414684</v>
      </c>
      <c r="AB17" s="91">
        <f t="shared" si="6"/>
        <v>-0.78330961922467501</v>
      </c>
    </row>
    <row r="18" spans="2:28" ht="36.5" customHeight="1" x14ac:dyDescent="0.3">
      <c r="B18" s="48" t="s">
        <v>94</v>
      </c>
      <c r="C18" s="63"/>
      <c r="D18" s="63"/>
      <c r="E18" s="63"/>
      <c r="F18" s="63"/>
      <c r="G18" s="63"/>
      <c r="J18" s="48" t="s">
        <v>171</v>
      </c>
      <c r="K18" s="99" t="s">
        <v>16</v>
      </c>
      <c r="L18" s="99" t="s">
        <v>177</v>
      </c>
      <c r="M18" s="99" t="s">
        <v>177</v>
      </c>
      <c r="P18" s="48" t="s">
        <v>94</v>
      </c>
      <c r="Q18" s="48"/>
      <c r="R18" s="96"/>
      <c r="S18" s="96"/>
      <c r="T18" s="96"/>
      <c r="U18" s="96"/>
      <c r="W18" s="48" t="s">
        <v>94</v>
      </c>
      <c r="X18" s="48"/>
      <c r="Y18" s="96"/>
      <c r="Z18" s="96"/>
      <c r="AA18" s="96"/>
      <c r="AB18" s="96"/>
    </row>
    <row r="19" spans="2:28" x14ac:dyDescent="0.3">
      <c r="B19" s="57" t="s">
        <v>95</v>
      </c>
      <c r="C19" s="64">
        <v>7810000</v>
      </c>
      <c r="D19" s="64">
        <v>7618000</v>
      </c>
      <c r="E19" s="64">
        <v>6231000</v>
      </c>
      <c r="F19" s="64">
        <v>3035000</v>
      </c>
      <c r="G19" s="67">
        <v>7134000</v>
      </c>
      <c r="J19" s="48" t="s">
        <v>172</v>
      </c>
      <c r="K19" s="100" t="s">
        <v>16</v>
      </c>
      <c r="L19" s="100" t="s">
        <v>16</v>
      </c>
      <c r="M19" s="100" t="s">
        <v>177</v>
      </c>
      <c r="P19" s="57" t="s">
        <v>95</v>
      </c>
      <c r="R19" s="91">
        <f t="shared" ref="R19:R47" si="8">D19/C19</f>
        <v>0.975416133162612</v>
      </c>
      <c r="S19" s="91">
        <f t="shared" ref="S19:S47" si="9">E19/D19</f>
        <v>0.81793121554213699</v>
      </c>
      <c r="T19" s="91">
        <f t="shared" ref="T19:T47" si="10">F19/E19</f>
        <v>0.4870807254052319</v>
      </c>
      <c r="U19" s="91">
        <f t="shared" ref="U19:U47" si="11">G19/F19</f>
        <v>2.3505766062602964</v>
      </c>
      <c r="W19" s="57" t="s">
        <v>95</v>
      </c>
      <c r="Y19" s="91" t="e">
        <f t="shared" ref="Y19:Y47" si="12">R19/Q19</f>
        <v>#DIV/0!</v>
      </c>
      <c r="Z19" s="91">
        <f t="shared" ref="Z19:Z47" si="13">S19/R19</f>
        <v>0.83854591669520739</v>
      </c>
      <c r="AA19" s="91">
        <f t="shared" ref="AA19:AA47" si="14">T19/S19</f>
        <v>0.59550328456701285</v>
      </c>
      <c r="AB19" s="91">
        <f t="shared" ref="AB19:AB47" si="15">U19/T19</f>
        <v>4.8258460736764111</v>
      </c>
    </row>
    <row r="20" spans="2:28" hidden="1" x14ac:dyDescent="0.3">
      <c r="B20" s="56" t="s">
        <v>96</v>
      </c>
      <c r="C20" s="64">
        <v>25000</v>
      </c>
      <c r="D20" s="64">
        <v>67000</v>
      </c>
      <c r="E20" s="64">
        <v>166000</v>
      </c>
      <c r="F20" s="64">
        <v>19000</v>
      </c>
      <c r="G20" s="64">
        <v>240000</v>
      </c>
      <c r="J20" s="48"/>
      <c r="K20" s="100"/>
      <c r="L20" s="100"/>
      <c r="M20" s="100"/>
      <c r="P20" s="56" t="s">
        <v>96</v>
      </c>
      <c r="R20" s="91">
        <f t="shared" si="8"/>
        <v>2.68</v>
      </c>
      <c r="S20" s="91">
        <f t="shared" si="9"/>
        <v>2.4776119402985075</v>
      </c>
      <c r="T20" s="91">
        <f t="shared" si="10"/>
        <v>0.1144578313253012</v>
      </c>
      <c r="U20" s="91">
        <f t="shared" si="11"/>
        <v>12.631578947368421</v>
      </c>
      <c r="W20" s="56" t="s">
        <v>96</v>
      </c>
      <c r="Y20" s="91" t="e">
        <f t="shared" si="12"/>
        <v>#DIV/0!</v>
      </c>
      <c r="Z20" s="91">
        <f t="shared" si="13"/>
        <v>0.92448206727556248</v>
      </c>
      <c r="AA20" s="91">
        <f t="shared" si="14"/>
        <v>4.6196835534910725E-2</v>
      </c>
      <c r="AB20" s="91">
        <f t="shared" si="15"/>
        <v>110.3601108033241</v>
      </c>
    </row>
    <row r="21" spans="2:28" hidden="1" x14ac:dyDescent="0.3">
      <c r="B21" s="56" t="s">
        <v>97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J21" s="48"/>
      <c r="K21" s="100"/>
      <c r="L21" s="100"/>
      <c r="M21" s="100"/>
      <c r="P21" s="56" t="s">
        <v>97</v>
      </c>
      <c r="R21" s="91" t="e">
        <f t="shared" si="8"/>
        <v>#DIV/0!</v>
      </c>
      <c r="S21" s="91" t="e">
        <f t="shared" si="9"/>
        <v>#DIV/0!</v>
      </c>
      <c r="T21" s="91" t="e">
        <f t="shared" si="10"/>
        <v>#DIV/0!</v>
      </c>
      <c r="U21" s="91" t="e">
        <f t="shared" si="11"/>
        <v>#DIV/0!</v>
      </c>
      <c r="W21" s="56" t="s">
        <v>97</v>
      </c>
      <c r="Y21" s="91" t="e">
        <f t="shared" si="12"/>
        <v>#DIV/0!</v>
      </c>
      <c r="Z21" s="91" t="e">
        <f t="shared" si="13"/>
        <v>#DIV/0!</v>
      </c>
      <c r="AA21" s="91" t="e">
        <f t="shared" si="14"/>
        <v>#DIV/0!</v>
      </c>
      <c r="AB21" s="91" t="e">
        <f t="shared" si="15"/>
        <v>#DIV/0!</v>
      </c>
    </row>
    <row r="22" spans="2:28" hidden="1" x14ac:dyDescent="0.3">
      <c r="B22" s="56" t="s">
        <v>98</v>
      </c>
      <c r="C22" s="64">
        <v>7735000</v>
      </c>
      <c r="D22" s="64">
        <v>7551000</v>
      </c>
      <c r="E22" s="64">
        <v>5936000</v>
      </c>
      <c r="F22" s="64">
        <v>1531000</v>
      </c>
      <c r="G22" s="64">
        <v>6768000</v>
      </c>
      <c r="J22" s="48"/>
      <c r="K22" s="100"/>
      <c r="L22" s="100"/>
      <c r="M22" s="100"/>
      <c r="P22" s="56" t="s">
        <v>98</v>
      </c>
      <c r="R22" s="91">
        <f t="shared" si="8"/>
        <v>0.97621202327084677</v>
      </c>
      <c r="S22" s="91">
        <f t="shared" si="9"/>
        <v>0.78612104357038803</v>
      </c>
      <c r="T22" s="91">
        <f t="shared" si="10"/>
        <v>0.25791778975741242</v>
      </c>
      <c r="U22" s="91">
        <f t="shared" si="11"/>
        <v>4.420640104506858</v>
      </c>
      <c r="W22" s="56" t="s">
        <v>98</v>
      </c>
      <c r="Y22" s="91" t="e">
        <f t="shared" si="12"/>
        <v>#DIV/0!</v>
      </c>
      <c r="Z22" s="91">
        <f t="shared" si="13"/>
        <v>0.80527695298860436</v>
      </c>
      <c r="AA22" s="91">
        <f t="shared" si="14"/>
        <v>0.32808915607449818</v>
      </c>
      <c r="AB22" s="91">
        <f t="shared" si="15"/>
        <v>17.139725447650363</v>
      </c>
    </row>
    <row r="23" spans="2:28" hidden="1" x14ac:dyDescent="0.3">
      <c r="B23" s="57" t="s">
        <v>99</v>
      </c>
      <c r="C23" s="64">
        <v>7735000</v>
      </c>
      <c r="D23" s="64">
        <v>7551000</v>
      </c>
      <c r="E23" s="64">
        <v>5936000</v>
      </c>
      <c r="F23" s="64">
        <v>967000</v>
      </c>
      <c r="G23" s="64">
        <v>6768000</v>
      </c>
      <c r="J23" s="48"/>
      <c r="K23" s="100"/>
      <c r="L23" s="100"/>
      <c r="M23" s="100"/>
      <c r="P23" s="57" t="s">
        <v>99</v>
      </c>
      <c r="R23" s="91">
        <f t="shared" si="8"/>
        <v>0.97621202327084677</v>
      </c>
      <c r="S23" s="91">
        <f t="shared" si="9"/>
        <v>0.78612104357038803</v>
      </c>
      <c r="T23" s="91">
        <f t="shared" si="10"/>
        <v>0.16290431266846361</v>
      </c>
      <c r="U23" s="91">
        <f t="shared" si="11"/>
        <v>6.9989658738366085</v>
      </c>
      <c r="W23" s="57" t="s">
        <v>99</v>
      </c>
      <c r="Y23" s="91" t="e">
        <f t="shared" si="12"/>
        <v>#DIV/0!</v>
      </c>
      <c r="Z23" s="91">
        <f t="shared" si="13"/>
        <v>0.80527695298860436</v>
      </c>
      <c r="AA23" s="91">
        <f t="shared" si="14"/>
        <v>0.20722548264143678</v>
      </c>
      <c r="AB23" s="91">
        <f t="shared" si="15"/>
        <v>42.963662282413765</v>
      </c>
    </row>
    <row r="24" spans="2:28" hidden="1" x14ac:dyDescent="0.3">
      <c r="B24" s="57" t="s">
        <v>100</v>
      </c>
      <c r="C24" s="64">
        <v>0</v>
      </c>
      <c r="D24" s="64">
        <v>0</v>
      </c>
      <c r="E24" s="64">
        <v>0</v>
      </c>
      <c r="F24" s="64">
        <v>0</v>
      </c>
      <c r="G24" s="64">
        <v>0</v>
      </c>
      <c r="J24" s="48"/>
      <c r="K24" s="100"/>
      <c r="L24" s="100"/>
      <c r="M24" s="100"/>
      <c r="P24" s="57" t="s">
        <v>100</v>
      </c>
      <c r="R24" s="91" t="e">
        <f t="shared" si="8"/>
        <v>#DIV/0!</v>
      </c>
      <c r="S24" s="91" t="e">
        <f t="shared" si="9"/>
        <v>#DIV/0!</v>
      </c>
      <c r="T24" s="91" t="e">
        <f t="shared" si="10"/>
        <v>#DIV/0!</v>
      </c>
      <c r="U24" s="91" t="e">
        <f t="shared" si="11"/>
        <v>#DIV/0!</v>
      </c>
      <c r="W24" s="57" t="s">
        <v>100</v>
      </c>
      <c r="Y24" s="91" t="e">
        <f t="shared" si="12"/>
        <v>#DIV/0!</v>
      </c>
      <c r="Z24" s="91" t="e">
        <f t="shared" si="13"/>
        <v>#DIV/0!</v>
      </c>
      <c r="AA24" s="91" t="e">
        <f t="shared" si="14"/>
        <v>#DIV/0!</v>
      </c>
      <c r="AB24" s="91" t="e">
        <f t="shared" si="15"/>
        <v>#DIV/0!</v>
      </c>
    </row>
    <row r="25" spans="2:28" hidden="1" x14ac:dyDescent="0.3">
      <c r="B25" s="57" t="s">
        <v>101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J25" s="48"/>
      <c r="K25" s="100"/>
      <c r="L25" s="100"/>
      <c r="M25" s="100"/>
      <c r="P25" s="57" t="s">
        <v>101</v>
      </c>
      <c r="R25" s="91" t="e">
        <f t="shared" si="8"/>
        <v>#DIV/0!</v>
      </c>
      <c r="S25" s="91" t="e">
        <f t="shared" si="9"/>
        <v>#DIV/0!</v>
      </c>
      <c r="T25" s="91" t="e">
        <f t="shared" si="10"/>
        <v>#DIV/0!</v>
      </c>
      <c r="U25" s="91" t="e">
        <f t="shared" si="11"/>
        <v>#DIV/0!</v>
      </c>
      <c r="W25" s="57" t="s">
        <v>101</v>
      </c>
      <c r="Y25" s="91" t="e">
        <f t="shared" si="12"/>
        <v>#DIV/0!</v>
      </c>
      <c r="Z25" s="91" t="e">
        <f t="shared" si="13"/>
        <v>#DIV/0!</v>
      </c>
      <c r="AA25" s="91" t="e">
        <f t="shared" si="14"/>
        <v>#DIV/0!</v>
      </c>
      <c r="AB25" s="91" t="e">
        <f t="shared" si="15"/>
        <v>#DIV/0!</v>
      </c>
    </row>
    <row r="26" spans="2:28" hidden="1" x14ac:dyDescent="0.3">
      <c r="B26" s="57" t="s">
        <v>102</v>
      </c>
      <c r="C26" s="64">
        <v>0</v>
      </c>
      <c r="D26" s="64">
        <v>0</v>
      </c>
      <c r="E26" s="64">
        <v>0</v>
      </c>
      <c r="F26" s="64">
        <v>0</v>
      </c>
      <c r="G26" s="64">
        <v>0</v>
      </c>
      <c r="J26" s="48"/>
      <c r="K26" s="100"/>
      <c r="L26" s="100"/>
      <c r="M26" s="100"/>
      <c r="P26" s="57" t="s">
        <v>102</v>
      </c>
      <c r="R26" s="91" t="e">
        <f t="shared" si="8"/>
        <v>#DIV/0!</v>
      </c>
      <c r="S26" s="91" t="e">
        <f t="shared" si="9"/>
        <v>#DIV/0!</v>
      </c>
      <c r="T26" s="91" t="e">
        <f t="shared" si="10"/>
        <v>#DIV/0!</v>
      </c>
      <c r="U26" s="91" t="e">
        <f t="shared" si="11"/>
        <v>#DIV/0!</v>
      </c>
      <c r="W26" s="57" t="s">
        <v>102</v>
      </c>
      <c r="Y26" s="91" t="e">
        <f t="shared" si="12"/>
        <v>#DIV/0!</v>
      </c>
      <c r="Z26" s="91" t="e">
        <f t="shared" si="13"/>
        <v>#DIV/0!</v>
      </c>
      <c r="AA26" s="91" t="e">
        <f t="shared" si="14"/>
        <v>#DIV/0!</v>
      </c>
      <c r="AB26" s="91" t="e">
        <f t="shared" si="15"/>
        <v>#DIV/0!</v>
      </c>
    </row>
    <row r="27" spans="2:28" hidden="1" x14ac:dyDescent="0.3">
      <c r="B27" s="57" t="s">
        <v>103</v>
      </c>
      <c r="C27" s="64">
        <v>0</v>
      </c>
      <c r="D27" s="64">
        <v>0</v>
      </c>
      <c r="E27" s="64">
        <v>0</v>
      </c>
      <c r="F27" s="64">
        <v>0</v>
      </c>
      <c r="G27" s="64">
        <v>0</v>
      </c>
      <c r="J27" s="48"/>
      <c r="K27" s="100"/>
      <c r="L27" s="100"/>
      <c r="M27" s="100"/>
      <c r="P27" s="57" t="s">
        <v>103</v>
      </c>
      <c r="R27" s="91" t="e">
        <f t="shared" si="8"/>
        <v>#DIV/0!</v>
      </c>
      <c r="S27" s="91" t="e">
        <f t="shared" si="9"/>
        <v>#DIV/0!</v>
      </c>
      <c r="T27" s="91" t="e">
        <f t="shared" si="10"/>
        <v>#DIV/0!</v>
      </c>
      <c r="U27" s="91" t="e">
        <f t="shared" si="11"/>
        <v>#DIV/0!</v>
      </c>
      <c r="W27" s="57" t="s">
        <v>103</v>
      </c>
      <c r="Y27" s="91" t="e">
        <f t="shared" si="12"/>
        <v>#DIV/0!</v>
      </c>
      <c r="Z27" s="91" t="e">
        <f t="shared" si="13"/>
        <v>#DIV/0!</v>
      </c>
      <c r="AA27" s="91" t="e">
        <f t="shared" si="14"/>
        <v>#DIV/0!</v>
      </c>
      <c r="AB27" s="91" t="e">
        <f t="shared" si="15"/>
        <v>#DIV/0!</v>
      </c>
    </row>
    <row r="28" spans="2:28" hidden="1" x14ac:dyDescent="0.3">
      <c r="B28" s="57" t="s">
        <v>104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J28" s="48"/>
      <c r="K28" s="100"/>
      <c r="L28" s="100"/>
      <c r="M28" s="100"/>
      <c r="P28" s="57" t="s">
        <v>104</v>
      </c>
      <c r="R28" s="91" t="e">
        <f t="shared" si="8"/>
        <v>#DIV/0!</v>
      </c>
      <c r="S28" s="91" t="e">
        <f t="shared" si="9"/>
        <v>#DIV/0!</v>
      </c>
      <c r="T28" s="91" t="e">
        <f t="shared" si="10"/>
        <v>#DIV/0!</v>
      </c>
      <c r="U28" s="91" t="e">
        <f t="shared" si="11"/>
        <v>#DIV/0!</v>
      </c>
      <c r="W28" s="57" t="s">
        <v>104</v>
      </c>
      <c r="Y28" s="91" t="e">
        <f t="shared" si="12"/>
        <v>#DIV/0!</v>
      </c>
      <c r="Z28" s="91" t="e">
        <f t="shared" si="13"/>
        <v>#DIV/0!</v>
      </c>
      <c r="AA28" s="91" t="e">
        <f t="shared" si="14"/>
        <v>#DIV/0!</v>
      </c>
      <c r="AB28" s="91" t="e">
        <f t="shared" si="15"/>
        <v>#DIV/0!</v>
      </c>
    </row>
    <row r="29" spans="2:28" hidden="1" x14ac:dyDescent="0.3">
      <c r="B29" s="57" t="s">
        <v>105</v>
      </c>
      <c r="C29" s="64">
        <v>0</v>
      </c>
      <c r="D29" s="64">
        <v>0</v>
      </c>
      <c r="E29" s="64">
        <v>0</v>
      </c>
      <c r="F29" s="64">
        <v>564000</v>
      </c>
      <c r="G29" s="64">
        <v>0</v>
      </c>
      <c r="J29" s="48"/>
      <c r="K29" s="99"/>
      <c r="L29" s="99"/>
      <c r="M29" s="99"/>
      <c r="P29" s="57" t="s">
        <v>105</v>
      </c>
      <c r="R29" s="91" t="e">
        <f t="shared" si="8"/>
        <v>#DIV/0!</v>
      </c>
      <c r="S29" s="91" t="e">
        <f t="shared" si="9"/>
        <v>#DIV/0!</v>
      </c>
      <c r="T29" s="91" t="e">
        <f t="shared" si="10"/>
        <v>#DIV/0!</v>
      </c>
      <c r="U29" s="91">
        <f t="shared" si="11"/>
        <v>0</v>
      </c>
      <c r="W29" s="57" t="s">
        <v>105</v>
      </c>
      <c r="Y29" s="91" t="e">
        <f t="shared" si="12"/>
        <v>#DIV/0!</v>
      </c>
      <c r="Z29" s="91" t="e">
        <f t="shared" si="13"/>
        <v>#DIV/0!</v>
      </c>
      <c r="AA29" s="91" t="e">
        <f t="shared" si="14"/>
        <v>#DIV/0!</v>
      </c>
      <c r="AB29" s="91" t="e">
        <f t="shared" si="15"/>
        <v>#DIV/0!</v>
      </c>
    </row>
    <row r="30" spans="2:28" hidden="1" x14ac:dyDescent="0.3">
      <c r="B30" s="57" t="s">
        <v>100</v>
      </c>
      <c r="C30" s="64">
        <v>0</v>
      </c>
      <c r="D30" s="64">
        <v>0</v>
      </c>
      <c r="E30" s="64">
        <v>0</v>
      </c>
      <c r="F30" s="64">
        <v>0</v>
      </c>
      <c r="G30" s="64">
        <v>0</v>
      </c>
      <c r="J30" s="48"/>
      <c r="K30" s="99"/>
      <c r="L30" s="99"/>
      <c r="M30" s="99"/>
      <c r="P30" s="57" t="s">
        <v>100</v>
      </c>
      <c r="R30" s="91" t="e">
        <f t="shared" si="8"/>
        <v>#DIV/0!</v>
      </c>
      <c r="S30" s="91" t="e">
        <f t="shared" si="9"/>
        <v>#DIV/0!</v>
      </c>
      <c r="T30" s="91" t="e">
        <f t="shared" si="10"/>
        <v>#DIV/0!</v>
      </c>
      <c r="U30" s="91" t="e">
        <f t="shared" si="11"/>
        <v>#DIV/0!</v>
      </c>
      <c r="W30" s="57" t="s">
        <v>100</v>
      </c>
      <c r="Y30" s="91" t="e">
        <f t="shared" si="12"/>
        <v>#DIV/0!</v>
      </c>
      <c r="Z30" s="91" t="e">
        <f t="shared" si="13"/>
        <v>#DIV/0!</v>
      </c>
      <c r="AA30" s="91" t="e">
        <f t="shared" si="14"/>
        <v>#DIV/0!</v>
      </c>
      <c r="AB30" s="91" t="e">
        <f t="shared" si="15"/>
        <v>#DIV/0!</v>
      </c>
    </row>
    <row r="31" spans="2:28" hidden="1" x14ac:dyDescent="0.3">
      <c r="B31" s="57" t="s">
        <v>101</v>
      </c>
      <c r="C31" s="64">
        <v>0</v>
      </c>
      <c r="D31" s="64">
        <v>0</v>
      </c>
      <c r="E31" s="64">
        <v>0</v>
      </c>
      <c r="F31" s="64">
        <v>0</v>
      </c>
      <c r="G31" s="64">
        <v>0</v>
      </c>
      <c r="J31" s="48"/>
      <c r="K31" s="99"/>
      <c r="L31" s="99"/>
      <c r="M31" s="99"/>
      <c r="P31" s="57" t="s">
        <v>101</v>
      </c>
      <c r="R31" s="91" t="e">
        <f t="shared" si="8"/>
        <v>#DIV/0!</v>
      </c>
      <c r="S31" s="91" t="e">
        <f t="shared" si="9"/>
        <v>#DIV/0!</v>
      </c>
      <c r="T31" s="91" t="e">
        <f t="shared" si="10"/>
        <v>#DIV/0!</v>
      </c>
      <c r="U31" s="91" t="e">
        <f t="shared" si="11"/>
        <v>#DIV/0!</v>
      </c>
      <c r="W31" s="57" t="s">
        <v>101</v>
      </c>
      <c r="Y31" s="91" t="e">
        <f t="shared" si="12"/>
        <v>#DIV/0!</v>
      </c>
      <c r="Z31" s="91" t="e">
        <f t="shared" si="13"/>
        <v>#DIV/0!</v>
      </c>
      <c r="AA31" s="91" t="e">
        <f t="shared" si="14"/>
        <v>#DIV/0!</v>
      </c>
      <c r="AB31" s="91" t="e">
        <f t="shared" si="15"/>
        <v>#DIV/0!</v>
      </c>
    </row>
    <row r="32" spans="2:28" hidden="1" x14ac:dyDescent="0.3">
      <c r="B32" s="57" t="s">
        <v>102</v>
      </c>
      <c r="C32" s="64">
        <v>0</v>
      </c>
      <c r="D32" s="64">
        <v>0</v>
      </c>
      <c r="E32" s="64">
        <v>0</v>
      </c>
      <c r="F32" s="64">
        <v>0</v>
      </c>
      <c r="G32" s="64">
        <v>0</v>
      </c>
      <c r="J32" s="48"/>
      <c r="K32" s="100"/>
      <c r="L32" s="100"/>
      <c r="M32" s="100"/>
      <c r="P32" s="57" t="s">
        <v>102</v>
      </c>
      <c r="R32" s="91" t="e">
        <f t="shared" si="8"/>
        <v>#DIV/0!</v>
      </c>
      <c r="S32" s="91" t="e">
        <f t="shared" si="9"/>
        <v>#DIV/0!</v>
      </c>
      <c r="T32" s="91" t="e">
        <f t="shared" si="10"/>
        <v>#DIV/0!</v>
      </c>
      <c r="U32" s="91" t="e">
        <f t="shared" si="11"/>
        <v>#DIV/0!</v>
      </c>
      <c r="W32" s="57" t="s">
        <v>102</v>
      </c>
      <c r="Y32" s="91" t="e">
        <f t="shared" si="12"/>
        <v>#DIV/0!</v>
      </c>
      <c r="Z32" s="91" t="e">
        <f t="shared" si="13"/>
        <v>#DIV/0!</v>
      </c>
      <c r="AA32" s="91" t="e">
        <f t="shared" si="14"/>
        <v>#DIV/0!</v>
      </c>
      <c r="AB32" s="91" t="e">
        <f t="shared" si="15"/>
        <v>#DIV/0!</v>
      </c>
    </row>
    <row r="33" spans="2:28" hidden="1" x14ac:dyDescent="0.3">
      <c r="B33" s="57" t="s">
        <v>103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J33" s="48"/>
      <c r="K33" s="100"/>
      <c r="L33" s="100"/>
      <c r="M33" s="100"/>
      <c r="P33" s="57" t="s">
        <v>103</v>
      </c>
      <c r="R33" s="91" t="e">
        <f t="shared" si="8"/>
        <v>#DIV/0!</v>
      </c>
      <c r="S33" s="91" t="e">
        <f t="shared" si="9"/>
        <v>#DIV/0!</v>
      </c>
      <c r="T33" s="91" t="e">
        <f t="shared" si="10"/>
        <v>#DIV/0!</v>
      </c>
      <c r="U33" s="91" t="e">
        <f t="shared" si="11"/>
        <v>#DIV/0!</v>
      </c>
      <c r="W33" s="57" t="s">
        <v>103</v>
      </c>
      <c r="Y33" s="91" t="e">
        <f t="shared" si="12"/>
        <v>#DIV/0!</v>
      </c>
      <c r="Z33" s="91" t="e">
        <f t="shared" si="13"/>
        <v>#DIV/0!</v>
      </c>
      <c r="AA33" s="91" t="e">
        <f t="shared" si="14"/>
        <v>#DIV/0!</v>
      </c>
      <c r="AB33" s="91" t="e">
        <f t="shared" si="15"/>
        <v>#DIV/0!</v>
      </c>
    </row>
    <row r="34" spans="2:28" hidden="1" x14ac:dyDescent="0.3">
      <c r="B34" s="57" t="s">
        <v>104</v>
      </c>
      <c r="C34" s="64">
        <v>0</v>
      </c>
      <c r="D34" s="64">
        <v>0</v>
      </c>
      <c r="E34" s="64">
        <v>0</v>
      </c>
      <c r="F34" s="64">
        <v>564000</v>
      </c>
      <c r="G34" s="64">
        <v>0</v>
      </c>
      <c r="J34" s="48"/>
      <c r="K34" s="100"/>
      <c r="L34" s="100"/>
      <c r="M34" s="100"/>
      <c r="P34" s="57" t="s">
        <v>104</v>
      </c>
      <c r="R34" s="91" t="e">
        <f t="shared" si="8"/>
        <v>#DIV/0!</v>
      </c>
      <c r="S34" s="91" t="e">
        <f t="shared" si="9"/>
        <v>#DIV/0!</v>
      </c>
      <c r="T34" s="91" t="e">
        <f t="shared" si="10"/>
        <v>#DIV/0!</v>
      </c>
      <c r="U34" s="91">
        <f t="shared" si="11"/>
        <v>0</v>
      </c>
      <c r="W34" s="57" t="s">
        <v>104</v>
      </c>
      <c r="Y34" s="91" t="e">
        <f t="shared" si="12"/>
        <v>#DIV/0!</v>
      </c>
      <c r="Z34" s="91" t="e">
        <f t="shared" si="13"/>
        <v>#DIV/0!</v>
      </c>
      <c r="AA34" s="91" t="e">
        <f t="shared" si="14"/>
        <v>#DIV/0!</v>
      </c>
      <c r="AB34" s="91" t="e">
        <f t="shared" si="15"/>
        <v>#DIV/0!</v>
      </c>
    </row>
    <row r="35" spans="2:28" hidden="1" x14ac:dyDescent="0.3">
      <c r="B35" s="56" t="s">
        <v>106</v>
      </c>
      <c r="C35" s="64">
        <v>50000</v>
      </c>
      <c r="D35" s="64">
        <v>0</v>
      </c>
      <c r="E35" s="64">
        <v>129000</v>
      </c>
      <c r="F35" s="64">
        <v>1485000</v>
      </c>
      <c r="G35" s="64">
        <v>126000</v>
      </c>
      <c r="J35" s="48"/>
      <c r="K35" s="100"/>
      <c r="L35" s="100"/>
      <c r="M35" s="100"/>
      <c r="P35" s="56" t="s">
        <v>106</v>
      </c>
      <c r="R35" s="91">
        <f t="shared" si="8"/>
        <v>0</v>
      </c>
      <c r="S35" s="91" t="e">
        <f t="shared" si="9"/>
        <v>#DIV/0!</v>
      </c>
      <c r="T35" s="91">
        <f t="shared" si="10"/>
        <v>11.511627906976743</v>
      </c>
      <c r="U35" s="91">
        <f t="shared" si="11"/>
        <v>8.4848484848484854E-2</v>
      </c>
      <c r="W35" s="56" t="s">
        <v>106</v>
      </c>
      <c r="Y35" s="91" t="e">
        <f t="shared" si="12"/>
        <v>#DIV/0!</v>
      </c>
      <c r="Z35" s="91" t="e">
        <f t="shared" si="13"/>
        <v>#DIV/0!</v>
      </c>
      <c r="AA35" s="91" t="e">
        <f t="shared" si="14"/>
        <v>#DIV/0!</v>
      </c>
      <c r="AB35" s="91">
        <f t="shared" si="15"/>
        <v>7.3706764615855533E-3</v>
      </c>
    </row>
    <row r="36" spans="2:28" x14ac:dyDescent="0.3">
      <c r="B36" s="57" t="s">
        <v>107</v>
      </c>
      <c r="C36" s="64">
        <v>14199000</v>
      </c>
      <c r="D36" s="64">
        <v>13141000</v>
      </c>
      <c r="E36" s="64">
        <v>8927000</v>
      </c>
      <c r="F36" s="64">
        <v>2822000</v>
      </c>
      <c r="G36" s="64">
        <f>SUM(G46,G37)</f>
        <v>11642000</v>
      </c>
      <c r="J36" s="48" t="s">
        <v>173</v>
      </c>
      <c r="K36" s="100" t="s">
        <v>16</v>
      </c>
      <c r="L36" s="100" t="s">
        <v>177</v>
      </c>
      <c r="M36" s="100" t="s">
        <v>16</v>
      </c>
      <c r="P36" s="57" t="s">
        <v>107</v>
      </c>
      <c r="R36" s="91">
        <f t="shared" si="8"/>
        <v>0.92548771040214095</v>
      </c>
      <c r="S36" s="91">
        <f t="shared" si="9"/>
        <v>0.6793242523400046</v>
      </c>
      <c r="T36" s="91">
        <f t="shared" si="10"/>
        <v>0.31611963705612189</v>
      </c>
      <c r="U36" s="91">
        <f t="shared" si="11"/>
        <v>4.1254429482636432</v>
      </c>
      <c r="W36" s="57" t="s">
        <v>107</v>
      </c>
      <c r="Y36" s="91" t="e">
        <f t="shared" si="12"/>
        <v>#DIV/0!</v>
      </c>
      <c r="Z36" s="91">
        <f t="shared" si="13"/>
        <v>0.73401758305880271</v>
      </c>
      <c r="AA36" s="91">
        <f t="shared" si="14"/>
        <v>0.46534425345071107</v>
      </c>
      <c r="AB36" s="91">
        <f t="shared" si="15"/>
        <v>13.050258397997711</v>
      </c>
    </row>
    <row r="37" spans="2:28" hidden="1" x14ac:dyDescent="0.3">
      <c r="B37" s="56" t="s">
        <v>108</v>
      </c>
      <c r="C37" s="64">
        <v>491000</v>
      </c>
      <c r="D37" s="64">
        <v>1419000</v>
      </c>
      <c r="E37" s="64">
        <v>733000</v>
      </c>
      <c r="F37" s="64">
        <v>202000</v>
      </c>
      <c r="G37" s="64">
        <v>2984000</v>
      </c>
      <c r="J37" s="48"/>
      <c r="K37" s="100"/>
      <c r="L37" s="100"/>
      <c r="M37" s="100"/>
      <c r="P37" s="56" t="s">
        <v>108</v>
      </c>
      <c r="R37" s="91">
        <f t="shared" si="8"/>
        <v>2.8900203665987778</v>
      </c>
      <c r="S37" s="91">
        <f t="shared" si="9"/>
        <v>0.51656095842142358</v>
      </c>
      <c r="T37" s="91">
        <f t="shared" si="10"/>
        <v>0.27557980900409279</v>
      </c>
      <c r="U37" s="91">
        <f t="shared" si="11"/>
        <v>14.772277227722773</v>
      </c>
      <c r="W37" s="56" t="s">
        <v>108</v>
      </c>
      <c r="Y37" s="91" t="e">
        <f t="shared" si="12"/>
        <v>#DIV/0!</v>
      </c>
      <c r="Z37" s="91">
        <f t="shared" si="13"/>
        <v>0.17873955643757505</v>
      </c>
      <c r="AA37" s="91">
        <f t="shared" si="14"/>
        <v>0.53348942561638146</v>
      </c>
      <c r="AB37" s="91">
        <f t="shared" si="15"/>
        <v>53.604352514459364</v>
      </c>
    </row>
    <row r="38" spans="2:28" hidden="1" x14ac:dyDescent="0.3">
      <c r="B38" s="56" t="s">
        <v>109</v>
      </c>
      <c r="C38" s="64">
        <v>0</v>
      </c>
      <c r="D38" s="64">
        <v>0</v>
      </c>
      <c r="E38" s="64">
        <v>0</v>
      </c>
      <c r="F38" s="64">
        <v>0</v>
      </c>
      <c r="G38" s="64">
        <v>0</v>
      </c>
      <c r="J38" s="48"/>
      <c r="K38" s="100"/>
      <c r="L38" s="100"/>
      <c r="M38" s="100"/>
      <c r="P38" s="56" t="s">
        <v>109</v>
      </c>
      <c r="R38" s="91" t="e">
        <f t="shared" si="8"/>
        <v>#DIV/0!</v>
      </c>
      <c r="S38" s="91" t="e">
        <f t="shared" si="9"/>
        <v>#DIV/0!</v>
      </c>
      <c r="T38" s="91" t="e">
        <f t="shared" si="10"/>
        <v>#DIV/0!</v>
      </c>
      <c r="U38" s="91" t="e">
        <f t="shared" si="11"/>
        <v>#DIV/0!</v>
      </c>
      <c r="W38" s="56" t="s">
        <v>109</v>
      </c>
      <c r="Y38" s="91" t="e">
        <f t="shared" si="12"/>
        <v>#DIV/0!</v>
      </c>
      <c r="Z38" s="91" t="e">
        <f t="shared" si="13"/>
        <v>#DIV/0!</v>
      </c>
      <c r="AA38" s="91" t="e">
        <f t="shared" si="14"/>
        <v>#DIV/0!</v>
      </c>
      <c r="AB38" s="91" t="e">
        <f t="shared" si="15"/>
        <v>#DIV/0!</v>
      </c>
    </row>
    <row r="39" spans="2:28" hidden="1" x14ac:dyDescent="0.3">
      <c r="B39" s="56" t="s">
        <v>110</v>
      </c>
      <c r="C39" s="64">
        <v>5000</v>
      </c>
      <c r="D39" s="64">
        <v>0</v>
      </c>
      <c r="E39" s="64">
        <v>0</v>
      </c>
      <c r="F39" s="64">
        <v>0</v>
      </c>
      <c r="G39" s="64">
        <v>0</v>
      </c>
      <c r="J39" s="48"/>
      <c r="K39" s="100"/>
      <c r="L39" s="100"/>
      <c r="M39" s="100"/>
      <c r="P39" s="56" t="s">
        <v>110</v>
      </c>
      <c r="R39" s="91">
        <f t="shared" si="8"/>
        <v>0</v>
      </c>
      <c r="S39" s="91" t="e">
        <f t="shared" si="9"/>
        <v>#DIV/0!</v>
      </c>
      <c r="T39" s="91" t="e">
        <f t="shared" si="10"/>
        <v>#DIV/0!</v>
      </c>
      <c r="U39" s="91" t="e">
        <f t="shared" si="11"/>
        <v>#DIV/0!</v>
      </c>
      <c r="W39" s="56" t="s">
        <v>110</v>
      </c>
      <c r="Y39" s="91" t="e">
        <f t="shared" si="12"/>
        <v>#DIV/0!</v>
      </c>
      <c r="Z39" s="91" t="e">
        <f t="shared" si="13"/>
        <v>#DIV/0!</v>
      </c>
      <c r="AA39" s="91" t="e">
        <f t="shared" si="14"/>
        <v>#DIV/0!</v>
      </c>
      <c r="AB39" s="91" t="e">
        <f t="shared" si="15"/>
        <v>#DIV/0!</v>
      </c>
    </row>
    <row r="40" spans="2:28" hidden="1" x14ac:dyDescent="0.3">
      <c r="B40" s="57" t="s">
        <v>99</v>
      </c>
      <c r="C40" s="64">
        <v>5000</v>
      </c>
      <c r="D40" s="64">
        <v>0</v>
      </c>
      <c r="E40" s="64">
        <v>0</v>
      </c>
      <c r="F40" s="64">
        <v>0</v>
      </c>
      <c r="G40" s="64">
        <v>0</v>
      </c>
      <c r="J40" s="48"/>
      <c r="K40" s="100"/>
      <c r="L40" s="100"/>
      <c r="M40" s="100"/>
      <c r="P40" s="57" t="s">
        <v>99</v>
      </c>
      <c r="R40" s="91">
        <f t="shared" si="8"/>
        <v>0</v>
      </c>
      <c r="S40" s="91" t="e">
        <f t="shared" si="9"/>
        <v>#DIV/0!</v>
      </c>
      <c r="T40" s="91" t="e">
        <f t="shared" si="10"/>
        <v>#DIV/0!</v>
      </c>
      <c r="U40" s="91" t="e">
        <f t="shared" si="11"/>
        <v>#DIV/0!</v>
      </c>
      <c r="W40" s="57" t="s">
        <v>99</v>
      </c>
      <c r="Y40" s="91" t="e">
        <f t="shared" si="12"/>
        <v>#DIV/0!</v>
      </c>
      <c r="Z40" s="91" t="e">
        <f t="shared" si="13"/>
        <v>#DIV/0!</v>
      </c>
      <c r="AA40" s="91" t="e">
        <f t="shared" si="14"/>
        <v>#DIV/0!</v>
      </c>
      <c r="AB40" s="91" t="e">
        <f t="shared" si="15"/>
        <v>#DIV/0!</v>
      </c>
    </row>
    <row r="41" spans="2:28" hidden="1" x14ac:dyDescent="0.3">
      <c r="B41" s="57" t="s">
        <v>111</v>
      </c>
      <c r="C41" s="64">
        <v>0</v>
      </c>
      <c r="D41" s="64">
        <v>0</v>
      </c>
      <c r="E41" s="64">
        <v>0</v>
      </c>
      <c r="F41" s="64">
        <v>0</v>
      </c>
      <c r="G41" s="64">
        <v>0</v>
      </c>
      <c r="J41" s="48"/>
      <c r="K41" s="100"/>
      <c r="L41" s="100"/>
      <c r="M41" s="100"/>
      <c r="P41" s="57" t="s">
        <v>111</v>
      </c>
      <c r="R41" s="91" t="e">
        <f t="shared" si="8"/>
        <v>#DIV/0!</v>
      </c>
      <c r="S41" s="91" t="e">
        <f t="shared" si="9"/>
        <v>#DIV/0!</v>
      </c>
      <c r="T41" s="91" t="e">
        <f t="shared" si="10"/>
        <v>#DIV/0!</v>
      </c>
      <c r="U41" s="91" t="e">
        <f t="shared" si="11"/>
        <v>#DIV/0!</v>
      </c>
      <c r="W41" s="57" t="s">
        <v>111</v>
      </c>
      <c r="Y41" s="91" t="e">
        <f t="shared" si="12"/>
        <v>#DIV/0!</v>
      </c>
      <c r="Z41" s="91" t="e">
        <f t="shared" si="13"/>
        <v>#DIV/0!</v>
      </c>
      <c r="AA41" s="91" t="e">
        <f t="shared" si="14"/>
        <v>#DIV/0!</v>
      </c>
      <c r="AB41" s="91" t="e">
        <f t="shared" si="15"/>
        <v>#DIV/0!</v>
      </c>
    </row>
    <row r="42" spans="2:28" hidden="1" x14ac:dyDescent="0.3">
      <c r="B42" s="57" t="s">
        <v>112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J42" s="48"/>
      <c r="K42" s="99"/>
      <c r="L42" s="99"/>
      <c r="M42" s="99"/>
      <c r="P42" s="57" t="s">
        <v>112</v>
      </c>
      <c r="R42" s="91" t="e">
        <f t="shared" si="8"/>
        <v>#DIV/0!</v>
      </c>
      <c r="S42" s="91" t="e">
        <f t="shared" si="9"/>
        <v>#DIV/0!</v>
      </c>
      <c r="T42" s="91" t="e">
        <f t="shared" si="10"/>
        <v>#DIV/0!</v>
      </c>
      <c r="U42" s="91" t="e">
        <f t="shared" si="11"/>
        <v>#DIV/0!</v>
      </c>
      <c r="W42" s="57" t="s">
        <v>112</v>
      </c>
      <c r="Y42" s="91" t="e">
        <f t="shared" si="12"/>
        <v>#DIV/0!</v>
      </c>
      <c r="Z42" s="91" t="e">
        <f t="shared" si="13"/>
        <v>#DIV/0!</v>
      </c>
      <c r="AA42" s="91" t="e">
        <f t="shared" si="14"/>
        <v>#DIV/0!</v>
      </c>
      <c r="AB42" s="91" t="e">
        <f t="shared" si="15"/>
        <v>#DIV/0!</v>
      </c>
    </row>
    <row r="43" spans="2:28" hidden="1" x14ac:dyDescent="0.3">
      <c r="B43" s="57" t="s">
        <v>105</v>
      </c>
      <c r="C43" s="64">
        <v>0</v>
      </c>
      <c r="D43" s="64">
        <v>0</v>
      </c>
      <c r="E43" s="64">
        <v>0</v>
      </c>
      <c r="F43" s="64">
        <v>0</v>
      </c>
      <c r="G43" s="64">
        <v>0</v>
      </c>
      <c r="J43" s="48"/>
      <c r="K43" s="99"/>
      <c r="L43" s="99"/>
      <c r="M43" s="99"/>
      <c r="P43" s="57" t="s">
        <v>105</v>
      </c>
      <c r="R43" s="91" t="e">
        <f t="shared" si="8"/>
        <v>#DIV/0!</v>
      </c>
      <c r="S43" s="91" t="e">
        <f t="shared" si="9"/>
        <v>#DIV/0!</v>
      </c>
      <c r="T43" s="91" t="e">
        <f t="shared" si="10"/>
        <v>#DIV/0!</v>
      </c>
      <c r="U43" s="91" t="e">
        <f t="shared" si="11"/>
        <v>#DIV/0!</v>
      </c>
      <c r="W43" s="57" t="s">
        <v>105</v>
      </c>
      <c r="Y43" s="91" t="e">
        <f t="shared" si="12"/>
        <v>#DIV/0!</v>
      </c>
      <c r="Z43" s="91" t="e">
        <f t="shared" si="13"/>
        <v>#DIV/0!</v>
      </c>
      <c r="AA43" s="91" t="e">
        <f t="shared" si="14"/>
        <v>#DIV/0!</v>
      </c>
      <c r="AB43" s="91" t="e">
        <f t="shared" si="15"/>
        <v>#DIV/0!</v>
      </c>
    </row>
    <row r="44" spans="2:28" hidden="1" x14ac:dyDescent="0.3">
      <c r="B44" s="57" t="s">
        <v>111</v>
      </c>
      <c r="C44" s="64">
        <v>0</v>
      </c>
      <c r="D44" s="64">
        <v>0</v>
      </c>
      <c r="E44" s="64">
        <v>0</v>
      </c>
      <c r="F44" s="64">
        <v>0</v>
      </c>
      <c r="G44" s="64">
        <v>0</v>
      </c>
      <c r="J44" s="48"/>
      <c r="K44" s="99"/>
      <c r="L44" s="99"/>
      <c r="M44" s="99"/>
      <c r="P44" s="57" t="s">
        <v>111</v>
      </c>
      <c r="R44" s="91" t="e">
        <f t="shared" si="8"/>
        <v>#DIV/0!</v>
      </c>
      <c r="S44" s="91" t="e">
        <f t="shared" si="9"/>
        <v>#DIV/0!</v>
      </c>
      <c r="T44" s="91" t="e">
        <f t="shared" si="10"/>
        <v>#DIV/0!</v>
      </c>
      <c r="U44" s="91" t="e">
        <f t="shared" si="11"/>
        <v>#DIV/0!</v>
      </c>
      <c r="W44" s="57" t="s">
        <v>111</v>
      </c>
      <c r="Y44" s="91" t="e">
        <f t="shared" si="12"/>
        <v>#DIV/0!</v>
      </c>
      <c r="Z44" s="91" t="e">
        <f t="shared" si="13"/>
        <v>#DIV/0!</v>
      </c>
      <c r="AA44" s="91" t="e">
        <f t="shared" si="14"/>
        <v>#DIV/0!</v>
      </c>
      <c r="AB44" s="91" t="e">
        <f t="shared" si="15"/>
        <v>#DIV/0!</v>
      </c>
    </row>
    <row r="45" spans="2:28" hidden="1" x14ac:dyDescent="0.3">
      <c r="B45" s="57" t="s">
        <v>112</v>
      </c>
      <c r="C45" s="64">
        <v>0</v>
      </c>
      <c r="D45" s="64">
        <v>0</v>
      </c>
      <c r="E45" s="64">
        <v>0</v>
      </c>
      <c r="F45" s="64">
        <v>0</v>
      </c>
      <c r="G45" s="64">
        <v>0</v>
      </c>
      <c r="J45" s="48"/>
      <c r="K45" s="100"/>
      <c r="L45" s="100"/>
      <c r="M45" s="100"/>
      <c r="P45" s="57" t="s">
        <v>112</v>
      </c>
      <c r="R45" s="91" t="e">
        <f t="shared" si="8"/>
        <v>#DIV/0!</v>
      </c>
      <c r="S45" s="91" t="e">
        <f t="shared" si="9"/>
        <v>#DIV/0!</v>
      </c>
      <c r="T45" s="91" t="e">
        <f t="shared" si="10"/>
        <v>#DIV/0!</v>
      </c>
      <c r="U45" s="91" t="e">
        <f t="shared" si="11"/>
        <v>#DIV/0!</v>
      </c>
      <c r="W45" s="57" t="s">
        <v>112</v>
      </c>
      <c r="Y45" s="91" t="e">
        <f t="shared" si="12"/>
        <v>#DIV/0!</v>
      </c>
      <c r="Z45" s="91" t="e">
        <f t="shared" si="13"/>
        <v>#DIV/0!</v>
      </c>
      <c r="AA45" s="91" t="e">
        <f t="shared" si="14"/>
        <v>#DIV/0!</v>
      </c>
      <c r="AB45" s="91" t="e">
        <f t="shared" si="15"/>
        <v>#DIV/0!</v>
      </c>
    </row>
    <row r="46" spans="2:28" hidden="1" x14ac:dyDescent="0.3">
      <c r="B46" s="56" t="s">
        <v>113</v>
      </c>
      <c r="C46" s="64">
        <v>13703000</v>
      </c>
      <c r="D46" s="64">
        <v>11722000</v>
      </c>
      <c r="E46" s="64">
        <v>8194000</v>
      </c>
      <c r="F46" s="64">
        <v>2620000</v>
      </c>
      <c r="G46" s="64">
        <v>8658000</v>
      </c>
      <c r="J46" s="48"/>
      <c r="K46" s="100"/>
      <c r="L46" s="100"/>
      <c r="M46" s="100"/>
      <c r="P46" s="56" t="s">
        <v>113</v>
      </c>
      <c r="R46" s="91">
        <f t="shared" si="8"/>
        <v>0.85543311683572942</v>
      </c>
      <c r="S46" s="91">
        <f t="shared" si="9"/>
        <v>0.69902746971506569</v>
      </c>
      <c r="T46" s="91">
        <f t="shared" si="10"/>
        <v>0.31974615572370024</v>
      </c>
      <c r="U46" s="91">
        <f t="shared" si="11"/>
        <v>3.3045801526717558</v>
      </c>
      <c r="W46" s="56" t="s">
        <v>113</v>
      </c>
      <c r="Y46" s="91" t="e">
        <f t="shared" si="12"/>
        <v>#DIV/0!</v>
      </c>
      <c r="Z46" s="91">
        <f t="shared" si="13"/>
        <v>0.8171620386884102</v>
      </c>
      <c r="AA46" s="91">
        <f t="shared" si="14"/>
        <v>0.45741572338213499</v>
      </c>
      <c r="AB46" s="91">
        <f t="shared" si="15"/>
        <v>10.335011362974187</v>
      </c>
    </row>
    <row r="47" spans="2:28" ht="19" customHeight="1" x14ac:dyDescent="0.3">
      <c r="B47" s="57" t="s">
        <v>114</v>
      </c>
      <c r="C47" s="65">
        <v>-6389000</v>
      </c>
      <c r="D47" s="65">
        <v>-5523000</v>
      </c>
      <c r="E47" s="65">
        <v>-2696000</v>
      </c>
      <c r="F47" s="65">
        <v>213000</v>
      </c>
      <c r="G47" s="65">
        <v>-4508000</v>
      </c>
      <c r="J47" s="48" t="s">
        <v>173</v>
      </c>
      <c r="K47" s="100" t="s">
        <v>16</v>
      </c>
      <c r="L47" s="100" t="s">
        <v>16</v>
      </c>
      <c r="M47" s="100" t="s">
        <v>16</v>
      </c>
      <c r="P47" s="57" t="s">
        <v>114</v>
      </c>
      <c r="R47" s="91">
        <f t="shared" si="8"/>
        <v>0.86445453122554394</v>
      </c>
      <c r="S47" s="91">
        <f t="shared" si="9"/>
        <v>0.48814050334962883</v>
      </c>
      <c r="T47" s="91">
        <f t="shared" si="10"/>
        <v>-7.9005934718100884E-2</v>
      </c>
      <c r="U47" s="91">
        <f t="shared" si="11"/>
        <v>-21.164319248826292</v>
      </c>
      <c r="W47" s="57" t="s">
        <v>114</v>
      </c>
      <c r="Y47" s="91" t="e">
        <f t="shared" si="12"/>
        <v>#DIV/0!</v>
      </c>
      <c r="Z47" s="91">
        <f t="shared" si="13"/>
        <v>0.56468036862226656</v>
      </c>
      <c r="AA47" s="91">
        <f t="shared" si="14"/>
        <v>-0.1618508076587801</v>
      </c>
      <c r="AB47" s="91">
        <f t="shared" si="15"/>
        <v>267.8826511494633</v>
      </c>
    </row>
    <row r="48" spans="2:28" ht="28" customHeight="1" thickBot="1" x14ac:dyDescent="0.35">
      <c r="B48" s="42" t="s">
        <v>115</v>
      </c>
      <c r="C48" s="63"/>
      <c r="D48" s="63"/>
      <c r="E48" s="63"/>
      <c r="F48" s="63"/>
      <c r="G48" s="63"/>
      <c r="P48" s="42" t="s">
        <v>115</v>
      </c>
      <c r="Q48" s="48"/>
      <c r="R48" s="96"/>
      <c r="S48" s="96"/>
      <c r="T48" s="96"/>
      <c r="U48" s="96"/>
      <c r="W48" s="42" t="s">
        <v>115</v>
      </c>
      <c r="X48" s="48"/>
      <c r="Y48" s="96"/>
      <c r="Z48" s="96"/>
      <c r="AA48" s="96"/>
      <c r="AB48" s="96"/>
    </row>
    <row r="49" spans="2:28" x14ac:dyDescent="0.3">
      <c r="B49" s="57" t="s">
        <v>95</v>
      </c>
      <c r="C49" s="64">
        <v>48180000</v>
      </c>
      <c r="D49" s="64">
        <v>1036000</v>
      </c>
      <c r="E49" s="64">
        <v>11727000</v>
      </c>
      <c r="F49" s="64">
        <v>909000</v>
      </c>
      <c r="G49" s="64">
        <v>20003000</v>
      </c>
      <c r="J49" s="46">
        <v>2018</v>
      </c>
      <c r="K49" s="46">
        <v>2019</v>
      </c>
      <c r="L49" s="46">
        <v>2020</v>
      </c>
      <c r="M49" s="46">
        <v>2021</v>
      </c>
      <c r="N49" s="47">
        <v>2022</v>
      </c>
      <c r="P49" s="57" t="s">
        <v>95</v>
      </c>
      <c r="R49" s="91">
        <f t="shared" ref="R49:R69" si="16">D49/C49</f>
        <v>2.1502698215026983E-2</v>
      </c>
      <c r="S49" s="91">
        <f t="shared" ref="S49:S69" si="17">E49/D49</f>
        <v>11.319498069498069</v>
      </c>
      <c r="T49" s="91">
        <f t="shared" ref="T49:T69" si="18">F49/E49</f>
        <v>7.7513430544896386E-2</v>
      </c>
      <c r="U49" s="91">
        <f t="shared" ref="U49:U69" si="19">G49/F49</f>
        <v>22.005500550055004</v>
      </c>
      <c r="W49" s="57" t="s">
        <v>95</v>
      </c>
      <c r="Y49" s="91" t="e">
        <f t="shared" ref="Y49:Y63" si="20">R49/Q49</f>
        <v>#DIV/0!</v>
      </c>
      <c r="Z49" s="91">
        <f t="shared" ref="Z49:Z69" si="21">S49/R49</f>
        <v>526.42221717028667</v>
      </c>
      <c r="AA49" s="91">
        <f t="shared" ref="AA49:AA69" si="22">T49/S49</f>
        <v>6.8477798281327412E-3</v>
      </c>
      <c r="AB49" s="91">
        <f t="shared" ref="AB49:AB69" si="23">U49/T49</f>
        <v>283.89274472001654</v>
      </c>
    </row>
    <row r="50" spans="2:28" hidden="1" x14ac:dyDescent="0.3">
      <c r="B50" s="56" t="s">
        <v>116</v>
      </c>
      <c r="C50" s="64">
        <v>0</v>
      </c>
      <c r="D50" s="64">
        <v>29000</v>
      </c>
      <c r="E50" s="64">
        <v>0</v>
      </c>
      <c r="F50" s="64">
        <v>0</v>
      </c>
      <c r="G50" s="64">
        <v>20003000</v>
      </c>
      <c r="P50" s="56" t="s">
        <v>116</v>
      </c>
      <c r="R50" s="91" t="e">
        <f t="shared" si="16"/>
        <v>#DIV/0!</v>
      </c>
      <c r="S50" s="91">
        <f t="shared" si="17"/>
        <v>0</v>
      </c>
      <c r="T50" s="91" t="e">
        <f t="shared" si="18"/>
        <v>#DIV/0!</v>
      </c>
      <c r="U50" s="91" t="e">
        <f t="shared" si="19"/>
        <v>#DIV/0!</v>
      </c>
      <c r="W50" s="56" t="s">
        <v>116</v>
      </c>
      <c r="Y50" s="91" t="e">
        <f t="shared" si="20"/>
        <v>#DIV/0!</v>
      </c>
      <c r="Z50" s="91" t="e">
        <f t="shared" si="21"/>
        <v>#DIV/0!</v>
      </c>
      <c r="AA50" s="91" t="e">
        <f t="shared" si="22"/>
        <v>#DIV/0!</v>
      </c>
      <c r="AB50" s="91" t="e">
        <f t="shared" si="23"/>
        <v>#DIV/0!</v>
      </c>
    </row>
    <row r="51" spans="2:28" hidden="1" x14ac:dyDescent="0.3">
      <c r="B51" s="56" t="s">
        <v>117</v>
      </c>
      <c r="C51" s="64">
        <v>48180000</v>
      </c>
      <c r="D51" s="64">
        <v>1007000</v>
      </c>
      <c r="E51" s="64">
        <v>9603000</v>
      </c>
      <c r="F51" s="64">
        <v>782000</v>
      </c>
      <c r="G51" s="64">
        <v>0</v>
      </c>
      <c r="P51" s="56" t="s">
        <v>117</v>
      </c>
      <c r="R51" s="91">
        <f t="shared" si="16"/>
        <v>2.0900788709007887E-2</v>
      </c>
      <c r="S51" s="91">
        <f t="shared" si="17"/>
        <v>9.5362462760675282</v>
      </c>
      <c r="T51" s="91">
        <f t="shared" si="18"/>
        <v>8.143288555659689E-2</v>
      </c>
      <c r="U51" s="91">
        <f t="shared" si="19"/>
        <v>0</v>
      </c>
      <c r="W51" s="56" t="s">
        <v>117</v>
      </c>
      <c r="Y51" s="91" t="e">
        <f t="shared" si="20"/>
        <v>#DIV/0!</v>
      </c>
      <c r="Z51" s="91">
        <f t="shared" si="21"/>
        <v>456.26250802476017</v>
      </c>
      <c r="AA51" s="91">
        <f t="shared" si="22"/>
        <v>8.5393018593661416E-3</v>
      </c>
      <c r="AB51" s="91">
        <f t="shared" si="23"/>
        <v>0</v>
      </c>
    </row>
    <row r="52" spans="2:28" hidden="1" x14ac:dyDescent="0.3">
      <c r="B52" s="56" t="s">
        <v>118</v>
      </c>
      <c r="C52" s="64"/>
      <c r="D52" s="64">
        <v>0</v>
      </c>
      <c r="E52" s="64">
        <v>0</v>
      </c>
      <c r="F52" s="64">
        <v>0</v>
      </c>
      <c r="G52" s="64">
        <v>0</v>
      </c>
      <c r="P52" s="56" t="s">
        <v>118</v>
      </c>
      <c r="R52" s="91" t="e">
        <f t="shared" si="16"/>
        <v>#DIV/0!</v>
      </c>
      <c r="S52" s="91" t="e">
        <f t="shared" si="17"/>
        <v>#DIV/0!</v>
      </c>
      <c r="T52" s="91" t="e">
        <f t="shared" si="18"/>
        <v>#DIV/0!</v>
      </c>
      <c r="U52" s="91" t="e">
        <f t="shared" si="19"/>
        <v>#DIV/0!</v>
      </c>
      <c r="W52" s="56" t="s">
        <v>118</v>
      </c>
      <c r="Y52" s="91" t="e">
        <f t="shared" si="20"/>
        <v>#DIV/0!</v>
      </c>
      <c r="Z52" s="91" t="e">
        <f t="shared" si="21"/>
        <v>#DIV/0!</v>
      </c>
      <c r="AA52" s="91" t="e">
        <f t="shared" si="22"/>
        <v>#DIV/0!</v>
      </c>
      <c r="AB52" s="91" t="e">
        <f t="shared" si="23"/>
        <v>#DIV/0!</v>
      </c>
    </row>
    <row r="53" spans="2:28" hidden="1" x14ac:dyDescent="0.3">
      <c r="B53" s="56" t="s">
        <v>119</v>
      </c>
      <c r="C53" s="64"/>
      <c r="D53" s="64">
        <v>0</v>
      </c>
      <c r="E53" s="64">
        <v>2124000</v>
      </c>
      <c r="F53" s="64">
        <v>127000</v>
      </c>
      <c r="G53" s="64">
        <v>0</v>
      </c>
      <c r="P53" s="56" t="s">
        <v>119</v>
      </c>
      <c r="R53" s="91" t="e">
        <f t="shared" si="16"/>
        <v>#DIV/0!</v>
      </c>
      <c r="S53" s="91" t="e">
        <f t="shared" si="17"/>
        <v>#DIV/0!</v>
      </c>
      <c r="T53" s="91">
        <f t="shared" si="18"/>
        <v>5.9792843691148775E-2</v>
      </c>
      <c r="U53" s="91">
        <f t="shared" si="19"/>
        <v>0</v>
      </c>
      <c r="W53" s="56" t="s">
        <v>119</v>
      </c>
      <c r="Y53" s="91" t="e">
        <f t="shared" si="20"/>
        <v>#DIV/0!</v>
      </c>
      <c r="Z53" s="91" t="e">
        <f t="shared" si="21"/>
        <v>#DIV/0!</v>
      </c>
      <c r="AA53" s="91" t="e">
        <f t="shared" si="22"/>
        <v>#DIV/0!</v>
      </c>
      <c r="AB53" s="91">
        <f t="shared" si="23"/>
        <v>0</v>
      </c>
    </row>
    <row r="54" spans="2:28" x14ac:dyDescent="0.3">
      <c r="B54" s="57" t="s">
        <v>107</v>
      </c>
      <c r="C54" s="64">
        <v>48268000</v>
      </c>
      <c r="D54" s="64">
        <v>14973000</v>
      </c>
      <c r="E54" s="64">
        <v>8386000</v>
      </c>
      <c r="F54" s="64">
        <v>17058000</v>
      </c>
      <c r="G54" s="64">
        <v>13749000</v>
      </c>
      <c r="I54" s="48" t="s">
        <v>174</v>
      </c>
      <c r="J54" s="101" t="str">
        <f>IF(C17&gt;0,"+","-")</f>
        <v>+</v>
      </c>
      <c r="K54" s="101" t="str">
        <f>IF(D17&gt;0,"+","-")</f>
        <v>+</v>
      </c>
      <c r="L54" s="101" t="str">
        <f>IF(E17&gt;0,"+","-")</f>
        <v>-</v>
      </c>
      <c r="M54" s="101" t="str">
        <f>IF(F17&gt;0,"+","-")</f>
        <v>+</v>
      </c>
      <c r="N54" s="101" t="str">
        <f>IF(G17&gt;0,"+","-")</f>
        <v>+</v>
      </c>
      <c r="P54" s="57" t="s">
        <v>107</v>
      </c>
      <c r="R54" s="91">
        <f t="shared" si="16"/>
        <v>0.31020551918455291</v>
      </c>
      <c r="S54" s="91">
        <f t="shared" si="17"/>
        <v>0.56007480130902287</v>
      </c>
      <c r="T54" s="91">
        <f t="shared" si="18"/>
        <v>2.0341044598139755</v>
      </c>
      <c r="U54" s="91">
        <f t="shared" si="19"/>
        <v>0.80601477312697856</v>
      </c>
      <c r="W54" s="57" t="s">
        <v>107</v>
      </c>
      <c r="Y54" s="91" t="e">
        <f t="shared" si="20"/>
        <v>#DIV/0!</v>
      </c>
      <c r="Z54" s="91">
        <f t="shared" si="21"/>
        <v>1.8054959266402135</v>
      </c>
      <c r="AA54" s="91">
        <f t="shared" si="22"/>
        <v>3.6318442734074239</v>
      </c>
      <c r="AB54" s="91">
        <f t="shared" si="23"/>
        <v>0.39625043307790142</v>
      </c>
    </row>
    <row r="55" spans="2:28" hidden="1" x14ac:dyDescent="0.3">
      <c r="B55" s="56" t="s">
        <v>120</v>
      </c>
      <c r="C55" s="64"/>
      <c r="D55" s="64"/>
      <c r="E55" s="64">
        <v>0</v>
      </c>
      <c r="F55" s="64">
        <v>0</v>
      </c>
      <c r="G55" s="64">
        <v>0</v>
      </c>
      <c r="I55" s="48"/>
      <c r="J55" s="101"/>
      <c r="K55" s="101"/>
      <c r="L55" s="101"/>
      <c r="M55" s="101"/>
      <c r="N55" s="101"/>
      <c r="P55" s="56" t="s">
        <v>120</v>
      </c>
      <c r="R55" s="91" t="e">
        <f t="shared" si="16"/>
        <v>#DIV/0!</v>
      </c>
      <c r="S55" s="91" t="e">
        <f t="shared" si="17"/>
        <v>#DIV/0!</v>
      </c>
      <c r="T55" s="91" t="e">
        <f t="shared" si="18"/>
        <v>#DIV/0!</v>
      </c>
      <c r="U55" s="91" t="e">
        <f t="shared" si="19"/>
        <v>#DIV/0!</v>
      </c>
      <c r="W55" s="56" t="s">
        <v>120</v>
      </c>
      <c r="Y55" s="91" t="e">
        <f t="shared" si="20"/>
        <v>#DIV/0!</v>
      </c>
      <c r="Z55" s="91" t="e">
        <f t="shared" si="21"/>
        <v>#DIV/0!</v>
      </c>
      <c r="AA55" s="91" t="e">
        <f t="shared" si="22"/>
        <v>#DIV/0!</v>
      </c>
      <c r="AB55" s="91" t="e">
        <f t="shared" si="23"/>
        <v>#DIV/0!</v>
      </c>
    </row>
    <row r="56" spans="2:28" hidden="1" x14ac:dyDescent="0.3">
      <c r="B56" s="56" t="s">
        <v>121</v>
      </c>
      <c r="C56" s="64">
        <v>0</v>
      </c>
      <c r="D56" s="64">
        <v>1100000</v>
      </c>
      <c r="E56" s="64">
        <v>0</v>
      </c>
      <c r="F56" s="64">
        <v>0</v>
      </c>
      <c r="G56" s="64">
        <v>0</v>
      </c>
      <c r="I56" s="48"/>
      <c r="J56" s="101"/>
      <c r="K56" s="101"/>
      <c r="L56" s="101"/>
      <c r="M56" s="101"/>
      <c r="N56" s="101"/>
      <c r="P56" s="56" t="s">
        <v>121</v>
      </c>
      <c r="R56" s="91" t="e">
        <f t="shared" si="16"/>
        <v>#DIV/0!</v>
      </c>
      <c r="S56" s="91">
        <f t="shared" si="17"/>
        <v>0</v>
      </c>
      <c r="T56" s="91" t="e">
        <f t="shared" si="18"/>
        <v>#DIV/0!</v>
      </c>
      <c r="U56" s="91" t="e">
        <f t="shared" si="19"/>
        <v>#DIV/0!</v>
      </c>
      <c r="W56" s="56" t="s">
        <v>121</v>
      </c>
      <c r="Y56" s="91" t="e">
        <f t="shared" si="20"/>
        <v>#DIV/0!</v>
      </c>
      <c r="Z56" s="91" t="e">
        <f t="shared" si="21"/>
        <v>#DIV/0!</v>
      </c>
      <c r="AA56" s="91" t="e">
        <f t="shared" si="22"/>
        <v>#DIV/0!</v>
      </c>
      <c r="AB56" s="91" t="e">
        <f t="shared" si="23"/>
        <v>#DIV/0!</v>
      </c>
    </row>
    <row r="57" spans="2:28" hidden="1" x14ac:dyDescent="0.3">
      <c r="B57" s="56" t="s">
        <v>122</v>
      </c>
      <c r="C57" s="64">
        <v>0</v>
      </c>
      <c r="D57" s="64">
        <v>0</v>
      </c>
      <c r="E57" s="64">
        <v>0</v>
      </c>
      <c r="F57" s="64">
        <v>0</v>
      </c>
      <c r="G57" s="64">
        <v>0</v>
      </c>
      <c r="I57" s="48"/>
      <c r="J57" s="101"/>
      <c r="K57" s="101"/>
      <c r="L57" s="101"/>
      <c r="M57" s="101"/>
      <c r="N57" s="101"/>
      <c r="P57" s="56" t="s">
        <v>122</v>
      </c>
      <c r="R57" s="91" t="e">
        <f t="shared" si="16"/>
        <v>#DIV/0!</v>
      </c>
      <c r="S57" s="91" t="e">
        <f t="shared" si="17"/>
        <v>#DIV/0!</v>
      </c>
      <c r="T57" s="91" t="e">
        <f t="shared" si="18"/>
        <v>#DIV/0!</v>
      </c>
      <c r="U57" s="91" t="e">
        <f t="shared" si="19"/>
        <v>#DIV/0!</v>
      </c>
      <c r="W57" s="56" t="s">
        <v>122</v>
      </c>
      <c r="Y57" s="91" t="e">
        <f t="shared" si="20"/>
        <v>#DIV/0!</v>
      </c>
      <c r="Z57" s="91" t="e">
        <f t="shared" si="21"/>
        <v>#DIV/0!</v>
      </c>
      <c r="AA57" s="91" t="e">
        <f t="shared" si="22"/>
        <v>#DIV/0!</v>
      </c>
      <c r="AB57" s="91" t="e">
        <f t="shared" si="23"/>
        <v>#DIV/0!</v>
      </c>
    </row>
    <row r="58" spans="2:28" hidden="1" x14ac:dyDescent="0.3">
      <c r="B58" s="56" t="s">
        <v>123</v>
      </c>
      <c r="C58" s="64">
        <v>46076000</v>
      </c>
      <c r="D58" s="64">
        <v>11139000</v>
      </c>
      <c r="E58" s="64">
        <v>7309000</v>
      </c>
      <c r="F58" s="64">
        <v>15631000</v>
      </c>
      <c r="G58" s="64">
        <v>11044000</v>
      </c>
      <c r="I58" s="48"/>
      <c r="J58" s="101"/>
      <c r="K58" s="101"/>
      <c r="L58" s="101"/>
      <c r="M58" s="101"/>
      <c r="N58" s="101"/>
      <c r="P58" s="56" t="s">
        <v>123</v>
      </c>
      <c r="R58" s="91">
        <f t="shared" si="16"/>
        <v>0.24175275631565241</v>
      </c>
      <c r="S58" s="91">
        <f t="shared" si="17"/>
        <v>0.65616303079271032</v>
      </c>
      <c r="T58" s="91">
        <f t="shared" si="18"/>
        <v>2.1385962511971544</v>
      </c>
      <c r="U58" s="91">
        <f t="shared" si="19"/>
        <v>0.70654468684025329</v>
      </c>
      <c r="W58" s="56" t="s">
        <v>123</v>
      </c>
      <c r="Y58" s="91" t="e">
        <f t="shared" si="20"/>
        <v>#DIV/0!</v>
      </c>
      <c r="Z58" s="91">
        <f t="shared" si="21"/>
        <v>2.7141904844963571</v>
      </c>
      <c r="AA58" s="91">
        <f t="shared" si="22"/>
        <v>3.2592452650273773</v>
      </c>
      <c r="AB58" s="91">
        <f t="shared" si="23"/>
        <v>0.33037778236295889</v>
      </c>
    </row>
    <row r="59" spans="2:28" hidden="1" x14ac:dyDescent="0.3">
      <c r="B59" s="56" t="s">
        <v>124</v>
      </c>
      <c r="C59" s="64">
        <v>0</v>
      </c>
      <c r="D59" s="64">
        <v>0</v>
      </c>
      <c r="E59" s="64">
        <v>0</v>
      </c>
      <c r="F59" s="64">
        <v>0</v>
      </c>
      <c r="G59" s="64">
        <v>0</v>
      </c>
      <c r="I59" s="48"/>
      <c r="J59" s="101"/>
      <c r="K59" s="101"/>
      <c r="L59" s="101"/>
      <c r="M59" s="101"/>
      <c r="N59" s="101"/>
      <c r="P59" s="56" t="s">
        <v>124</v>
      </c>
      <c r="R59" s="91" t="e">
        <f t="shared" si="16"/>
        <v>#DIV/0!</v>
      </c>
      <c r="S59" s="91" t="e">
        <f t="shared" si="17"/>
        <v>#DIV/0!</v>
      </c>
      <c r="T59" s="91" t="e">
        <f t="shared" si="18"/>
        <v>#DIV/0!</v>
      </c>
      <c r="U59" s="91" t="e">
        <f t="shared" si="19"/>
        <v>#DIV/0!</v>
      </c>
      <c r="W59" s="56" t="s">
        <v>124</v>
      </c>
      <c r="Y59" s="91" t="e">
        <f t="shared" si="20"/>
        <v>#DIV/0!</v>
      </c>
      <c r="Z59" s="91" t="e">
        <f t="shared" si="21"/>
        <v>#DIV/0!</v>
      </c>
      <c r="AA59" s="91" t="e">
        <f t="shared" si="22"/>
        <v>#DIV/0!</v>
      </c>
      <c r="AB59" s="91" t="e">
        <f t="shared" si="23"/>
        <v>#DIV/0!</v>
      </c>
    </row>
    <row r="60" spans="2:28" hidden="1" x14ac:dyDescent="0.3">
      <c r="B60" s="56" t="s">
        <v>125</v>
      </c>
      <c r="C60" s="64">
        <v>349000</v>
      </c>
      <c r="D60" s="64">
        <v>596000</v>
      </c>
      <c r="E60" s="64">
        <v>329000</v>
      </c>
      <c r="F60" s="64">
        <v>0</v>
      </c>
      <c r="G60" s="64">
        <v>0</v>
      </c>
      <c r="I60" s="48"/>
      <c r="J60" s="101"/>
      <c r="K60" s="101"/>
      <c r="L60" s="101"/>
      <c r="M60" s="101"/>
      <c r="N60" s="101"/>
      <c r="P60" s="56" t="s">
        <v>125</v>
      </c>
      <c r="R60" s="91">
        <f t="shared" si="16"/>
        <v>1.7077363896848137</v>
      </c>
      <c r="S60" s="91">
        <f t="shared" si="17"/>
        <v>0.55201342281879195</v>
      </c>
      <c r="T60" s="91">
        <f t="shared" si="18"/>
        <v>0</v>
      </c>
      <c r="U60" s="91" t="e">
        <f t="shared" si="19"/>
        <v>#DIV/0!</v>
      </c>
      <c r="W60" s="56" t="s">
        <v>125</v>
      </c>
      <c r="Y60" s="91" t="e">
        <f t="shared" si="20"/>
        <v>#DIV/0!</v>
      </c>
      <c r="Z60" s="91">
        <f t="shared" si="21"/>
        <v>0.32324275933516511</v>
      </c>
      <c r="AA60" s="91">
        <f t="shared" si="22"/>
        <v>0</v>
      </c>
      <c r="AB60" s="91" t="e">
        <f t="shared" si="23"/>
        <v>#DIV/0!</v>
      </c>
    </row>
    <row r="61" spans="2:28" hidden="1" x14ac:dyDescent="0.3">
      <c r="B61" s="56" t="s">
        <v>126</v>
      </c>
      <c r="C61" s="64">
        <v>0</v>
      </c>
      <c r="D61" s="64">
        <v>0</v>
      </c>
      <c r="E61" s="64">
        <v>0</v>
      </c>
      <c r="F61" s="64">
        <v>643000</v>
      </c>
      <c r="G61" s="64">
        <v>865000</v>
      </c>
      <c r="I61" s="48"/>
      <c r="J61" s="101"/>
      <c r="K61" s="101"/>
      <c r="L61" s="101"/>
      <c r="M61" s="101"/>
      <c r="N61" s="101"/>
      <c r="P61" s="56" t="s">
        <v>126</v>
      </c>
      <c r="R61" s="91" t="e">
        <f t="shared" si="16"/>
        <v>#DIV/0!</v>
      </c>
      <c r="S61" s="91" t="e">
        <f t="shared" si="17"/>
        <v>#DIV/0!</v>
      </c>
      <c r="T61" s="91" t="e">
        <f t="shared" si="18"/>
        <v>#DIV/0!</v>
      </c>
      <c r="U61" s="91">
        <f t="shared" si="19"/>
        <v>1.3452566096423018</v>
      </c>
      <c r="W61" s="56" t="s">
        <v>126</v>
      </c>
      <c r="Y61" s="91" t="e">
        <f t="shared" si="20"/>
        <v>#DIV/0!</v>
      </c>
      <c r="Z61" s="91" t="e">
        <f t="shared" si="21"/>
        <v>#DIV/0!</v>
      </c>
      <c r="AA61" s="91" t="e">
        <f t="shared" si="22"/>
        <v>#DIV/0!</v>
      </c>
      <c r="AB61" s="91" t="e">
        <f t="shared" si="23"/>
        <v>#DIV/0!</v>
      </c>
    </row>
    <row r="62" spans="2:28" hidden="1" x14ac:dyDescent="0.3">
      <c r="B62" s="56" t="s">
        <v>127</v>
      </c>
      <c r="C62" s="64">
        <v>1843000</v>
      </c>
      <c r="D62" s="64">
        <v>2138000</v>
      </c>
      <c r="E62" s="64">
        <v>748000</v>
      </c>
      <c r="F62" s="64">
        <v>784000</v>
      </c>
      <c r="G62" s="64">
        <v>1840000</v>
      </c>
      <c r="I62" s="48"/>
      <c r="J62" s="101"/>
      <c r="K62" s="101"/>
      <c r="L62" s="101"/>
      <c r="M62" s="101"/>
      <c r="N62" s="101"/>
      <c r="P62" s="56" t="s">
        <v>127</v>
      </c>
      <c r="R62" s="91">
        <f t="shared" si="16"/>
        <v>1.1600651112316875</v>
      </c>
      <c r="S62" s="91">
        <f t="shared" si="17"/>
        <v>0.34985968194574368</v>
      </c>
      <c r="T62" s="91">
        <f t="shared" si="18"/>
        <v>1.0481283422459893</v>
      </c>
      <c r="U62" s="91">
        <f t="shared" si="19"/>
        <v>2.3469387755102042</v>
      </c>
      <c r="W62" s="56" t="s">
        <v>127</v>
      </c>
      <c r="Y62" s="91" t="e">
        <f t="shared" si="20"/>
        <v>#DIV/0!</v>
      </c>
      <c r="Z62" s="91">
        <f t="shared" si="21"/>
        <v>0.30158624594293992</v>
      </c>
      <c r="AA62" s="91">
        <f t="shared" si="22"/>
        <v>2.9958534702164772</v>
      </c>
      <c r="AB62" s="91">
        <f t="shared" si="23"/>
        <v>2.2391711786755519</v>
      </c>
    </row>
    <row r="63" spans="2:28" hidden="1" x14ac:dyDescent="0.3">
      <c r="B63" s="56" t="s">
        <v>128</v>
      </c>
      <c r="C63" s="64">
        <v>0</v>
      </c>
      <c r="D63" s="64">
        <v>0</v>
      </c>
      <c r="E63" s="64">
        <v>0</v>
      </c>
      <c r="F63" s="64">
        <v>0</v>
      </c>
      <c r="G63" s="64">
        <v>0</v>
      </c>
      <c r="I63" s="48"/>
      <c r="J63" s="101"/>
      <c r="K63" s="101"/>
      <c r="L63" s="101"/>
      <c r="M63" s="101"/>
      <c r="N63" s="101"/>
      <c r="P63" s="56" t="s">
        <v>128</v>
      </c>
      <c r="R63" s="91" t="e">
        <f t="shared" si="16"/>
        <v>#DIV/0!</v>
      </c>
      <c r="S63" s="91" t="e">
        <f t="shared" si="17"/>
        <v>#DIV/0!</v>
      </c>
      <c r="T63" s="91" t="e">
        <f t="shared" si="18"/>
        <v>#DIV/0!</v>
      </c>
      <c r="U63" s="91" t="e">
        <f t="shared" si="19"/>
        <v>#DIV/0!</v>
      </c>
      <c r="W63" s="56" t="s">
        <v>128</v>
      </c>
      <c r="Y63" s="91" t="e">
        <f t="shared" si="20"/>
        <v>#DIV/0!</v>
      </c>
      <c r="Z63" s="91" t="e">
        <f t="shared" si="21"/>
        <v>#DIV/0!</v>
      </c>
      <c r="AA63" s="91" t="e">
        <f t="shared" si="22"/>
        <v>#DIV/0!</v>
      </c>
      <c r="AB63" s="91" t="e">
        <f t="shared" si="23"/>
        <v>#DIV/0!</v>
      </c>
    </row>
    <row r="64" spans="2:28" x14ac:dyDescent="0.3">
      <c r="B64" s="57" t="s">
        <v>129</v>
      </c>
      <c r="C64" s="65">
        <v>-88000</v>
      </c>
      <c r="D64" s="65">
        <v>-13937000</v>
      </c>
      <c r="E64" s="65">
        <v>3341000</v>
      </c>
      <c r="F64" s="65">
        <v>-16149000</v>
      </c>
      <c r="G64" s="65">
        <v>6254000</v>
      </c>
      <c r="I64" s="48" t="s">
        <v>175</v>
      </c>
      <c r="J64" s="101" t="str">
        <f>IF(C47&gt;0,"+","-")</f>
        <v>-</v>
      </c>
      <c r="K64" s="101" t="str">
        <f>IF(D47&gt;0,"+","-")</f>
        <v>-</v>
      </c>
      <c r="L64" s="101" t="str">
        <f>IF(E47&gt;0,"+","-")</f>
        <v>-</v>
      </c>
      <c r="M64" s="101" t="str">
        <f>IF(F47&gt;0,"+","-")</f>
        <v>+</v>
      </c>
      <c r="N64" s="101" t="str">
        <f>IF(G47&gt;0,"+","-")</f>
        <v>-</v>
      </c>
      <c r="P64" s="57" t="s">
        <v>129</v>
      </c>
      <c r="R64" s="91">
        <f t="shared" si="16"/>
        <v>158.375</v>
      </c>
      <c r="S64" s="91">
        <f t="shared" si="17"/>
        <v>-0.23972160436248835</v>
      </c>
      <c r="T64" s="91">
        <f t="shared" si="18"/>
        <v>-4.8335827596527983</v>
      </c>
      <c r="U64" s="91">
        <f t="shared" si="19"/>
        <v>-0.38726856152083722</v>
      </c>
      <c r="W64" s="57" t="s">
        <v>129</v>
      </c>
      <c r="Y64" s="91" t="e">
        <f t="shared" ref="Y64:Y69" si="24">R64/Q64</f>
        <v>#DIV/0!</v>
      </c>
      <c r="Z64" s="91">
        <f t="shared" si="21"/>
        <v>-1.513632861010187E-3</v>
      </c>
      <c r="AA64" s="91">
        <f t="shared" si="22"/>
        <v>20.163317246716865</v>
      </c>
      <c r="AB64" s="91">
        <f t="shared" si="23"/>
        <v>8.0120395321141694E-2</v>
      </c>
    </row>
    <row r="65" spans="2:28" x14ac:dyDescent="0.3">
      <c r="B65" s="42" t="s">
        <v>130</v>
      </c>
      <c r="C65" s="65">
        <v>9613000</v>
      </c>
      <c r="D65" s="65">
        <v>7024000</v>
      </c>
      <c r="E65" s="65">
        <v>-9267000</v>
      </c>
      <c r="F65" s="65">
        <v>6562000</v>
      </c>
      <c r="G65" s="65">
        <v>41746000</v>
      </c>
      <c r="I65" s="48" t="s">
        <v>176</v>
      </c>
      <c r="J65" s="101" t="str">
        <f>IF(C64&gt;0,"+","-")</f>
        <v>-</v>
      </c>
      <c r="K65" s="101" t="str">
        <f>IF(D64&gt;0,"+","-")</f>
        <v>-</v>
      </c>
      <c r="L65" s="101" t="str">
        <f>IF(E64&gt;0,"+","-")</f>
        <v>+</v>
      </c>
      <c r="M65" s="101" t="str">
        <f>IF(F64&gt;0,"+","-")</f>
        <v>-</v>
      </c>
      <c r="N65" s="101" t="str">
        <f>IF(G64&gt;0,"+","-")</f>
        <v>+</v>
      </c>
      <c r="P65" s="42" t="s">
        <v>130</v>
      </c>
      <c r="Q65" s="42"/>
      <c r="R65" s="97">
        <f t="shared" si="16"/>
        <v>0.73067720794757096</v>
      </c>
      <c r="S65" s="97">
        <f t="shared" si="17"/>
        <v>-1.3193337129840548</v>
      </c>
      <c r="T65" s="97">
        <f t="shared" si="18"/>
        <v>-0.70810402503507064</v>
      </c>
      <c r="U65" s="97">
        <f t="shared" si="19"/>
        <v>6.361779945138677</v>
      </c>
      <c r="W65" s="42" t="s">
        <v>130</v>
      </c>
      <c r="X65" s="42"/>
      <c r="Y65" s="97" t="e">
        <f t="shared" si="24"/>
        <v>#DIV/0!</v>
      </c>
      <c r="Z65" s="97">
        <f t="shared" si="21"/>
        <v>-1.8056314041736503</v>
      </c>
      <c r="AA65" s="97">
        <f t="shared" si="22"/>
        <v>0.53671335619362637</v>
      </c>
      <c r="AB65" s="97">
        <f t="shared" si="23"/>
        <v>-8.9842448569948381</v>
      </c>
    </row>
    <row r="66" spans="2:28" ht="26" x14ac:dyDescent="0.3">
      <c r="B66" s="42" t="s">
        <v>131</v>
      </c>
      <c r="C66" s="65">
        <v>9613000</v>
      </c>
      <c r="D66" s="65">
        <v>7024000</v>
      </c>
      <c r="E66" s="65">
        <v>-9267000</v>
      </c>
      <c r="F66" s="65">
        <v>6562000</v>
      </c>
      <c r="G66" s="65">
        <v>41746000</v>
      </c>
      <c r="I66" s="48" t="s">
        <v>178</v>
      </c>
      <c r="J66" s="48" t="s">
        <v>170</v>
      </c>
      <c r="K66" s="48" t="s">
        <v>170</v>
      </c>
      <c r="L66" s="48" t="s">
        <v>172</v>
      </c>
      <c r="M66" s="48" t="s">
        <v>168</v>
      </c>
      <c r="N66" s="48" t="s">
        <v>169</v>
      </c>
      <c r="P66" s="42" t="s">
        <v>131</v>
      </c>
      <c r="Q66" s="42"/>
      <c r="R66" s="97">
        <f t="shared" si="16"/>
        <v>0.73067720794757096</v>
      </c>
      <c r="S66" s="97">
        <f t="shared" si="17"/>
        <v>-1.3193337129840548</v>
      </c>
      <c r="T66" s="97">
        <f t="shared" si="18"/>
        <v>-0.70810402503507064</v>
      </c>
      <c r="U66" s="97">
        <f t="shared" si="19"/>
        <v>6.361779945138677</v>
      </c>
      <c r="W66" s="42" t="s">
        <v>131</v>
      </c>
      <c r="X66" s="42"/>
      <c r="Y66" s="97" t="e">
        <f t="shared" si="24"/>
        <v>#DIV/0!</v>
      </c>
      <c r="Z66" s="97">
        <f t="shared" si="21"/>
        <v>-1.8056314041736503</v>
      </c>
      <c r="AA66" s="97">
        <f t="shared" si="22"/>
        <v>0.53671335619362637</v>
      </c>
      <c r="AB66" s="97">
        <f t="shared" si="23"/>
        <v>-8.9842448569948381</v>
      </c>
    </row>
    <row r="67" spans="2:28" hidden="1" x14ac:dyDescent="0.3">
      <c r="B67" s="57" t="s">
        <v>132</v>
      </c>
      <c r="C67" s="64">
        <v>0</v>
      </c>
      <c r="D67" s="64">
        <v>0</v>
      </c>
      <c r="E67" s="64">
        <v>0</v>
      </c>
      <c r="F67" s="64">
        <v>0</v>
      </c>
      <c r="G67" s="64">
        <v>0</v>
      </c>
      <c r="P67" s="57" t="s">
        <v>132</v>
      </c>
      <c r="Q67" s="42"/>
      <c r="R67" s="97" t="e">
        <f t="shared" si="16"/>
        <v>#DIV/0!</v>
      </c>
      <c r="S67" s="97" t="e">
        <f t="shared" si="17"/>
        <v>#DIV/0!</v>
      </c>
      <c r="T67" s="97" t="e">
        <f t="shared" si="18"/>
        <v>#DIV/0!</v>
      </c>
      <c r="U67" s="97" t="e">
        <f t="shared" si="19"/>
        <v>#DIV/0!</v>
      </c>
      <c r="W67" s="57" t="s">
        <v>132</v>
      </c>
      <c r="X67" s="42"/>
      <c r="Y67" s="97" t="e">
        <f t="shared" si="24"/>
        <v>#DIV/0!</v>
      </c>
      <c r="Z67" s="97" t="e">
        <f t="shared" si="21"/>
        <v>#DIV/0!</v>
      </c>
      <c r="AA67" s="97" t="e">
        <f t="shared" si="22"/>
        <v>#DIV/0!</v>
      </c>
      <c r="AB67" s="97" t="e">
        <f t="shared" si="23"/>
        <v>#DIV/0!</v>
      </c>
    </row>
    <row r="68" spans="2:28" x14ac:dyDescent="0.3">
      <c r="B68" s="42" t="s">
        <v>133</v>
      </c>
      <c r="C68" s="65">
        <v>7839000</v>
      </c>
      <c r="D68" s="65">
        <v>17452000</v>
      </c>
      <c r="E68" s="65">
        <v>24476000</v>
      </c>
      <c r="F68" s="65">
        <v>15209000</v>
      </c>
      <c r="G68" s="65">
        <v>21771000</v>
      </c>
      <c r="I68" s="98"/>
      <c r="P68" s="42" t="s">
        <v>133</v>
      </c>
      <c r="Q68" s="42"/>
      <c r="R68" s="97">
        <f t="shared" si="16"/>
        <v>2.2263043755581071</v>
      </c>
      <c r="S68" s="97">
        <f t="shared" si="17"/>
        <v>1.4024753609901444</v>
      </c>
      <c r="T68" s="97">
        <f t="shared" si="18"/>
        <v>0.62138421310671677</v>
      </c>
      <c r="U68" s="97">
        <f t="shared" si="19"/>
        <v>1.431455059504241</v>
      </c>
      <c r="W68" s="42" t="s">
        <v>133</v>
      </c>
      <c r="X68" s="42"/>
      <c r="Y68" s="97" t="e">
        <f t="shared" si="24"/>
        <v>#DIV/0!</v>
      </c>
      <c r="Z68" s="97">
        <f t="shared" si="21"/>
        <v>0.62995670151282035</v>
      </c>
      <c r="AA68" s="97">
        <f t="shared" si="22"/>
        <v>0.44306248108916574</v>
      </c>
      <c r="AB68" s="97">
        <f t="shared" si="23"/>
        <v>2.3036553380515357</v>
      </c>
    </row>
    <row r="69" spans="2:28" x14ac:dyDescent="0.3">
      <c r="B69" s="42" t="s">
        <v>134</v>
      </c>
      <c r="C69" s="65">
        <v>17452000</v>
      </c>
      <c r="D69" s="65">
        <v>24476000</v>
      </c>
      <c r="E69" s="65">
        <v>15209000</v>
      </c>
      <c r="F69" s="65">
        <v>21771000</v>
      </c>
      <c r="G69" s="65">
        <v>63517000</v>
      </c>
      <c r="P69" s="42" t="s">
        <v>134</v>
      </c>
      <c r="Q69" s="42"/>
      <c r="R69" s="97">
        <f t="shared" si="16"/>
        <v>1.4024753609901444</v>
      </c>
      <c r="S69" s="97">
        <f t="shared" si="17"/>
        <v>0.62138421310671677</v>
      </c>
      <c r="T69" s="97">
        <f t="shared" si="18"/>
        <v>1.431455059504241</v>
      </c>
      <c r="U69" s="97">
        <f t="shared" si="19"/>
        <v>2.9175049377612421</v>
      </c>
      <c r="W69" s="42" t="s">
        <v>134</v>
      </c>
      <c r="X69" s="42"/>
      <c r="Y69" s="97" t="e">
        <f t="shared" si="24"/>
        <v>#DIV/0!</v>
      </c>
      <c r="Z69" s="97">
        <f t="shared" si="21"/>
        <v>0.44306248108916574</v>
      </c>
      <c r="AA69" s="97">
        <f t="shared" si="22"/>
        <v>2.3036553380515357</v>
      </c>
      <c r="AB69" s="97">
        <f t="shared" si="23"/>
        <v>2.03813938718528</v>
      </c>
    </row>
    <row r="70" spans="2:28" hidden="1" x14ac:dyDescent="0.3">
      <c r="B70" s="57" t="s">
        <v>135</v>
      </c>
      <c r="C70" s="64"/>
      <c r="D70" s="64"/>
      <c r="E70" s="64"/>
      <c r="F70" s="64">
        <v>0</v>
      </c>
      <c r="G70" s="64">
        <v>0</v>
      </c>
    </row>
    <row r="72" spans="2:28" x14ac:dyDescent="0.3">
      <c r="J72" s="48" t="s">
        <v>166</v>
      </c>
      <c r="K72" s="48" t="s">
        <v>174</v>
      </c>
      <c r="L72" s="48" t="s">
        <v>179</v>
      </c>
    </row>
    <row r="73" spans="2:28" x14ac:dyDescent="0.3">
      <c r="J73" s="48" t="s">
        <v>167</v>
      </c>
      <c r="K73" s="99" t="s">
        <v>177</v>
      </c>
      <c r="L73" s="99" t="s">
        <v>177</v>
      </c>
    </row>
    <row r="74" spans="2:28" x14ac:dyDescent="0.3">
      <c r="D74" s="22"/>
      <c r="J74" s="48" t="s">
        <v>168</v>
      </c>
      <c r="K74" s="100" t="s">
        <v>16</v>
      </c>
      <c r="L74" s="100" t="s">
        <v>177</v>
      </c>
    </row>
    <row r="75" spans="2:28" x14ac:dyDescent="0.3">
      <c r="J75" s="48" t="s">
        <v>169</v>
      </c>
      <c r="K75" s="100" t="s">
        <v>177</v>
      </c>
      <c r="L75" s="100" t="s">
        <v>16</v>
      </c>
    </row>
    <row r="76" spans="2:28" x14ac:dyDescent="0.3">
      <c r="J76" s="48" t="s">
        <v>170</v>
      </c>
      <c r="K76" s="99" t="s">
        <v>16</v>
      </c>
      <c r="L76" s="99" t="s">
        <v>16</v>
      </c>
    </row>
    <row r="78" spans="2:28" ht="13.5" thickBot="1" x14ac:dyDescent="0.35"/>
    <row r="79" spans="2:28" x14ac:dyDescent="0.3">
      <c r="J79" s="46">
        <v>2018</v>
      </c>
      <c r="K79" s="46">
        <v>2019</v>
      </c>
      <c r="L79" s="46">
        <v>2020</v>
      </c>
      <c r="M79" s="46">
        <v>2021</v>
      </c>
      <c r="N79" s="47">
        <v>2022</v>
      </c>
    </row>
    <row r="80" spans="2:28" x14ac:dyDescent="0.3">
      <c r="I80" s="48" t="s">
        <v>174</v>
      </c>
      <c r="J80" s="101" t="str">
        <f>IF(C17&gt;0,"+","-")</f>
        <v>+</v>
      </c>
      <c r="K80" s="101" t="str">
        <f>IF(D17&gt;0,"+","-")</f>
        <v>+</v>
      </c>
      <c r="L80" s="101" t="str">
        <f>IF(E17&gt;0,"+","-")</f>
        <v>-</v>
      </c>
      <c r="M80" s="101" t="str">
        <f>IF(F17&gt;0,"+","-")</f>
        <v>+</v>
      </c>
      <c r="N80" s="101" t="str">
        <f>IF(G17&gt;0,"+","-")</f>
        <v>+</v>
      </c>
    </row>
    <row r="81" spans="9:14" x14ac:dyDescent="0.3">
      <c r="I81" s="48" t="s">
        <v>179</v>
      </c>
      <c r="J81" s="101" t="str">
        <f>IF(C65&gt;0,"+","-")</f>
        <v>+</v>
      </c>
      <c r="K81" s="101" t="str">
        <f>IF(D65&gt;0,"+","-")</f>
        <v>+</v>
      </c>
      <c r="L81" s="101" t="str">
        <f>IF(E65&gt;0,"+","-")</f>
        <v>-</v>
      </c>
      <c r="M81" s="101" t="str">
        <f>IF(F65&gt;0,"+","-")</f>
        <v>+</v>
      </c>
      <c r="N81" s="101" t="str">
        <f>IF(G65&gt;0,"+","-")</f>
        <v>+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3EA2-989F-4BDF-B0A6-EDDA1D3CFB16}">
  <sheetPr>
    <tabColor theme="6" tint="0.39997558519241921"/>
  </sheetPr>
  <dimension ref="B2:H13"/>
  <sheetViews>
    <sheetView zoomScale="70" zoomScaleNormal="70" workbookViewId="0">
      <selection activeCell="B13" sqref="B11:B13"/>
    </sheetView>
  </sheetViews>
  <sheetFormatPr defaultRowHeight="13" x14ac:dyDescent="0.3"/>
  <cols>
    <col min="2" max="2" width="51.59765625" bestFit="1" customWidth="1"/>
    <col min="3" max="3" width="7.09765625" customWidth="1"/>
    <col min="8" max="8" width="20.796875" bestFit="1" customWidth="1"/>
  </cols>
  <sheetData>
    <row r="2" spans="2:8" x14ac:dyDescent="0.3">
      <c r="B2" s="101" t="s">
        <v>197</v>
      </c>
      <c r="C2" s="101" t="s">
        <v>192</v>
      </c>
      <c r="D2" s="101" t="s">
        <v>193</v>
      </c>
      <c r="E2" s="101" t="s">
        <v>194</v>
      </c>
      <c r="F2" s="101" t="s">
        <v>195</v>
      </c>
      <c r="G2" s="101" t="s">
        <v>196</v>
      </c>
      <c r="H2" t="s">
        <v>183</v>
      </c>
    </row>
    <row r="3" spans="2:8" x14ac:dyDescent="0.3">
      <c r="B3" t="s">
        <v>180</v>
      </c>
      <c r="C3" s="104">
        <f>Bilans!C16/Bilans!C33</f>
        <v>0.40747493163172288</v>
      </c>
      <c r="D3" s="104">
        <f>Bilans!D16/Bilans!D33</f>
        <v>0.41245241979336594</v>
      </c>
      <c r="E3" s="104">
        <f>Bilans!E16/Bilans!E33</f>
        <v>0.16048524108056553</v>
      </c>
      <c r="F3" s="104">
        <f>Bilans!F16/Bilans!F33</f>
        <v>0.34381958591936324</v>
      </c>
      <c r="G3" s="104">
        <f>Bilans!G16/Bilans!G33</f>
        <v>0.72172404802122181</v>
      </c>
      <c r="H3" s="101" t="s">
        <v>184</v>
      </c>
    </row>
    <row r="4" spans="2:8" x14ac:dyDescent="0.3">
      <c r="B4" t="s">
        <v>181</v>
      </c>
      <c r="C4" s="104">
        <f>(Bilans!C13-Bilans!C14-Bilans!C17)/Bilans!C33</f>
        <v>1.2246244698981412</v>
      </c>
      <c r="D4" s="104">
        <f>(Bilans!D13-Bilans!D14-Bilans!D17)/Bilans!D33</f>
        <v>1.2329768594042656</v>
      </c>
      <c r="E4" s="104">
        <f>(Bilans!E13-Bilans!E14-Bilans!E17)/Bilans!E33</f>
        <v>0.58165343613078857</v>
      </c>
      <c r="F4" s="104">
        <f>(Bilans!F13-Bilans!F14-Bilans!F17)/Bilans!F33</f>
        <v>1.0734669382985107</v>
      </c>
      <c r="G4" s="104">
        <f>(Bilans!G13-Bilans!G14-Bilans!G17)/Bilans!G33</f>
        <v>1.6059675097210098</v>
      </c>
      <c r="H4" s="101" t="s">
        <v>185</v>
      </c>
    </row>
    <row r="5" spans="2:8" x14ac:dyDescent="0.3">
      <c r="B5" t="s">
        <v>182</v>
      </c>
      <c r="C5" s="104">
        <f>Bilans!C13/Bilans!C33</f>
        <v>1.2575403273750545</v>
      </c>
      <c r="D5" s="104">
        <f>Bilans!D13/Bilans!D33</f>
        <v>1.2595462509818138</v>
      </c>
      <c r="E5" s="104">
        <f>Bilans!E13/Bilans!E33</f>
        <v>0.59710286037893312</v>
      </c>
      <c r="F5" s="104">
        <f>Bilans!F13/Bilans!F33</f>
        <v>1.1173702247279733</v>
      </c>
      <c r="G5" s="104">
        <f>Bilans!G13/Bilans!G33</f>
        <v>1.6673544115813221</v>
      </c>
      <c r="H5" s="101" t="s">
        <v>186</v>
      </c>
    </row>
    <row r="7" spans="2:8" ht="26.5" thickBot="1" x14ac:dyDescent="0.35">
      <c r="B7" s="105" t="s">
        <v>198</v>
      </c>
      <c r="C7" s="105" t="s">
        <v>192</v>
      </c>
      <c r="D7" s="105" t="s">
        <v>193</v>
      </c>
      <c r="E7" s="105" t="s">
        <v>194</v>
      </c>
      <c r="F7" s="105" t="s">
        <v>195</v>
      </c>
      <c r="G7" s="105" t="s">
        <v>196</v>
      </c>
      <c r="H7" s="110" t="s">
        <v>183</v>
      </c>
    </row>
    <row r="8" spans="2:8" x14ac:dyDescent="0.3">
      <c r="B8" s="102" t="s">
        <v>187</v>
      </c>
      <c r="C8" s="106">
        <f>'Rachunek przepływów pieniężnych'!C17/'Rachunek zysków i strat'!C17</f>
        <v>1.7636742299682122</v>
      </c>
      <c r="D8" s="106">
        <f>'Rachunek przepływów pieniężnych'!D17/'Rachunek zysków i strat'!D17</f>
        <v>1.2284428776844938</v>
      </c>
      <c r="E8" s="106">
        <f>'Rachunek przepływów pieniężnych'!E17/'Rachunek zysków i strat'!E17</f>
        <v>0.54004576659038905</v>
      </c>
      <c r="F8" s="106">
        <f>'Rachunek przepływów pieniężnych'!F17/'Rachunek zysków i strat'!F17</f>
        <v>0.48486024008103273</v>
      </c>
      <c r="G8" s="106">
        <f>'Rachunek przepływów pieniężnych'!G17/'Rachunek zysków i strat'!G17</f>
        <v>0.52199558913727184</v>
      </c>
      <c r="H8" s="107" t="s">
        <v>199</v>
      </c>
    </row>
    <row r="9" spans="2:8" x14ac:dyDescent="0.3">
      <c r="B9" s="103" t="s">
        <v>188</v>
      </c>
      <c r="C9" s="108">
        <f>'Rachunek przepływów pieniężnych'!C17/'Rachunek zysków i strat'!C26</f>
        <v>-2.0654685494223362</v>
      </c>
      <c r="D9" s="108">
        <f>'Rachunek przepływów pieniężnych'!D17/'Rachunek zysków i strat'!D26</f>
        <v>2.465921787709497</v>
      </c>
      <c r="E9" s="108">
        <f>'Rachunek przepływów pieniężnych'!E17/'Rachunek zysków i strat'!E26</f>
        <v>0.32753948846738484</v>
      </c>
      <c r="F9" s="108">
        <f>'Rachunek przepływów pieniężnych'!F17/'Rachunek zysków i strat'!F26</f>
        <v>0.43937115516062886</v>
      </c>
      <c r="G9" s="108">
        <f>'Rachunek przepływów pieniężnych'!G17/'Rachunek zysków i strat'!G26</f>
        <v>0.50370855423052219</v>
      </c>
      <c r="H9" s="109" t="s">
        <v>200</v>
      </c>
    </row>
    <row r="10" spans="2:8" x14ac:dyDescent="0.3">
      <c r="B10" s="102" t="s">
        <v>189</v>
      </c>
      <c r="C10" s="106">
        <f>'Rachunek przepływów pieniężnych'!C17/Bilans!C19</f>
        <v>8.1856707518709021E-2</v>
      </c>
      <c r="D10" s="106">
        <f>'Rachunek przepływów pieniężnych'!D17/Bilans!D19</f>
        <v>0.12337362867724128</v>
      </c>
      <c r="E10" s="106">
        <f>'Rachunek przepływów pieniężnych'!E17/Bilans!E19</f>
        <v>-6.3893150437686133E-2</v>
      </c>
      <c r="F10" s="106">
        <f>'Rachunek przepływów pieniężnych'!F17/Bilans!F19</f>
        <v>0.12217745001140425</v>
      </c>
      <c r="G10" s="106">
        <f>'Rachunek przepływów pieniężnych'!G17/Bilans!G19</f>
        <v>0.13293894778822826</v>
      </c>
      <c r="H10" s="107"/>
    </row>
    <row r="11" spans="2:8" ht="26" x14ac:dyDescent="0.3">
      <c r="B11" s="121" t="s">
        <v>190</v>
      </c>
      <c r="C11" s="108">
        <f>'Rachunek przepływów pieniężnych'!C17/Bilans!C30</f>
        <v>0.15310686078599295</v>
      </c>
      <c r="D11" s="108">
        <f>'Rachunek przepływów pieniężnych'!D17/Bilans!D30</f>
        <v>0.22100388033546126</v>
      </c>
      <c r="E11" s="108">
        <f>'Rachunek przepływów pieniężnych'!E17/Bilans!E30</f>
        <v>-8.2807017543859648E-2</v>
      </c>
      <c r="F11" s="108">
        <f>'Rachunek przepływów pieniężnych'!F17/Bilans!F30</f>
        <v>0.2418151722951912</v>
      </c>
      <c r="G11" s="108">
        <f>'Rachunek przepływów pieniężnych'!G17/Bilans!G30</f>
        <v>0.38238724356155479</v>
      </c>
      <c r="H11" s="109"/>
    </row>
    <row r="12" spans="2:8" x14ac:dyDescent="0.3">
      <c r="B12" s="122" t="s">
        <v>191</v>
      </c>
      <c r="C12" s="106">
        <f>'Rachunek przepływów pieniężnych'!C17/(Bilans!C32+Bilans!C31+Bilans!C33)</f>
        <v>0.15520251565047119</v>
      </c>
      <c r="D12" s="106">
        <f>'Rachunek przepływów pieniężnych'!D17/(Bilans!D32+Bilans!D31)</f>
        <v>0.54168371103657043</v>
      </c>
      <c r="E12" s="106">
        <f>'Rachunek przepływów pieniężnych'!E17/(Bilans!E32+Bilans!E31)</f>
        <v>-0.63069483329091369</v>
      </c>
      <c r="F12" s="106">
        <f>'Rachunek przepływów pieniężnych'!F17/(Bilans!F32+Bilans!F31)</f>
        <v>0.84398094309187077</v>
      </c>
      <c r="G12" s="106">
        <f>'Rachunek przepływów pieniężnych'!G17/(Bilans!G32+Bilans!G31)</f>
        <v>3.2221685194135654</v>
      </c>
      <c r="H12" s="107" t="s">
        <v>201</v>
      </c>
    </row>
    <row r="13" spans="2:8" ht="26" x14ac:dyDescent="0.3">
      <c r="B13" s="121" t="s">
        <v>202</v>
      </c>
      <c r="C13" s="108">
        <f>'Rachunek przepływów pieniężnych'!C17/Bilans!C7</f>
        <v>0.61534342970781708</v>
      </c>
      <c r="D13" s="108">
        <f>'Rachunek przepływów pieniężnych'!D17/Bilans!D7</f>
        <v>0.68113780155341808</v>
      </c>
      <c r="E13" s="108">
        <f>'Rachunek przepływów pieniężnych'!E17/Bilans!E7</f>
        <v>-0.30946954322645104</v>
      </c>
      <c r="F13" s="108">
        <f>'Rachunek przepływów pieniężnych'!F17/Bilans!F7</f>
        <v>0.99880133185349607</v>
      </c>
      <c r="G13" s="108">
        <f>'Rachunek przepływów pieniężnych'!G17/Bilans!G7</f>
        <v>2.2891152569531874</v>
      </c>
      <c r="H13" s="109" t="s">
        <v>201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F49B-8137-4552-9D61-C0533E5620BB}">
  <sheetPr>
    <tabColor theme="7" tint="0.39997558519241921"/>
  </sheetPr>
  <dimension ref="B6:H10"/>
  <sheetViews>
    <sheetView zoomScale="70" zoomScaleNormal="70" workbookViewId="0">
      <selection activeCell="H1" sqref="H1:H1048576"/>
    </sheetView>
  </sheetViews>
  <sheetFormatPr defaultRowHeight="13" x14ac:dyDescent="0.3"/>
  <cols>
    <col min="2" max="2" width="42.3984375" bestFit="1" customWidth="1"/>
    <col min="7" max="7" width="8.296875" customWidth="1"/>
    <col min="8" max="8" width="20.796875" bestFit="1" customWidth="1"/>
  </cols>
  <sheetData>
    <row r="6" spans="2:8" ht="13.5" thickBot="1" x14ac:dyDescent="0.35">
      <c r="B6" s="105" t="s">
        <v>203</v>
      </c>
      <c r="C6" s="105" t="s">
        <v>192</v>
      </c>
      <c r="D6" s="105" t="s">
        <v>193</v>
      </c>
      <c r="E6" s="105" t="s">
        <v>194</v>
      </c>
      <c r="F6" s="105" t="s">
        <v>195</v>
      </c>
      <c r="G6" s="105" t="s">
        <v>196</v>
      </c>
      <c r="H6" s="115" t="s">
        <v>183</v>
      </c>
    </row>
    <row r="7" spans="2:8" x14ac:dyDescent="0.3">
      <c r="B7" s="102" t="s">
        <v>204</v>
      </c>
      <c r="C7" s="106">
        <f>Bilans!C30/Bilans!C19</f>
        <v>0.5346377497290945</v>
      </c>
      <c r="D7" s="106">
        <f>Bilans!D30/Bilans!D19</f>
        <v>0.55824191181608551</v>
      </c>
      <c r="E7" s="106">
        <f>Bilans!E30/Bilans!E19</f>
        <v>0.77159101164154864</v>
      </c>
      <c r="F7" s="106">
        <f>Bilans!F30/Bilans!F19</f>
        <v>0.50525138208556442</v>
      </c>
      <c r="G7" s="106">
        <f>Bilans!G30/Bilans!G19</f>
        <v>0.34765528930838513</v>
      </c>
      <c r="H7" s="102" t="s">
        <v>208</v>
      </c>
    </row>
    <row r="8" spans="2:8" ht="26" x14ac:dyDescent="0.3">
      <c r="B8" s="114" t="s">
        <v>205</v>
      </c>
      <c r="C8" s="108">
        <f>Bilans!C30/Bilans!C22</f>
        <v>1.1488635990948148</v>
      </c>
      <c r="D8" s="108">
        <f>Bilans!D30/Bilans!D22</f>
        <v>1.2636823789939893</v>
      </c>
      <c r="E8" s="108">
        <f>Bilans!E30/Bilans!E22</f>
        <v>3.3781114184116952</v>
      </c>
      <c r="F8" s="108">
        <f>Bilans!F30/Bilans!F22</f>
        <v>1.0212284861257463</v>
      </c>
      <c r="G8" s="113">
        <f>Bilans!G30/Bilans!G22</f>
        <v>0.53293187422306454</v>
      </c>
      <c r="H8" s="116" t="s">
        <v>210</v>
      </c>
    </row>
    <row r="9" spans="2:8" x14ac:dyDescent="0.3">
      <c r="B9" s="102" t="s">
        <v>206</v>
      </c>
      <c r="C9" s="106">
        <f>Bilans!C32/Bilans!C22</f>
        <v>0.4443496988182305</v>
      </c>
      <c r="D9" s="106">
        <f>Bilans!D32/Bilans!D22</f>
        <v>0.35660655910576822</v>
      </c>
      <c r="E9" s="106">
        <f>Bilans!E32/Bilans!E22</f>
        <v>8.5793305864423994E-3</v>
      </c>
      <c r="F9" s="106">
        <f>Bilans!F32/Bilans!F22</f>
        <v>0.20109984193888303</v>
      </c>
      <c r="G9" s="106">
        <f>Bilans!G32/Bilans!G22</f>
        <v>6.9643985245868229E-3</v>
      </c>
      <c r="H9" s="102" t="s">
        <v>209</v>
      </c>
    </row>
    <row r="10" spans="2:8" ht="13.5" thickBot="1" x14ac:dyDescent="0.35">
      <c r="B10" s="111" t="s">
        <v>207</v>
      </c>
      <c r="C10" s="112">
        <f>Bilans!C8/Bilans!C32</f>
        <v>5.7521035280224377E-2</v>
      </c>
      <c r="D10" s="112">
        <f>Bilans!D8/Bilans!D32</f>
        <v>6.3015643019782949E-2</v>
      </c>
      <c r="E10" s="112">
        <f>Bilans!E8/Bilans!E32</f>
        <v>5.2861842105263159</v>
      </c>
      <c r="F10" s="112">
        <f>Bilans!F8/Bilans!F32</f>
        <v>0.12903225806451613</v>
      </c>
      <c r="G10" s="112">
        <f>Bilans!G8/Bilans!G32</f>
        <v>4.2318946598390639</v>
      </c>
      <c r="H10" s="111" t="s">
        <v>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FA2E-3788-4098-9781-1620A531333C}">
  <sheetPr>
    <tabColor theme="8" tint="0.39997558519241921"/>
  </sheetPr>
  <dimension ref="B2:G23"/>
  <sheetViews>
    <sheetView zoomScale="70" zoomScaleNormal="70" workbookViewId="0">
      <selection activeCell="G29" sqref="G29"/>
    </sheetView>
  </sheetViews>
  <sheetFormatPr defaultRowHeight="13" x14ac:dyDescent="0.3"/>
  <cols>
    <col min="2" max="2" width="50.796875" customWidth="1"/>
    <col min="3" max="3" width="6.796875" bestFit="1" customWidth="1"/>
    <col min="4" max="4" width="6" bestFit="1" customWidth="1"/>
    <col min="5" max="5" width="7.796875" bestFit="1" customWidth="1"/>
    <col min="6" max="7" width="8.8984375" bestFit="1" customWidth="1"/>
  </cols>
  <sheetData>
    <row r="2" spans="2:7" ht="18.5" x14ac:dyDescent="0.3">
      <c r="B2" s="131" t="s">
        <v>215</v>
      </c>
      <c r="C2" s="132"/>
      <c r="D2" s="132"/>
      <c r="E2" s="132"/>
      <c r="F2" s="132"/>
      <c r="G2" s="132"/>
    </row>
    <row r="5" spans="2:7" ht="13.5" thickBot="1" x14ac:dyDescent="0.35">
      <c r="B5" s="105"/>
      <c r="C5" s="105" t="s">
        <v>192</v>
      </c>
      <c r="D5" s="105" t="s">
        <v>193</v>
      </c>
      <c r="E5" s="105" t="s">
        <v>194</v>
      </c>
      <c r="F5" s="105" t="s">
        <v>195</v>
      </c>
      <c r="G5" s="105" t="s">
        <v>196</v>
      </c>
    </row>
    <row r="6" spans="2:7" x14ac:dyDescent="0.3">
      <c r="B6" s="102" t="s">
        <v>211</v>
      </c>
      <c r="C6" s="106">
        <f>'Rachunek zysków i strat'!C4/Bilans!C19</f>
        <v>0.6160823756251177</v>
      </c>
      <c r="D6" s="106">
        <f>'Rachunek zysków i strat'!D4/Bilans!D19</f>
        <v>1.1809517154636293</v>
      </c>
      <c r="E6" s="106">
        <f>'Rachunek zysków i strat'!E4/Bilans!E19</f>
        <v>1.1214433973210256</v>
      </c>
      <c r="F6" s="106">
        <f>'Rachunek zysków i strat'!F4/Bilans!F19</f>
        <v>1.6566779985011568</v>
      </c>
      <c r="G6" s="106">
        <f>'Rachunek zysków i strat'!G4/Bilans!G19</f>
        <v>1.6034597361161886</v>
      </c>
    </row>
    <row r="7" spans="2:7" x14ac:dyDescent="0.3">
      <c r="B7" s="114" t="s">
        <v>212</v>
      </c>
      <c r="C7" s="108">
        <f>'Rachunek zysków i strat'!C4/Bilans!C6</f>
        <v>0.90980053341347056</v>
      </c>
      <c r="D7" s="108">
        <f>'Rachunek zysków i strat'!D4/Bilans!D6</f>
        <v>1.9310851780191653</v>
      </c>
      <c r="E7" s="108">
        <f>'Rachunek zysków i strat'!E4/Bilans!E6</f>
        <v>1.8306308202241279</v>
      </c>
      <c r="F7" s="108">
        <f>'Rachunek zysków i strat'!F4/Bilans!F6</f>
        <v>2.6904197056151831</v>
      </c>
      <c r="G7" s="113">
        <f>'Rachunek zysków i strat'!G4/Bilans!G6</f>
        <v>3.1367392449174636</v>
      </c>
    </row>
    <row r="8" spans="2:7" x14ac:dyDescent="0.3">
      <c r="B8" s="102" t="s">
        <v>213</v>
      </c>
      <c r="C8" s="106">
        <f>'Rachunek zysków i strat'!C4/Bilans!C13</f>
        <v>1.9083330706924264</v>
      </c>
      <c r="D8" s="106">
        <f>'Rachunek zysków i strat'!D4/Bilans!D13</f>
        <v>3.0401501433077098</v>
      </c>
      <c r="E8" s="106">
        <f>'Rachunek zysków i strat'!E4/Bilans!E13</f>
        <v>2.894790262733157</v>
      </c>
      <c r="F8" s="106">
        <f>'Rachunek zysków i strat'!F4/Bilans!F13</f>
        <v>4.3116758300001417</v>
      </c>
      <c r="G8" s="106">
        <f>'Rachunek zysków i strat'!G4/Bilans!G13</f>
        <v>3.280311941201667</v>
      </c>
    </row>
    <row r="10" spans="2:7" ht="13.5" thickBot="1" x14ac:dyDescent="0.35">
      <c r="B10" s="105"/>
      <c r="C10" s="105" t="s">
        <v>192</v>
      </c>
      <c r="D10" s="105" t="s">
        <v>193</v>
      </c>
      <c r="E10" s="105" t="s">
        <v>194</v>
      </c>
      <c r="F10" s="105" t="s">
        <v>195</v>
      </c>
      <c r="G10" s="105" t="s">
        <v>196</v>
      </c>
    </row>
    <row r="11" spans="2:7" x14ac:dyDescent="0.3">
      <c r="B11" s="102" t="s">
        <v>216</v>
      </c>
      <c r="C11" s="106">
        <f>'Rachunek zysków i strat'!C4/Bilans!C15</f>
        <v>2.9368012610646295</v>
      </c>
      <c r="D11" s="106">
        <f>'Rachunek zysków i strat'!D4/Bilans!D15</f>
        <v>4.6667832554029678</v>
      </c>
      <c r="E11" s="106">
        <f>'Rachunek zysków i strat'!E4/Bilans!E15</f>
        <v>4.1040315161237055</v>
      </c>
      <c r="F11" s="106">
        <f>'Rachunek zysków i strat'!F4/Bilans!F15</f>
        <v>6.6028310462750532</v>
      </c>
      <c r="G11" s="106">
        <f>'Rachunek zysków i strat'!G4/Bilans!G15</f>
        <v>6.1854487179487183</v>
      </c>
    </row>
    <row r="12" spans="2:7" ht="13.5" thickBot="1" x14ac:dyDescent="0.35">
      <c r="B12" s="111" t="s">
        <v>217</v>
      </c>
      <c r="C12" s="112">
        <f>(Bilans!C15*365)/'Rachunek zysków i strat'!C4</f>
        <v>124.28488261670203</v>
      </c>
      <c r="D12" s="112">
        <f>(Bilans!D15*365)/'Rachunek zysków i strat'!D4</f>
        <v>78.21233171208911</v>
      </c>
      <c r="E12" s="112">
        <f>(Bilans!E15*365)/'Rachunek zysków i strat'!E4</f>
        <v>88.936938852932045</v>
      </c>
      <c r="F12" s="112">
        <f>(Bilans!F15*365)/'Rachunek zysków i strat'!F4</f>
        <v>55.279318438098237</v>
      </c>
      <c r="G12" s="112">
        <f>(Bilans!G15*365)/'Rachunek zysków i strat'!G4</f>
        <v>59.009461826246465</v>
      </c>
    </row>
    <row r="14" spans="2:7" ht="13.5" thickBot="1" x14ac:dyDescent="0.35">
      <c r="B14" s="105"/>
      <c r="C14" s="105" t="s">
        <v>192</v>
      </c>
      <c r="D14" s="105" t="s">
        <v>193</v>
      </c>
      <c r="E14" s="105" t="s">
        <v>194</v>
      </c>
      <c r="F14" s="105" t="s">
        <v>195</v>
      </c>
      <c r="G14" s="105" t="s">
        <v>196</v>
      </c>
    </row>
    <row r="15" spans="2:7" x14ac:dyDescent="0.3">
      <c r="B15" s="102" t="s">
        <v>214</v>
      </c>
      <c r="C15" s="106" t="s">
        <v>16</v>
      </c>
      <c r="D15" s="106" t="s">
        <v>16</v>
      </c>
      <c r="E15" s="106">
        <f>'Rachunek zysków i strat'!E4/Bilans!E14</f>
        <v>2806.0322580645161</v>
      </c>
      <c r="F15" s="106">
        <f>'Rachunek zysków i strat'!F4/Bilans!F14</f>
        <v>10519.448275862069</v>
      </c>
      <c r="G15" s="106">
        <f>'Rachunek zysków i strat'!G4/Bilans!G14</f>
        <v>18556.346153846152</v>
      </c>
    </row>
    <row r="16" spans="2:7" ht="13.5" thickBot="1" x14ac:dyDescent="0.35">
      <c r="B16" s="111" t="s">
        <v>218</v>
      </c>
      <c r="C16" s="112">
        <f>Bilans!C14/'Rachunek zysków i strat'!C4*365</f>
        <v>0</v>
      </c>
      <c r="D16" s="112">
        <f>Bilans!D14/'Rachunek zysków i strat'!D4*365</f>
        <v>0</v>
      </c>
      <c r="E16" s="112">
        <f>Bilans!E14/'Rachunek zysków i strat'!E4*365</f>
        <v>0.13007690804373068</v>
      </c>
      <c r="F16" s="112">
        <f>Bilans!F14/'Rachunek zysków i strat'!F4*365</f>
        <v>3.4697637217108536E-2</v>
      </c>
      <c r="G16" s="112">
        <f>Bilans!G14/'Rachunek zysków i strat'!G4*365</f>
        <v>1.966982060874882E-2</v>
      </c>
    </row>
    <row r="18" spans="2:7" ht="13.5" thickBot="1" x14ac:dyDescent="0.35">
      <c r="B18" s="105"/>
      <c r="C18" s="105" t="s">
        <v>192</v>
      </c>
      <c r="D18" s="105" t="s">
        <v>193</v>
      </c>
      <c r="E18" s="105" t="s">
        <v>194</v>
      </c>
      <c r="F18" s="105" t="s">
        <v>195</v>
      </c>
      <c r="G18" s="105" t="s">
        <v>196</v>
      </c>
    </row>
    <row r="19" spans="2:7" x14ac:dyDescent="0.3">
      <c r="B19" s="102" t="s">
        <v>219</v>
      </c>
      <c r="C19" s="106">
        <f>'Rachunek zysków i strat'!C4/Bilans!C33</f>
        <v>2.3998057944591968</v>
      </c>
      <c r="D19" s="106">
        <f>'Rachunek zysków i strat'!D4/Bilans!D33</f>
        <v>3.82920971542505</v>
      </c>
      <c r="E19" s="106">
        <f>'Rachunek zysków i strat'!E4/Bilans!E33</f>
        <v>1.7284875460750515</v>
      </c>
      <c r="F19" s="106">
        <f>'Rachunek zysków i strat'!F4/Bilans!F33</f>
        <v>4.8177381911214292</v>
      </c>
      <c r="G19" s="106">
        <f>'Rachunek zysków i strat'!G4/Bilans!G33</f>
        <v>5.4694425865254903</v>
      </c>
    </row>
    <row r="20" spans="2:7" ht="13.5" thickBot="1" x14ac:dyDescent="0.35">
      <c r="B20" s="111" t="s">
        <v>220</v>
      </c>
      <c r="C20" s="112">
        <f>Bilans!C33/'Rachunek zysków i strat'!C4*365</f>
        <v>152.09564075673623</v>
      </c>
      <c r="D20" s="112">
        <f>Bilans!D33/'Rachunek zysków i strat'!D4*365</f>
        <v>95.319929469959646</v>
      </c>
      <c r="E20" s="112">
        <f>Bilans!E33/'Rachunek zysków i strat'!E4*365</f>
        <v>211.16727212112153</v>
      </c>
      <c r="F20" s="112">
        <f>Bilans!F33/'Rachunek zysków i strat'!F4*365</f>
        <v>75.761692628432058</v>
      </c>
      <c r="G20" s="112">
        <f>Bilans!G33/'Rachunek zysków i strat'!G4*365</f>
        <v>66.734405604551625</v>
      </c>
    </row>
    <row r="22" spans="2:7" ht="13.5" thickBot="1" x14ac:dyDescent="0.35">
      <c r="B22" s="117" t="s">
        <v>221</v>
      </c>
      <c r="C22" s="117" t="s">
        <v>192</v>
      </c>
      <c r="D22" s="117" t="s">
        <v>193</v>
      </c>
      <c r="E22" s="117" t="s">
        <v>194</v>
      </c>
      <c r="F22" s="117" t="s">
        <v>195</v>
      </c>
      <c r="G22" s="117" t="s">
        <v>196</v>
      </c>
    </row>
    <row r="23" spans="2:7" x14ac:dyDescent="0.3">
      <c r="B23" t="s">
        <v>222</v>
      </c>
      <c r="C23" s="91">
        <f>C12+C16-C20</f>
        <v>-27.810758140034196</v>
      </c>
      <c r="D23" s="91">
        <f t="shared" ref="D23:G23" si="0">D12+D16-D20</f>
        <v>-17.107597757870536</v>
      </c>
      <c r="E23" s="91">
        <f t="shared" si="0"/>
        <v>-122.10025636014575</v>
      </c>
      <c r="F23" s="91">
        <f t="shared" si="0"/>
        <v>-20.447676553116715</v>
      </c>
      <c r="G23" s="91">
        <f t="shared" si="0"/>
        <v>-7.7052739576964129</v>
      </c>
    </row>
  </sheetData>
  <mergeCells count="1">
    <mergeCell ref="B2:G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DE87-38CE-4A8A-AA66-021DA0BCFFA9}">
  <sheetPr>
    <tabColor theme="9" tint="0.39997558519241921"/>
  </sheetPr>
  <dimension ref="B2:G7"/>
  <sheetViews>
    <sheetView topLeftCell="A15" zoomScale="85" zoomScaleNormal="85" workbookViewId="0">
      <selection activeCell="B2" sqref="B2:G7"/>
    </sheetView>
  </sheetViews>
  <sheetFormatPr defaultRowHeight="13" x14ac:dyDescent="0.3"/>
  <cols>
    <col min="2" max="2" width="41.69921875" customWidth="1"/>
    <col min="3" max="3" width="10.59765625" bestFit="1" customWidth="1"/>
    <col min="4" max="4" width="8.8984375" bestFit="1" customWidth="1"/>
    <col min="5" max="5" width="10.59765625" bestFit="1" customWidth="1"/>
    <col min="6" max="6" width="10" bestFit="1" customWidth="1"/>
    <col min="7" max="7" width="14.09765625" customWidth="1"/>
    <col min="8" max="8" width="20.796875" bestFit="1" customWidth="1"/>
  </cols>
  <sheetData>
    <row r="2" spans="2:7" ht="13.5" thickBot="1" x14ac:dyDescent="0.35">
      <c r="B2" s="117" t="s">
        <v>223</v>
      </c>
      <c r="C2" s="117" t="s">
        <v>192</v>
      </c>
      <c r="D2" s="117" t="s">
        <v>193</v>
      </c>
      <c r="E2" s="117" t="s">
        <v>194</v>
      </c>
      <c r="F2" s="117" t="s">
        <v>195</v>
      </c>
      <c r="G2" s="117" t="s">
        <v>196</v>
      </c>
    </row>
    <row r="3" spans="2:7" x14ac:dyDescent="0.3">
      <c r="B3" s="102" t="s">
        <v>228</v>
      </c>
      <c r="C3" s="106">
        <f>'Rachunek zysków i strat'!C44/'Rachunek zysków i strat'!C4</f>
        <v>-9.7672152536354556E-2</v>
      </c>
      <c r="D3" s="106">
        <f>'Rachunek zysków i strat'!D44/'Rachunek zysków i strat'!D4</f>
        <v>3.2101424407023023E-2</v>
      </c>
      <c r="E3" s="106">
        <f>'Rachunek zysków i strat'!E44/'Rachunek zysków i strat'!E4</f>
        <v>-0.16628346764459057</v>
      </c>
      <c r="F3" s="118">
        <f>'Rachunek zysków i strat'!F44/'Rachunek zysków i strat'!F4</f>
        <v>0.10816091049746938</v>
      </c>
      <c r="G3" s="118">
        <f>'Rachunek zysków i strat'!G44/'Rachunek zysków i strat'!G4</f>
        <v>0.10976340252660814</v>
      </c>
    </row>
    <row r="4" spans="2:7" x14ac:dyDescent="0.3">
      <c r="B4" s="103" t="s">
        <v>224</v>
      </c>
      <c r="C4" s="108">
        <f>'Rachunek zysków i strat'!C44/Bilans!C22</f>
        <v>-0.12930591540673203</v>
      </c>
      <c r="D4" s="108">
        <f>'Rachunek zysków i strat'!D44/Bilans!D22</f>
        <v>8.5816724665190344E-2</v>
      </c>
      <c r="E4" s="108">
        <f>'Rachunek zysków i strat'!E44/Bilans!E22</f>
        <v>-0.81641925833944795</v>
      </c>
      <c r="F4" s="108">
        <f>'Rachunek zysków i strat'!F44/Bilans!F22</f>
        <v>0.36217948717948717</v>
      </c>
      <c r="G4" s="108">
        <f>'Rachunek zysków i strat'!G44/Bilans!G22</f>
        <v>0.2697978439404129</v>
      </c>
    </row>
    <row r="5" spans="2:7" x14ac:dyDescent="0.3">
      <c r="B5" s="102" t="s">
        <v>225</v>
      </c>
      <c r="C5" s="106">
        <f>'Rachunek zysków i strat'!C44/Bilans!C23</f>
        <v>-11.935418768920282</v>
      </c>
      <c r="D5" s="106">
        <f>'Rachunek zysków i strat'!D44/Bilans!D23</f>
        <v>7.9784313725490197</v>
      </c>
      <c r="E5" s="106">
        <f>'Rachunek zysków i strat'!E44/Bilans!E23</f>
        <v>-28.361764705882354</v>
      </c>
      <c r="F5" s="106">
        <f>'Rachunek zysków i strat'!F44/Bilans!F23</f>
        <v>32.34901960784314</v>
      </c>
      <c r="G5" s="106">
        <f>'Rachunek zysków i strat'!G44/Bilans!G23</f>
        <v>51.918627450980395</v>
      </c>
    </row>
    <row r="6" spans="2:7" x14ac:dyDescent="0.3">
      <c r="B6" t="s">
        <v>226</v>
      </c>
      <c r="C6" s="119">
        <f>'Rachunek zysków i strat'!C44/Bilans!C6</f>
        <v>-8.8862176477217239E-2</v>
      </c>
      <c r="D6" s="119">
        <f>'Rachunek zysków i strat'!D44/Bilans!D6</f>
        <v>6.1990584865704842E-2</v>
      </c>
      <c r="E6" s="119">
        <f>'Rachunek zysków i strat'!E44/Bilans!E6</f>
        <v>-0.30440364076392906</v>
      </c>
      <c r="F6" s="119">
        <f>'Rachunek zysków i strat'!F44/Bilans!F6</f>
        <v>0.29099824497967175</v>
      </c>
      <c r="G6" s="119">
        <f>'Rachunek zysków i strat'!G44/Bilans!G6</f>
        <v>0.34429917236088448</v>
      </c>
    </row>
    <row r="7" spans="2:7" x14ac:dyDescent="0.3">
      <c r="B7" t="s">
        <v>227</v>
      </c>
      <c r="C7" s="119">
        <f>'Rachunek zysków i strat'!C44/Bilans!C13</f>
        <v>-0.18639099877084056</v>
      </c>
      <c r="D7" s="119">
        <f>'Rachunek zysków i strat'!D44/Bilans!D13</f>
        <v>9.7593150011392668E-2</v>
      </c>
      <c r="E7" s="119">
        <f>'Rachunek zysków i strat'!E44/Bilans!E13</f>
        <v>-0.48135576299106475</v>
      </c>
      <c r="F7" s="119">
        <f>'Rachunek zysków i strat'!F44/Bilans!F13</f>
        <v>0.46635478354274729</v>
      </c>
      <c r="G7" s="119">
        <f>'Rachunek zysków i strat'!G44/Bilans!G13</f>
        <v>0.36005820001495797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A366-FF29-4D02-99E5-1F32B847D8D0}">
  <sheetPr>
    <tabColor rgb="FFFFFF66"/>
  </sheetPr>
  <dimension ref="B2:I12"/>
  <sheetViews>
    <sheetView workbookViewId="0">
      <selection activeCell="H13" sqref="H13"/>
    </sheetView>
  </sheetViews>
  <sheetFormatPr defaultRowHeight="13" x14ac:dyDescent="0.3"/>
  <cols>
    <col min="2" max="2" width="40.69921875" bestFit="1" customWidth="1"/>
    <col min="8" max="8" width="34.3984375" bestFit="1" customWidth="1"/>
  </cols>
  <sheetData>
    <row r="2" spans="2:9" ht="21" x14ac:dyDescent="0.5">
      <c r="B2" s="133" t="s">
        <v>229</v>
      </c>
      <c r="C2" s="133"/>
      <c r="D2" s="133"/>
      <c r="E2" s="133"/>
      <c r="F2" s="133"/>
      <c r="G2" s="133"/>
      <c r="H2" s="133"/>
    </row>
    <row r="4" spans="2:9" ht="13.5" thickBot="1" x14ac:dyDescent="0.35">
      <c r="B4" s="105"/>
      <c r="C4" s="105" t="s">
        <v>192</v>
      </c>
      <c r="D4" s="105" t="s">
        <v>193</v>
      </c>
      <c r="E4" s="105" t="s">
        <v>194</v>
      </c>
      <c r="F4" s="105" t="s">
        <v>195</v>
      </c>
      <c r="G4" s="105" t="s">
        <v>196</v>
      </c>
    </row>
    <row r="5" spans="2:9" x14ac:dyDescent="0.3">
      <c r="B5" s="102" t="s">
        <v>230</v>
      </c>
      <c r="C5" s="106">
        <f>'Rachunek zysków i strat'!C44/Bilans!C22</f>
        <v>-0.12930591540673203</v>
      </c>
      <c r="D5" s="106">
        <f>'Rachunek zysków i strat'!D44/Bilans!D22</f>
        <v>8.5816724665190344E-2</v>
      </c>
      <c r="E5" s="106">
        <f>'Rachunek zysków i strat'!E44/Bilans!E22</f>
        <v>-0.81641925833944795</v>
      </c>
      <c r="F5" s="106">
        <f>'Rachunek zysków i strat'!F44/Bilans!F22</f>
        <v>0.36217948717948717</v>
      </c>
      <c r="G5" s="106">
        <f>'Rachunek zysków i strat'!G44/Bilans!G22</f>
        <v>0.2697978439404129</v>
      </c>
      <c r="H5" s="134" t="s">
        <v>235</v>
      </c>
    </row>
    <row r="6" spans="2:9" x14ac:dyDescent="0.3">
      <c r="H6" s="134"/>
    </row>
    <row r="7" spans="2:9" ht="13.5" thickBot="1" x14ac:dyDescent="0.35">
      <c r="B7" s="117" t="s">
        <v>229</v>
      </c>
      <c r="C7" s="117" t="s">
        <v>192</v>
      </c>
      <c r="D7" s="117" t="s">
        <v>193</v>
      </c>
      <c r="E7" s="117" t="s">
        <v>194</v>
      </c>
      <c r="F7" s="117" t="s">
        <v>195</v>
      </c>
      <c r="G7" s="117" t="s">
        <v>196</v>
      </c>
      <c r="H7" s="134"/>
    </row>
    <row r="8" spans="2:9" x14ac:dyDescent="0.3">
      <c r="B8" s="102" t="s">
        <v>231</v>
      </c>
      <c r="C8" s="106">
        <f>'Rachunek zysków i strat'!C44/'Rachunek zysków i strat'!C4</f>
        <v>-9.7672152536354556E-2</v>
      </c>
      <c r="D8" s="106">
        <f>'Rachunek zysków i strat'!D44/'Rachunek zysków i strat'!D4</f>
        <v>3.2101424407023023E-2</v>
      </c>
      <c r="E8" s="106">
        <f>'Rachunek zysków i strat'!E44/'Rachunek zysków i strat'!E4</f>
        <v>-0.16628346764459057</v>
      </c>
      <c r="F8" s="106">
        <f>'Rachunek zysków i strat'!F44/'Rachunek zysków i strat'!F4</f>
        <v>0.10816091049746938</v>
      </c>
      <c r="G8" s="106">
        <f>'Rachunek zysków i strat'!G44/'Rachunek zysków i strat'!G4</f>
        <v>0.10976340252660814</v>
      </c>
      <c r="H8" s="135" t="s">
        <v>236</v>
      </c>
    </row>
    <row r="9" spans="2:9" x14ac:dyDescent="0.3">
      <c r="B9" s="103" t="s">
        <v>211</v>
      </c>
      <c r="C9" s="108">
        <f>'Rachunek zysków i strat'!C4/Bilans!C19</f>
        <v>0.6160823756251177</v>
      </c>
      <c r="D9" s="108">
        <f>'Rachunek zysków i strat'!D4/Bilans!D19</f>
        <v>1.1809517154636293</v>
      </c>
      <c r="E9" s="108">
        <f>'Rachunek zysków i strat'!E4/Bilans!E19</f>
        <v>1.1214433973210256</v>
      </c>
      <c r="F9" s="108">
        <f>'Rachunek zysków i strat'!F4/Bilans!F19</f>
        <v>1.6566779985011568</v>
      </c>
      <c r="G9" s="108">
        <f>'Rachunek zysków i strat'!G4/Bilans!G19</f>
        <v>1.6034597361161886</v>
      </c>
      <c r="H9" s="135" t="s">
        <v>237</v>
      </c>
    </row>
    <row r="10" spans="2:9" x14ac:dyDescent="0.3">
      <c r="B10" s="102" t="s">
        <v>232</v>
      </c>
      <c r="C10" s="106">
        <f>Bilans!C19/Bilans!C22</f>
        <v>2.1488635990948151</v>
      </c>
      <c r="D10" s="106">
        <f>Bilans!D19/Bilans!D22</f>
        <v>2.2636823789939893</v>
      </c>
      <c r="E10" s="106">
        <f>Bilans!E19/Bilans!E22</f>
        <v>4.3781114184116952</v>
      </c>
      <c r="F10" s="106">
        <f>Bilans!F19/Bilans!F22</f>
        <v>2.0212284861257466</v>
      </c>
      <c r="G10" s="106">
        <f>Bilans!G19/Bilans!G22</f>
        <v>1.5329318742230646</v>
      </c>
      <c r="H10" s="135" t="s">
        <v>238</v>
      </c>
    </row>
    <row r="11" spans="2:9" x14ac:dyDescent="0.3">
      <c r="B11" t="s">
        <v>233</v>
      </c>
      <c r="C11" s="119">
        <f>PRODUCT(C8:C10)</f>
        <v>-0.12930591540673206</v>
      </c>
      <c r="D11" s="119">
        <f t="shared" ref="D11:G11" si="0">PRODUCT(D8:D10)</f>
        <v>8.5816724665190344E-2</v>
      </c>
      <c r="E11" s="119">
        <f t="shared" si="0"/>
        <v>-0.81641925833944795</v>
      </c>
      <c r="F11" s="119">
        <f t="shared" si="0"/>
        <v>0.36217948717948723</v>
      </c>
      <c r="G11" s="119">
        <f t="shared" si="0"/>
        <v>0.2697978439404129</v>
      </c>
      <c r="H11" s="136" t="s">
        <v>239</v>
      </c>
      <c r="I11" s="119"/>
    </row>
    <row r="12" spans="2:9" x14ac:dyDescent="0.3">
      <c r="B12" s="95" t="s">
        <v>234</v>
      </c>
      <c r="C12" s="119" t="b">
        <f>C11=C5</f>
        <v>1</v>
      </c>
      <c r="D12" s="119" t="b">
        <f t="shared" ref="D12:G12" si="1">D11=D5</f>
        <v>1</v>
      </c>
      <c r="E12" s="119" t="b">
        <f t="shared" si="1"/>
        <v>1</v>
      </c>
      <c r="F12" s="119" t="b">
        <f t="shared" si="1"/>
        <v>1</v>
      </c>
      <c r="G12" s="119" t="b">
        <f t="shared" si="1"/>
        <v>1</v>
      </c>
      <c r="I12" s="119"/>
    </row>
  </sheetData>
  <mergeCells count="1">
    <mergeCell ref="B2:H2"/>
  </mergeCells>
  <phoneticPr fontId="40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N o i U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N o i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I l F h j z V A C d Q I A A K U Q A A A T A B w A R m 9 y b X V s Y X M v U 2 V j d G l v b j E u b S C i G A A o o B Q A A A A A A A A A A A A A A A A A A A A A A A A A A A D t V V 1 v 2 j A U f U f i P 1 j p C 0 g Q k a R l X + I B w a Y y p A o R q m 0 l C H m J Y S G J H d l G K U G 8 9 C / s p / R p 0 t 4 Q / 2 s O g d A u g 9 G q 0 k A j L 1 H u d X z v u e c c m y G T 2 w Q D P X 4 r 7 7 K Z b I Z 9 g x R Z 4 E x q t v W i 9 l o r l 7 U i 8 y k M S G h B b K O i o m o X r 9 6 U V Q l U g I t 4 N g P E s / h B 5 / f W 4 o 6 I 4 G f P l T v w q 4 t Y 7 o P t I r l G M E e Y s 5 x U e 2 t c M 0 S Z M Y B j x o 0 6 C b B L o M W M v 9 W S b z 1 X y u c L c b E z 6 c a z E R Y t E 8 A n f t T I s p 7 c o R C z A a F e j b h j D 3 c m v u g h a a 0 w n U q 2 1 S d 0 K P Y O o T m y p Q J o Y F 4 + l 6 O V s w J Y 5 i 3 i j D 3 R 7 z i d x T A M o A i L o g h w d M u X U e J Q x P o W 5 L D P O K R 8 v U B E 0 O 8 L H C J g m Y 9 W z P L Z j I 3 / j O x p j I C c m t / K y k d G s F w n 5 h L b y x E z E t t u m A l h I A Z A m C k K J s W 7 S b S 3 Q Z r E H k N c 8 l g q K S D X g k M E l O 1 4 W t Z g T 5 U h 5 n D i G z 4 l I + R w U d m 1 z T A a c j A x 2 t X a 5 f X V + y Y A N 1 / 0 5 v z 7 J 9 A A e q d d 7 Q C 1 p C r A j l 6 q 7 F s D K V 8 A 3 Y b n u y i a H 4 z 8 U p E U W Z N 6 a + x J 6 w + g T 7 s N q 5 K A k n q z b l 2 o o J f o + A o O F 3 f z + 8 C x A Q E + s Y L J 4 i c L C Z 5 4 4 i u 0 i R D D R t 0 t S j z C 0 S W C l k C X W + 8 q + l p l q q 6 r m 9 C F l F U 4 H a P e 8 / y y X 1 e R m e K / l J Q h d A 4 x w G m j r O L 9 9 B / x T u c i 3 k L U j A Y 8 R L H t 9 n f H a h 7 q S j o 7 r H C o 0 l G 3 S k d N S + c p l K 5 3 2 U V a H F f T h 1 6 c 0 L Y l X o S 0 j d 9 3 n m G H S t z J 8 / / W 8 w / l o 5 3 k c 5 L P c 6 + M o z x 9 T t d G 5 P v z 4 y P u 5 P v D 8 f 0 R X h v / h + 9 / A V B L A Q I t A B Q A A g A I A D a I l F i Y h 3 E s p A A A A P Y A A A A S A A A A A A A A A A A A A A A A A A A A A A B D b 2 5 m a W c v U G F j a 2 F n Z S 5 4 b W x Q S w E C L Q A U A A I A C A A 2 i J R Y D 8 r p q 6 Q A A A D p A A A A E w A A A A A A A A A A A A A A A A D w A A A A W 0 N v b n R l b n R f V H l w Z X N d L n h t b F B L A Q I t A B Q A A g A I A D a I l F h j z V A C d Q I A A K U Q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Y A A A A A A A A f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S U y 0 z O D M 2 N j M t c 3 B y Y X d v e m R h b m l l L T E y M z U 3 O T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g y Y T U y N 2 Y t M z R l N y 0 0 O D R i L T h m M z c t Y m E z N T Y 4 N 2 U 0 O T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Q 6 N T Q 6 M z Q u N z A 0 M D M z N 1 o i I C 8 + P E V u d H J 5 I F R 5 c G U 9 I k Z p b G x D b 2 x 1 b W 5 U e X B l c y I g V m F s d W U 9 I n N B d 0 1 H Q 1 F r P S I g L z 4 8 R W 5 0 c n k g V H l w Z T 0 i R m l s b E N v b H V t b k 5 h b W V z I i B W Y W x 1 Z T 0 i c 1 s m c X V v d D t p Z F 9 v c m d h b m l 6 Y W N q a S Z x d W 9 0 O y w m c X V v d D t p Z F 9 k b 2 t 1 b W V u d H U m c X V v d D s s J n F 1 b 3 Q 7 b m F 6 d 2 E m c X V v d D s s J n F 1 b 3 Q 7 b 2 t y Z X N f Z G F 0 Y V 9 z d G F y d C Z x d W 9 0 O y w m c X V v d D t v a 3 J l c 1 9 k Y X R h X 2 t v b m l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S U y 0 z O D M 2 N j M t c 3 B y Y X d v e m R h b m l l L T E y M z U 3 O T Y y L 0 F 1 d G 9 S Z W 1 v d m V k Q 2 9 s d W 1 u c z E u e 2 l k X 2 9 y Z 2 F u a X p h Y 2 p p L D B 9 J n F 1 b 3 Q 7 L C Z x d W 9 0 O 1 N l Y 3 R p b 2 4 x L 0 t S U y 0 z O D M 2 N j M t c 3 B y Y X d v e m R h b m l l L T E y M z U 3 O T Y y L 0 F 1 d G 9 S Z W 1 v d m V k Q 2 9 s d W 1 u c z E u e 2 l k X 2 R v a 3 V t Z W 5 0 d S w x f S Z x d W 9 0 O y w m c X V v d D t T Z W N 0 a W 9 u M S 9 L U l M t M z g z N j Y z L X N w c m F 3 b 3 p k Y W 5 p Z S 0 x M j M 1 N z k 2 M i 9 B d X R v U m V t b 3 Z l Z E N v b H V t b n M x L n t u Y X p 3 Y S w y f S Z x d W 9 0 O y w m c X V v d D t T Z W N 0 a W 9 u M S 9 L U l M t M z g z N j Y z L X N w c m F 3 b 3 p k Y W 5 p Z S 0 x M j M 1 N z k 2 M i 9 B d X R v U m V t b 3 Z l Z E N v b H V t b n M x L n t v a 3 J l c 1 9 k Y X R h X 3 N 0 Y X J 0 L D N 9 J n F 1 b 3 Q 7 L C Z x d W 9 0 O 1 N l Y 3 R p b 2 4 x L 0 t S U y 0 z O D M 2 N j M t c 3 B y Y X d v e m R h b m l l L T E y M z U 3 O T Y y L 0 F 1 d G 9 S Z W 1 v d m V k Q 2 9 s d W 1 u c z E u e 2 9 r c m V z X 2 R h d G F f a 2 9 u a W V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t S U y 0 z O D M 2 N j M t c 3 B y Y X d v e m R h b m l l L T E y M z U 3 O T Y y L 0 F 1 d G 9 S Z W 1 v d m V k Q 2 9 s d W 1 u c z E u e 2 l k X 2 9 y Z 2 F u a X p h Y 2 p p L D B 9 J n F 1 b 3 Q 7 L C Z x d W 9 0 O 1 N l Y 3 R p b 2 4 x L 0 t S U y 0 z O D M 2 N j M t c 3 B y Y X d v e m R h b m l l L T E y M z U 3 O T Y y L 0 F 1 d G 9 S Z W 1 v d m V k Q 2 9 s d W 1 u c z E u e 2 l k X 2 R v a 3 V t Z W 5 0 d S w x f S Z x d W 9 0 O y w m c X V v d D t T Z W N 0 a W 9 u M S 9 L U l M t M z g z N j Y z L X N w c m F 3 b 3 p k Y W 5 p Z S 0 x M j M 1 N z k 2 M i 9 B d X R v U m V t b 3 Z l Z E N v b H V t b n M x L n t u Y X p 3 Y S w y f S Z x d W 9 0 O y w m c X V v d D t T Z W N 0 a W 9 u M S 9 L U l M t M z g z N j Y z L X N w c m F 3 b 3 p k Y W 5 p Z S 0 x M j M 1 N z k 2 M i 9 B d X R v U m V t b 3 Z l Z E N v b H V t b n M x L n t v a 3 J l c 1 9 k Y X R h X 3 N 0 Y X J 0 L D N 9 J n F 1 b 3 Q 7 L C Z x d W 9 0 O 1 N l Y 3 R p b 2 4 x L 0 t S U y 0 z O D M 2 N j M t c 3 B y Y X d v e m R h b m l l L T E y M z U 3 O T Y y L 0 F 1 d G 9 S Z W 1 v d m V k Q 2 9 s d W 1 u c z E u e 2 9 r c m V z X 2 R h d G F f a 2 9 u a W V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U l M t M z g z N j Y z L X N w c m F 3 b 3 p k Y W 5 p Z S 0 x M j M 1 N z k 2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l M t M z g z N j Y z L X N w c m F 3 b 3 p k Y W 5 p Z S 0 x M j M 1 N z k 2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l M t M z g z N j Y z L X N w c m F 3 b 3 p k Y W 5 p Z S 0 x M j M 1 N z k 2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N j J l M W Y 3 L T Y 3 Y z Q t N D g w N y 1 i M m E 0 L W I 1 N z E 1 Z G M z M z Q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N D o 1 N j o w M y 4 1 M T I 5 N T Y y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S U y 0 z O D M 2 N j M t c 3 B y Y X d v e m R h b m l l L T E y M z U 3 O T Y y I C g y K S 9 B d X R v U m V t b 3 Z l Z E N v b H V t b n M x L n t O Y W 1 l L D B 9 J n F 1 b 3 Q 7 L C Z x d W 9 0 O 1 N l Y 3 R p b 2 4 x L 0 t S U y 0 z O D M 2 N j M t c 3 B y Y X d v e m R h b m l l L T E y M z U 3 O T Y y I C g y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U l M t M z g z N j Y z L X N w c m F 3 b 3 p k Y W 5 p Z S 0 x M j M 1 N z k 2 M i A o M i k v Q X V 0 b 1 J l b W 9 2 Z W R D b 2 x 1 b W 5 z M S 5 7 T m F t Z S w w f S Z x d W 9 0 O y w m c X V v d D t T Z W N 0 a W 9 u M S 9 L U l M t M z g z N j Y z L X N w c m F 3 b 3 p k Y W 5 p Z S 0 x M j M 1 N z k 2 M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S U y 0 z O D M 2 N j M t c 3 B y Y X d v e m R h b m l l L T E y M z U 3 O T Y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S U y 0 z O D M 2 N j M t c 3 B y Y X d v e m R h b m l l L T E y M z U 3 O T Y y J T I w K D I p L 3 p h d 2 F y d G 9 z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Y z R h Y W M 0 L T A x N W I t N D k 3 N i 0 4 Z m E 0 L W U 3 Y z J k M W Z i M j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N D o 1 N z o y M i 4 0 M D k x N D E x W i I g L z 4 8 R W 5 0 c n k g V H l w Z T 0 i R m l s b E N v b H V t b l R 5 c G V z I i B W Y W x 1 Z T 0 i c 0 J n W U d C Q T 0 9 I i A v P j x F b n R y e S B U e X B l P S J G a W x s Q 2 9 s d W 1 u T m F t Z X M i I F Z h b H V l P S J z W y Z x d W 9 0 O 0 N v b H V t b j E m c X V v d D s s J n F 1 b 3 Q 7 U 3 R h b i B u Y S Z x d W 9 0 O y w m c X V v d D t T d G F u I G 5 h X z E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U 3 R h b i B u Y S w x f S Z x d W 9 0 O y w m c X V v d D t T Z W N 0 a W 9 u M S 9 U Y W J s Z T A w M S A o U G F n Z S A x K S 9 B d X R v U m V t b 3 Z l Z E N v b H V t b n M x L n t T d G F u I G 5 h X z E s M n 0 m c X V v d D s s J n F 1 b 3 Q 7 U 2 V j d G l v b j E v V G F i b G U w M D E g K F B h Z 2 U g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1 N 0 Y W 4 g b m E s M X 0 m c X V v d D s s J n F 1 b 3 Q 7 U 2 V j d G l v b j E v V G F i b G U w M D E g K F B h Z 2 U g M S k v Q X V 0 b 1 J l b W 9 2 Z W R D b 2 x 1 b W 5 z M S 5 7 U 3 R h b i B u Y V 8 x L D J 9 J n F 1 b 3 Q 7 L C Z x d W 9 0 O 1 N l Y 3 R p b 2 4 x L 1 R h Y m x l M D A x I C h Q Y W d l I D E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j M z I y Y m Y t N T I y O S 0 0 Y j R l L W I y Y 2 Q t O G Q 2 Z T E x N m E 0 Z j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E 0 O j U 4 O j A z L j g 2 N D Y 1 M j d a I i A v P j x F b n R y e S B U e X B l P S J G a W x s Q 2 9 s d W 1 u V H l w Z X M i I F Z h b H V l P S J z Q m d N R E J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1 p t a W V u a W 9 u b y B 0 e X A u e 0 N v b H V t b j E s M H 0 m c X V v d D s s J n F 1 b 3 Q 7 U 2 V j d G l v b j E v V G F i b G U w M D I g K F B h Z 2 U g M i k v W m 1 p Z W 5 p b 2 5 v I H R 5 c C 5 7 Q 2 9 s d W 1 u M i w x f S Z x d W 9 0 O y w m c X V v d D t T Z W N 0 a W 9 u M S 9 U Y W J s Z T A w M i A o U G F n Z S A y K S 9 a b W l l b m l v b m 8 g d H l w L n t D b 2 x 1 b W 4 z L D J 9 J n F 1 b 3 Q 7 L C Z x d W 9 0 O 1 N l Y 3 R p b 2 4 x L 1 R h Y m x l M D A y I C h Q Y W d l I D I p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I g K F B h Z 2 U g M i k v W m 1 p Z W 5 p b 2 5 v I H R 5 c C 5 7 Q 2 9 s d W 1 u M S w w f S Z x d W 9 0 O y w m c X V v d D t T Z W N 0 a W 9 u M S 9 U Y W J s Z T A w M i A o U G F n Z S A y K S 9 a b W l l b m l v b m 8 g d H l w L n t D b 2 x 1 b W 4 y L D F 9 J n F 1 b 3 Q 7 L C Z x d W 9 0 O 1 N l Y 3 R p b 2 4 x L 1 R h Y m x l M D A y I C h Q Y W d l I D I p L 1 p t a W V u a W 9 u b y B 0 e X A u e 0 N v b H V t b j M s M n 0 m c X V v d D s s J n F 1 b 3 Q 7 U 2 V j d G l v b j E v V G F i b G U w M D I g K F B h Z 2 U g M i k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U 5 M G M z N y 1 i M W J m L T Q y Y j c t O D k x M i 1 l M D F l M D M z M W N m M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Q 6 N T g 6 M D M u O D Y 5 N D U 5 M F o i I C 8 + P E V u d H J 5 I F R 5 c G U 9 I k Z p b G x D b 2 x 1 b W 5 U e X B l c y I g V m F s d W U 9 I n N C Z 1 l H Q k E 9 P S I g L z 4 8 R W 5 0 c n k g V H l w Z T 0 i R m l s b E N v b H V t b k 5 h b W V z I i B W Y W x 1 Z T 0 i c 1 s m c X V v d D t D b 2 x 1 b W 4 x J n F 1 b 3 Q 7 L C Z x d W 9 0 O 1 N 0 Y W 4 g b m E m c X V v d D s s J n F 1 b 3 Q 7 U 3 R h b i B u Y V 8 x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W m 1 p Z W 5 p b 2 5 v I H R 5 c C 5 7 Q 2 9 s d W 1 u M S w w f S Z x d W 9 0 O y w m c X V v d D t T Z W N 0 a W 9 u M S 9 U Y W J s Z T A w M S A o U G F n Z S A x K S A o M i k v W m 1 p Z W 5 p b 2 5 v I H R 5 c C 5 7 U 3 R h b i B u Y S w x f S Z x d W 9 0 O y w m c X V v d D t T Z W N 0 a W 9 u M S 9 U Y W J s Z T A w M S A o U G F n Z S A x K S A o M i k v W m 1 p Z W 5 p b 2 5 v I H R 5 c C 5 7 U 3 R h b i B u Y V 8 x L D J 9 J n F 1 b 3 Q 7 L C Z x d W 9 0 O 1 N l Y 3 R p b 2 4 x L 1 R h Y m x l M D A x I C h Q Y W d l I D E p I C g y K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I C g y K S 9 a b W l l b m l v b m 8 g d H l w L n t D b 2 x 1 b W 4 x L D B 9 J n F 1 b 3 Q 7 L C Z x d W 9 0 O 1 N l Y 3 R p b 2 4 x L 1 R h Y m x l M D A x I C h Q Y W d l I D E p I C g y K S 9 a b W l l b m l v b m 8 g d H l w L n t T d G F u I G 5 h L D F 9 J n F 1 b 3 Q 7 L C Z x d W 9 0 O 1 N l Y 3 R p b 2 4 x L 1 R h Y m x l M D A x I C h Q Y W d l I D E p I C g y K S 9 a b W l l b m l v b m 8 g d H l w L n t T d G F u I G 5 h X z E s M n 0 m c X V v d D s s J n F 1 b 3 Q 7 U 2 V j d G l v b j E v V G F i b G U w M D E g K F B h Z 2 U g M S k g K D I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i O T R m N j E t Y z c 0 N i 0 0 O T g 4 L T l j Z j Q t M 2 E x Y z A 0 M T N k N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E 0 O j U 4 O j M 4 L j A 1 N z Q x M D Z a I i A v P j x F b n R y e S B U e X B l P S J G a W x s Q 2 9 s d W 1 u V H l w Z X M i I F Z h b H V l P S J z Q m d Z R 0 J B P T 0 i I C 8 + P E V u d H J 5 I F R 5 c G U 9 I k Z p b G x D b 2 x 1 b W 5 O Y W 1 l c y I g V m F s d W U 9 I n N b J n F 1 b 3 Q 7 Q 2 9 s d W 1 u M S Z x d W 9 0 O y w m c X V v d D t T d G F u I G 5 h J n F 1 b 3 Q 7 L C Z x d W 9 0 O 1 N 0 Y W 4 g b m F f M S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M p L 1 p t a W V u a W 9 u b y B 0 e X A u e 0 N v b H V t b j E s M H 0 m c X V v d D s s J n F 1 b 3 Q 7 U 2 V j d G l v b j E v V G F i b G U w M D E g K F B h Z 2 U g M S k g K D M p L 1 p t a W V u a W 9 u b y B 0 e X A u e 1 N 0 Y W 4 g b m E s M X 0 m c X V v d D s s J n F 1 b 3 Q 7 U 2 V j d G l v b j E v V G F i b G U w M D E g K F B h Z 2 U g M S k g K D M p L 1 p t a W V u a W 9 u b y B 0 e X A u e 1 N 0 Y W 4 g b m F f M S w y f S Z x d W 9 0 O y w m c X V v d D t T Z W N 0 a W 9 u M S 9 U Y W J s Z T A w M S A o U G F n Z S A x K S A o M y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S A o U G F n Z S A x K S A o M y k v W m 1 p Z W 5 p b 2 5 v I H R 5 c C 5 7 Q 2 9 s d W 1 u M S w w f S Z x d W 9 0 O y w m c X V v d D t T Z W N 0 a W 9 u M S 9 U Y W J s Z T A w M S A o U G F n Z S A x K S A o M y k v W m 1 p Z W 5 p b 2 5 v I H R 5 c C 5 7 U 3 R h b i B u Y S w x f S Z x d W 9 0 O y w m c X V v d D t T Z W N 0 a W 9 u M S 9 U Y W J s Z T A w M S A o U G F n Z S A x K S A o M y k v W m 1 p Z W 5 p b 2 5 v I H R 5 c C 5 7 U 3 R h b i B u Y V 8 x L D J 9 J n F 1 b 3 Q 7 L C Z x d W 9 0 O 1 N l Y 3 R p b 2 4 x L 1 R h Y m x l M D A x I C h Q Y W d l I D E p I C g z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Z W J l Y j J h L T k 2 M W U t N G F i M i 1 h Y W V h L T E y O T Q z Z T A y O G E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N D o 1 O D o z O C 4 w N j I 3 M z M y W i I g L z 4 8 R W 5 0 c n k g V H l w Z T 0 i R m l s b E N v b H V t b l R 5 c G V z I i B W Y W x 1 Z T 0 i c 0 J n T U R C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A o M i k v W m 1 p Z W 5 p b 2 5 v I H R 5 c C 5 7 Q 2 9 s d W 1 u M S w w f S Z x d W 9 0 O y w m c X V v d D t T Z W N 0 a W 9 u M S 9 U Y W J s Z T A w M i A o U G F n Z S A y K S A o M i k v W m 1 p Z W 5 p b 2 5 v I H R 5 c C 5 7 Q 2 9 s d W 1 u M i w x f S Z x d W 9 0 O y w m c X V v d D t T Z W N 0 a W 9 u M S 9 U Y W J s Z T A w M i A o U G F n Z S A y K S A o M i k v W m 1 p Z W 5 p b 2 5 v I H R 5 c C 5 7 Q 2 9 s d W 1 u M y w y f S Z x d W 9 0 O y w m c X V v d D t T Z W N 0 a W 9 u M S 9 U Y W J s Z T A w M i A o U G F n Z S A y K S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i A o U G F n Z S A y K S A o M i k v W m 1 p Z W 5 p b 2 5 v I H R 5 c C 5 7 Q 2 9 s d W 1 u M S w w f S Z x d W 9 0 O y w m c X V v d D t T Z W N 0 a W 9 u M S 9 U Y W J s Z T A w M i A o U G F n Z S A y K S A o M i k v W m 1 p Z W 5 p b 2 5 v I H R 5 c C 5 7 Q 2 9 s d W 1 u M i w x f S Z x d W 9 0 O y w m c X V v d D t T Z W N 0 a W 9 u M S 9 U Y W J s Z T A w M i A o U G F n Z S A y K S A o M i k v W m 1 p Z W 5 p b 2 5 v I H R 5 c C 5 7 Q 2 9 s d W 1 u M y w y f S Z x d W 9 0 O y w m c X V v d D t T Z W N 0 a W 9 u M S 9 U Y W J s Z T A w M i A o U G F n Z S A y K S A o M i k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U y M C g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Q 5 N D h k N C 1 m Y T E z L T R j N z U t O D Y 0 M C 1 l O D A x M T k y N G F l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Q 6 N T U 6 M D c u M D I w N D I 2 N V o i I C 8 + P E V u d H J 5 I F R 5 c G U 9 I k Z p b G x D b 2 x 1 b W 5 U e X B l c y I g V m F s d W U 9 I n N C Z 1 l H Q k E 9 P S I g L z 4 8 R W 5 0 c n k g V H l w Z T 0 i R m l s b E N v b H V t b k 5 h b W V z I i B W Y W x 1 Z T 0 i c 1 s m c X V v d D t D b 2 x 1 b W 4 x J n F 1 b 3 Q 7 L C Z x d W 9 0 O 1 N 0 Y W 4 g b m E m c X V v d D s s J n F 1 b 3 Q 7 U 3 R h b i B u Y V 8 x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N C k v W m 1 p Z W 5 p b 2 5 v I H R 5 c C 5 7 Q 2 9 s d W 1 u M S w w f S Z x d W 9 0 O y w m c X V v d D t T Z W N 0 a W 9 u M S 9 U Y W J s Z T A w M S A o U G F n Z S A x K S A o N C k v W m 1 p Z W 5 p b 2 5 v I H R 5 c C 5 7 U 3 R h b i B u Y S w x f S Z x d W 9 0 O y w m c X V v d D t T Z W N 0 a W 9 u M S 9 U Y W J s Z T A w M S A o U G F n Z S A x K S A o N C k v W m 1 p Z W 5 p b 2 5 v I H R 5 c C 5 7 U 3 R h b i B u Y V 8 x L D J 9 J n F 1 b 3 Q 7 L C Z x d W 9 0 O 1 N l Y 3 R p b 2 4 x L 1 R h Y m x l M D A x I C h Q Y W d l I D E p I C g 0 K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I C g 0 K S 9 a b W l l b m l v b m 8 g d H l w L n t D b 2 x 1 b W 4 x L D B 9 J n F 1 b 3 Q 7 L C Z x d W 9 0 O 1 N l Y 3 R p b 2 4 x L 1 R h Y m x l M D A x I C h Q Y W d l I D E p I C g 0 K S 9 a b W l l b m l v b m 8 g d H l w L n t T d G F u I G 5 h L D F 9 J n F 1 b 3 Q 7 L C Z x d W 9 0 O 1 N l Y 3 R p b 2 4 x L 1 R h Y m x l M D A x I C h Q Y W d l I D E p I C g 0 K S 9 a b W l l b m l v b m 8 g d H l w L n t T d G F u I G 5 h X z E s M n 0 m c X V v d D s s J n F 1 b 3 Q 7 U 2 V j d G l v b j E v V G F i b G U w M D E g K F B h Z 2 U g M S k g K D Q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w N D J h M T U t O T d j Z S 0 0 Z m Y 3 L T k 4 N T k t M W I 1 N T V j O W F h Z T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w V D E 0 O j U 1 O j A 3 L j A y N j U y M j N a I i A v P j x F b n R y e S B U e X B l P S J G a W x s Q 2 9 s d W 1 u V H l w Z X M i I F Z h b H V l P S J z Q m d N R E J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I C g z K S 9 a b W l l b m l v b m 8 g d H l w L n t D b 2 x 1 b W 4 x L D B 9 J n F 1 b 3 Q 7 L C Z x d W 9 0 O 1 N l Y 3 R p b 2 4 x L 1 R h Y m x l M D A y I C h Q Y W d l I D I p I C g z K S 9 a b W l l b m l v b m 8 g d H l w L n t D b 2 x 1 b W 4 y L D F 9 J n F 1 b 3 Q 7 L C Z x d W 9 0 O 1 N l Y 3 R p b 2 4 x L 1 R h Y m x l M D A y I C h Q Y W d l I D I p I C g z K S 9 a b W l l b m l v b m 8 g d H l w L n t D b 2 x 1 b W 4 z L D J 9 J n F 1 b 3 Q 7 L C Z x d W 9 0 O 1 N l Y 3 R p b 2 4 x L 1 R h Y m x l M D A y I C h Q Y W d l I D I p I C g z K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y I C h Q Y W d l I D I p I C g z K S 9 a b W l l b m l v b m 8 g d H l w L n t D b 2 x 1 b W 4 x L D B 9 J n F 1 b 3 Q 7 L C Z x d W 9 0 O 1 N l Y 3 R p b 2 4 x L 1 R h Y m x l M D A y I C h Q Y W d l I D I p I C g z K S 9 a b W l l b m l v b m 8 g d H l w L n t D b 2 x 1 b W 4 y L D F 9 J n F 1 b 3 Q 7 L C Z x d W 9 0 O 1 N l Y 3 R p b 2 4 x L 1 R h Y m x l M D A y I C h Q Y W d l I D I p I C g z K S 9 a b W l l b m l v b m 8 g d H l w L n t D b 2 x 1 b W 4 z L D J 9 J n F 1 b 3 Q 7 L C Z x d W 9 0 O 1 N l Y 3 R p b 2 4 x L 1 R h Y m x l M D A y I C h Q Y W d l I D I p I C g z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J T I w K D M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A / S 9 q 7 I S J a w 6 j p l t 4 o x A A A A A A I A A A A A A B B m A A A A A Q A A I A A A A H h I 5 7 V 0 h y o h f R X r z X G c 1 U Z s s u A I L + C M g Z 6 H S a e B w L n o A A A A A A 6 A A A A A A g A A I A A A A M I u A L M r 9 4 k n s 1 + 6 P 8 F z / 3 X J s D J Z O J M q m e n L X t 4 g c r x m U A A A A J + 9 q 1 r v U 5 9 Y I 4 N 9 W f + M D F K t + t W X 4 s u 6 z P y k Q I W R l i Z o m e F e N L b L Q Q + 9 z 9 + f n X X P A r D g x Y A b s Q b 8 A i P 9 1 W 3 Y t M q F W 3 g Q M j F n w J 6 x C 0 f K O z o Y Q A A A A D 0 K A p H L O 0 W e Z p + 5 d J d r J y 4 X c r S a D G y 4 o t 5 y / A T W z d a n y 0 6 x o A z 6 1 G o p c 4 E o x 4 y O m U i x r H M c f o U w b y R U 1 V 6 h H r E = < / D a t a M a s h u p > 
</file>

<file path=customXml/itemProps1.xml><?xml version="1.0" encoding="utf-8"?>
<ds:datastoreItem xmlns:ds="http://schemas.openxmlformats.org/officeDocument/2006/customXml" ds:itemID="{A99AD831-7A0F-46CF-BA84-1DCDC7AEAF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TM16410219</Templat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Bilans</vt:lpstr>
      <vt:lpstr>Rachunek zysków i strat</vt:lpstr>
      <vt:lpstr>Rachunek przepływów pieniężnych</vt:lpstr>
      <vt:lpstr>Analiza płynności</vt:lpstr>
      <vt:lpstr>Wskaźniki zadłużenia</vt:lpstr>
      <vt:lpstr>Analiza sprawności działania</vt:lpstr>
      <vt:lpstr>Wskaźniki rentowności</vt:lpstr>
      <vt:lpstr>Analiza Du Pointa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Faustyna Bąk</dc:creator>
  <cp:lastModifiedBy>Faustyna</cp:lastModifiedBy>
  <dcterms:created xsi:type="dcterms:W3CDTF">2018-05-17T11:18:53Z</dcterms:created>
  <dcterms:modified xsi:type="dcterms:W3CDTF">2024-05-21T08:14:53Z</dcterms:modified>
</cp:coreProperties>
</file>