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Cleaning" sheetId="2" r:id="rId5"/>
    <sheet state="visible" name="stopword" sheetId="3" r:id="rId6"/>
    <sheet state="visible" name="Tokenizing" sheetId="4" r:id="rId7"/>
    <sheet state="visible" name="Stemming" sheetId="5" r:id="rId8"/>
    <sheet state="visible" name="TFIDF" sheetId="6" r:id="rId9"/>
    <sheet state="visible" name="Naive Bayes" sheetId="7" r:id="rId10"/>
    <sheet state="visible" name="SVM" sheetId="8" r:id="rId11"/>
  </sheets>
  <definedNames/>
  <calcPr/>
</workbook>
</file>

<file path=xl/sharedStrings.xml><?xml version="1.0" encoding="utf-8"?>
<sst xmlns="http://schemas.openxmlformats.org/spreadsheetml/2006/main" count="2852" uniqueCount="1499">
  <si>
    <t>label</t>
  </si>
  <si>
    <t>content</t>
  </si>
  <si>
    <t>Neutral</t>
  </si>
  <si>
    <t>Sekedar mengingatkan.. Bagi teman² yang juga menggunakan aplikasi cek bansos yang jaringannya error setiap x masuk, coba lagi sekarang, saya sudah coba masuk hampir 1 bulan tetap error tapi alhamdulillah kemarin sudah bisa masuk dan memilih... Selamat mencoba para pejuang bansos...!!</t>
  </si>
  <si>
    <t>Positive</t>
  </si>
  <si>
    <t>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t>
  </si>
  <si>
    <t>Gabisa login atau buat akun baru, kenapa ya.. Mohon beri keterangan dan dipermudah aplikasinya, sangat berharap kepada pemerintah tp kesulitan untuk mendaftarkan diri. Trimakasih banyak.. Semoga ada jalan terang</t>
  </si>
  <si>
    <t>Saya gak pernah dapat bantuan apa apa. Cuma bisa lihat tetangga yg dapat. Yg ekonominya lebih baik dr saya dn kluarga. Mau bansos pkh atau apalah.. saya kira aplikasi ini membantu ternyata cuma php. Setiap membuat usulan selalu erorr...</t>
  </si>
  <si>
    <t>alhamdulillah setelah berhari hari gk bisa login ,tapi setelah di update sekarang udah bisa login,dan udah bisa di buka aplikasinya,ada satu lagi ,setelah bisa login ,tapi mau masukan usulan data ,error jasn, tapi sekarang mau usul bansos stts belum cek terus dari 3 bln yg lalu</t>
  </si>
  <si>
    <t>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 gmn mau daftar bansos ?</t>
  </si>
  <si>
    <t>Tolong dong admin aplikasi cek bansos, saya sudah daftar sudah terverifikasi, tapi saat saya mau tambah usulan kenapa error terus, kadang error json parse kadang error hubungi admin.tolong dong supaya aplikasinya di tingkatkan lagi agar tidak error terus</t>
  </si>
  <si>
    <t>Banyak yang bilang kalo apk ini error lah dll, Alhamdulillah gua sih lancar² aja. Mulai dari daftar, login dan tambah usulan Alhamdulillah lancar. Tapi gak tau gimana ke depannya, di terima gak data kita sama kemensos. Itu aja sih yang penting hahaha 😅</t>
  </si>
  <si>
    <t>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t>
  </si>
  <si>
    <t>Komennya banyak yg gak bagus,tp krn sy sangat membutuhkan sy coba download juga,hidup2 untung2an,tp ternyata gak bisa login,semua sudah benar,email/nmr Hp tp yg keluar pasword/email salah,sy coba ganti pasword jawabannya tidak ditemukan,tolonglah...kami rakyat gk mampu,setelah corona kena PHK..jgn dipersulit,,</t>
  </si>
  <si>
    <t>Sedikit masukan. Untuk menu usulan sebaiknya ditambah kolom keterangan. Krna jika hnya melihat dr ktp dan foto rumah saja tdk bsa menggambarkan kseluruhan kondisi keluarga yg diusulkan. Tetangga saya ada yg rumahnya msh tanah tp sawah nya dmna2 dpt bntuan. Trs ada lansia yg tinggal sndri dan rumah jg pnya sodara mlh g dpt bantuan. Mohon bsa jd masukan agar dpt dikembangkan lg aplikasinya. Trims</t>
  </si>
  <si>
    <t>Awalnya sempet ragu dengan aplikasi ini karena sudah registrasi tapi tidak bisa dibuka,, Ternyata harus nunggu di aktivasi terlebih dahulu, setelah mendapatkan notifikasi bahwa sudah aktiv, baru aplikasi ini bisa digunakan</t>
  </si>
  <si>
    <t>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t>
  </si>
  <si>
    <t>Yg eror aplikasinya/cara mndaftarnya... Baru buat akun kok sudah terdaftar giliran login salah user/pasword...jadi bingung bantuan cair cuma bisa lihat/dengar dari jauh...</t>
  </si>
  <si>
    <t>Aplikasinya eror, tidak bisa masukan data. Di logout login lg jg gk bisa. Kenapa rata rata aplikasi punya pemerintah sering down begini?</t>
  </si>
  <si>
    <t>Saya merubah ulasan saya karna saya sudah bisa masuk di aplikasi ini. Selanjutnya saya belum mencoba semuanya dan kita lihat nanti pungsi dari aplikasi ini,apakah bintangnya bisa bertambah,tetap atau malah berkurang</t>
  </si>
  <si>
    <t>Aplikasi dan program yang sangat membantu masyarakat menengah(miskin) atau rentan miskin.. sangat bermanfaat untuk penerima... LANJUTKAN.....!!</t>
  </si>
  <si>
    <t>Saya kasi 5 bintang bentuk apresiasi untuk pemerintah untuk go digital.. tapi saya mau bertanya, kenapa situs2 pemerintahan sangat lambat loading, dan kontak cs.nya gak ada yang respon jika dihubungi.. sedangkan kami ini, yang pemula didunia digital dengan modal uang jajan, bisa dapat server yg bagus, walaupun diakses dengan koneksi internet seadanya.. HERAN! dan lagi-lagi situs2 pemerintahan isinya 'kurang menarik' mohon maaf🙏🙏</t>
  </si>
  <si>
    <t>Aplikasinya tidak bisa buat akun baru. Padahal semua data sudah terisi dan lengkap. Saat tekan buat akun akun muncul eror</t>
  </si>
  <si>
    <t>Ini gimna yaa caranya setiap mau login selalu ada gangguan koneksi truss .. padahal saya uda terima email ke 2 dri kemensos tinggal login aja, tp selalu gak bisa di login. Tolonh balas donk kasi solusi nya</t>
  </si>
  <si>
    <t>Kenapa tiap login mau tambah usulan selalu ada tulisan Error Json Parse. Mohon bantuannya tolong diperbaiki lagi Aplikasinya. Kalau Error mulu gimana caranya mau daftar nih. Admin yang baik hati tolong dong benerin aplikasinya. Terima kasih</t>
  </si>
  <si>
    <t>Ubah jadi bintang 3 dulu, karena aplikasi bisa berfungsi baik setelah update, tinggal nunggu hasil dari usulan masyarakat yg di ajukan mandiri, bisa berfungsi tidak.</t>
  </si>
  <si>
    <t>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t>
  </si>
  <si>
    <t>Mohon ditingkatkan lagi admin, karna di desa saya belum ada jaringan untuk mengupload setelah foto ktp dan foto rumah, kalau bisa ada mode save nya agar ketika sudah dapat jaringan bisa di lanjutkan untuk pengaplotan usulan, Terimakasih! Salam Desa awiu Koltim Aere</t>
  </si>
  <si>
    <t>Bg yg msh sulit login,coba langkah login dibawah(dr pengalaman sy) : 1. Apdate aplikasi 2, hapus cache 3, sinyal bagus 4, akun sdh aktif(aktivasi akun berhasil) 4, login pake username yg dikirim melalui email 5, "mohon bersabar 'ini ujian..'"😉👍</t>
  </si>
  <si>
    <t>Aplikasinya sulit login. Sdh 2 bln gak masuk data dtks. Harus berjuang bagi pasien gagal ginjal. Boro" Dpt sembako. Biaya berobat aja (pbi) kaga dapat. Mana org dinsos yang datang.? Dpt email verifikasi tapi belum di cek oleh dinsos nya.</t>
  </si>
  <si>
    <t>Aduh ada yang tau cara merubah data nya gak ya...... Karena kurang teliti saya data nya ada yang salah..... Tolong kasih tau donk cara merubah data Dah saya uninstall download berkali² tetap aja</t>
  </si>
  <si>
    <t>Sengaja saya kasih bintang 5 biar di tanggapi cepat. Kenapa waktu penambahan usulan mandiri tidak bisa di upload dngen keterangan "Error Json Parse" setiap kali mau upload selalu muncul keterangan seperti itu...tolong jelaskan masalah nya dan solusi nya bagaimana</t>
  </si>
  <si>
    <t>Sangat tidak membantu. Benar² sdh buat akun baru dgn teliti dan ketika mau masuk...kacau tidak bisa dibuka. Tolong solusinya utk aplikasi cek bansos nya</t>
  </si>
  <si>
    <t>Ini kenapa yaa, ga bisa login padahal username nya udh bener, ... Tapi tetep ga bisa login keterangannya username/password salah , .. Mohon info nya Terima kasihh</t>
  </si>
  <si>
    <t>Biar di baca sama yang buat apk saya udah daftar dan udah verivukasi ke email, trus masuk pakek user name tulisannya belum terdaftar trus buat lagi tapi tulisannya sudah terdaftar udah gua coba berapa kali tetep AE sama</t>
  </si>
  <si>
    <t>Uda hampir 2 bulan,Masi jg dalam perbaikan aplikasi ini,gimanah mau usulan sangga kalau aplikasi nya saja sampai skrg blm bsh d gunakan.tlg dong d percepat perbaikan sistim aplikasi nya.agar bisa dapat bantuan bbm dr pemerintah.masa yg dapat kpm2 lama.yg cuma dapat bantuan PBI gak dapat bantuan BBM.katanya setiap bulan selalu d aupdet kok gak sesuai ap yg d janjikan.</t>
  </si>
  <si>
    <t>susah banget di buka padahal udah daftar....harusnya gampang di buka setiap buka user name belum di lakukan aktivasi selalu begitu knpa ya....trus cek gmail juga nggak ada</t>
  </si>
  <si>
    <t>Sudah bagus walau pun pengiriman data sangat down,karna server nya padat merayap seluruh indonesia,semoga dengan aplikasi ini bantuan dari pemerintah bisa tepat sasaran untuk yang membutukan.</t>
  </si>
  <si>
    <t>ini kenapa yaa saya mau login tapi sandi selalu salah, saya coba lupa kata sandi dan sudah berhasil di kirim sandi baru. Saya cek email memang ada email masuk, tapi tidak ada sandi baru... Sudah saya cba berkali kali tetap seperti itu.... Mohon bantuan nya🙏</t>
  </si>
  <si>
    <t>Error terus waktu mau login nya, tolong dong diperbaiki kualitas server nya...apalagi ini kan menyangkut pengajuan bantuan bagi masyarakat...</t>
  </si>
  <si>
    <t>Alhamdulillah sudah bisa aktivasi dan sudah bisa mengajukan bantuan, tinggal nunggu di setujui. Tapi saya kasih bintang 4 dulu soal nya di profil jumlah keluarga cuma 3(tiga), fakta nya jumlah keluarga saya 4 (empat): *Suami(kepala rumah tangga), *Istri lagi hamil, *dan anak saya 2. Yang tertera di aplikasi anak saya cuma 1 (satu). Nanti kalau data sudah akurat saya kasih bintang 5. Terima kasih</t>
  </si>
  <si>
    <t>Kenapa akun yg saya daftar tidak bisa msk.yg kluar terjadi aplikasi error,dan hubungin atmin. Sdh berulang kali saya coba ttp seperti itu juga jwb y ? Knpa ?</t>
  </si>
  <si>
    <t>Assalamualaikum wr.rb, saya mau tambah di menu usulan tapi saya mau upload foto KTP sama foto depan rumah selalu,kembali ke menu utama lagi , minta tolong solusinya saya membutuhkan masuk dtks istri dan anak masuk tapi saya tidak , saya butuh harian lepas, karena saya membutuhkan subsidi listrik</t>
  </si>
  <si>
    <t>Dapet email aktivasi akun, coba login ngga bisa "terjadi masalah koneksi" sama saya di upgrade tapi tetep aja ngga bisa masih ada tulisan "terjadi masalah koneksi" jadi ginana ini?</t>
  </si>
  <si>
    <t>Kata nya daftar bisa dapet set top box sudah mengusulkan tapi tidak menu pilihan stb gratis, aplikasi tidak yg bikin yang bener lah masa error terus</t>
  </si>
  <si>
    <t>Dari semua ulasan, semuanya mengeluh TDK bisa login termasuk saya, tapi knp TDK di tindak lanjuti? Tidak ada perbaikan. Tolong dong di perbaiki!!!</t>
  </si>
  <si>
    <t>Saat saya meregistrasi aplikasi ini cuma 1 Minggu sudah dapat pemberitahuan bahwa akun saya berhasil di Registerasi Tapi kenapa saat saya login kembali ke aplikasi nya selalu eror dengan tulisan "Error Json Parse"</t>
  </si>
  <si>
    <t>Aplikasinya bagus sangat membantu bagi yang sudah menerima bantuan dari pemerintah,buat yang belum dapat BSU buat pekerja yang aktif bayar BPJS TK,tapi masih belum terima aplikasi ini tidak berguna &amp; mengecewakan.</t>
  </si>
  <si>
    <t>Akhirnya bisa juga selama 1 bulan lebih trus mencoba walaupun error trs tetap berusaha dan akhirnya alhamdulillah berhasil tambah usulan😇😉</t>
  </si>
  <si>
    <t>Setiap mau login tidak bisa katanya akun belom terverivikasi , padahal udah lama terverivikasi. Gimana mu dipake ini aplikasi</t>
  </si>
  <si>
    <t>Kasih bintang lima, walau sudah terverifikasi dan disetujui itu pun harus menunggu 1 bulan lebih , tapi tetap tidak bisa masuk dalam aplikasi, mantap...mantap....tidak menyesal saya mendownload aplikasi ini, tapi kenapa harus di pertemukan dengan aplikasi seperti ini 😢😭😭😭😭😭😭</t>
  </si>
  <si>
    <t>ini gimana ya saya sudah daftar pas login kok ga bisa masuk padahal nama dan pasword sudah benar jelasin dengan detil aktivasi sebenarnya gimana</t>
  </si>
  <si>
    <t>Aplikasi ini memang bisa diandal kan kalo hanya untuk mendaptar tapi seharus nya di cantumkan nama dan no NIK baru jelas jadi GK bingung kita karena kalo hanya nama saja susah mbedakan karena nama banyak yang sama</t>
  </si>
  <si>
    <t>Trimakasih aplikasi ini membuat nambah pengalaman juga dan membuat saya dapat BLT. Dari dulu saya gak pernah dpat sekarang berkat aplikasi ini jadi dapat BLT.</t>
  </si>
  <si>
    <t>Tolong admin aplikasi nya d perbaiki lagi, sy sdh mengisi formulir usulan sampai penuh dan setiap tinggal klik tambah usulan selalu error tolong ini di perbaiki trimakasih 🙏</t>
  </si>
  <si>
    <t>Kenapa setiap login tidak bisa atau selalu eror. Keterangan nya harus menghubungi admin aplikasi. @kementriansosialrepublikindonesia🙄</t>
  </si>
  <si>
    <t>Kenapa ga bisa masuk dan selalu ada tulisan error atau belum ditemukan aktivasi, padahal udah ada email,.. tolong di perbaiki lagi</t>
  </si>
  <si>
    <t>Pelayanan kurang baik...saya lupa sandi dan mau ganti password tapi dinkasih link suruh buka link,tpi link nya di bukak cuma muter" doang..tolong dong di perbaiki lagi .biar penggunaan nya lebih puas....masak mau buka link aja gak bisa</t>
  </si>
  <si>
    <t>Ini aplikasi untuk apa, buat gaya-gayaan kalau nama seseorang terdaftar/terlihat dapat bantuan, tapi setelah dikonfirmasi ke kantor desa tidak ada (tidak dapat) Lebih baik hapus aplikasi ini, jangan bodohi masyarakat. Mohon pihak pembuat aplikasi ini mempertanggung jawabkan hal ini.</t>
  </si>
  <si>
    <t>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t>
  </si>
  <si>
    <t>Nunggu berhari hari dulu baru bisa aktivasi,semoga aplikasi ini tidak menyalahgunakan data data yang di dalam. Semoga saja. Sukses selalu</t>
  </si>
  <si>
    <t>Kok apps nya aneh ya data sudah terverifikasi dan sudah dapat email 2X tp di data nama saya gak ada ya apps bodong apa gimana ini</t>
  </si>
  <si>
    <t>awal nya gk bisa d buka beberapa bulan lalu sy uninstal tapi kmaren sy k inget lagi sy coba lgi dan alhmdulilha bisa masuk dan ngajuin diri bwt penerima bansos bismilah berhasil mudah2n d setujui</t>
  </si>
  <si>
    <t>Saya daftar ulang malah blm ada dpat email jadi bingung akun sudah terdaftar silahkan login klik lupa password sampai nomor juga sudah blm juga bisa login dapat email nya aja blm gimn bisa sudah terdaftar</t>
  </si>
  <si>
    <t>Kenapa aplikasi ini , kenapa kalau untuk daftarkan orang yang benar benar layak menerima bansos ko susah, kalau emang ngga percaya yang saya daftarkan itu, bisa ko datangi rumah kami.</t>
  </si>
  <si>
    <t>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t>
  </si>
  <si>
    <t>Ok untuk saat ini aplikasi sudah bagus kembali. Kita bisa mengajukan usulan, semoga ke depan nya tetap bagus dan semakin membaik👍👍👍👍</t>
  </si>
  <si>
    <t>Alhamdulillah sudah berhari2 semua bisa...cek daptar dan usulan mandirinya sudah berhasil di terima..tinggal nunggu cek di dinsos saja.. intinya sabar aja dan terus berjuang...terima kasih wassalam.</t>
  </si>
  <si>
    <t>Biasanya bisa aja masuk Skrg sering error Udah update aplikasi yg terbaru malahan.</t>
  </si>
  <si>
    <t>Sekarang sudah bisa daftar. Harus di perbaharui apk nya. Kalau gagal coba lagi coba lagii. Saya baru beres daftar</t>
  </si>
  <si>
    <t>Ulasan baru : aplikasi sudah normal, hanya untuk data masih pakai data lama. Tolong di update pakai data 2022</t>
  </si>
  <si>
    <t>Aneh saya blm daftar bilang nya sudah terdaftar .daftar gak masuk2 cape2 gimana ini pak /Bu tolong perbaiki sistem nya terimakasih</t>
  </si>
  <si>
    <t>Saya senang sekali aplikasi ini,,, Ijin apakah bisa merubah akun kita menjadi akun yg benar, karna kemarin saya sudah salah mengklik warna merah untuk TDK suami saya menjadikan bukan keluarga 😭 dan salah klik lagi warna merah untuk TDK menerima manfaat 😭 apakah ada solusinya supaya itu pulih itu semua menjadi benar??</t>
  </si>
  <si>
    <t>Prodak pemerintah selalu bermasalah,biar keliatan serba digital tapi percuma semua ecek2 ,ini valid semua basis security pemerintahan sangat lemah, negeri konoha memang beda</t>
  </si>
  <si>
    <t>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t>
  </si>
  <si>
    <t>Tolong ya di ACC Atas Nama HArnita Susah sekali Login nya.sudah di daftar tapi tak bisa LOgin.mohon kebijakan nya.🙏</t>
  </si>
  <si>
    <t>selalu gagal login,gagal dan gagal, padahal sudah dapat 2x email kemensos.mungkin harus bersabar..</t>
  </si>
  <si>
    <t>Tolong lha pak. Aplikasi eror setiap mau login. Karna sinyal gk stabil. Mohon petunjuknya??</t>
  </si>
  <si>
    <t>Setelah di update bukan bertambah baik appnya Malah bikin error selalu Mohon di perbaiki kembali...</t>
  </si>
  <si>
    <t>bagus.. alhamdulillah bisa di buka.. tapi untuk menambahkan pengajuan eror aplikasi terus. harus menghubungi admin</t>
  </si>
  <si>
    <t>Udah sekian lama daftar kok belum dicek ya kk, 🙏.apa aplikasi ini digunakan / udah gak digunakan kementrian DTKS.mohon informasi nya ya kk developer.udah lama gak kerja akibat covid(pengurangan tenaga kerja) mau cari kerja melamar kemana saja gak bisa,alasan kendala usia(43th)sedang bantuan gak pernah nyangkut.mau gimana lagi,sedang keluarga butuh biaya.🙏,mana LISTRIK DAN BBM NAIK MULU,DAN UNTUNG NYA DIKASIHKAN YANG PUNYA PKH TERUS MENERUS,BERUPA SEMBAKO,BLT BBM,BLT MINYAK GORENG.PDHL DAH KAYA</t>
  </si>
  <si>
    <t>Kenapa ya sekarang aplikasinya malah error,tidak bisa di gunakan, padahal bisa membantu masyarakat yang bantuannya tidak di berikan oleh oknum..</t>
  </si>
  <si>
    <t>Sudah daftar Akun Verifikasi aktifasi g ada lanjutan.. Coba langsung masuk juga ngak bisa.. Wes Angeel wess.. Tolong diperbaiki 🙏</t>
  </si>
  <si>
    <t>Saat buat akun baru terjadi error aplikasi,itu harus bagamana?padahal sudah di isi semua datanya</t>
  </si>
  <si>
    <t>Aplikasinya Bagus, Saran Aku Sih Tambahin Fitur Pencarian Menggunakan NIK dan Nama Karena Banyak Orang Yang Memiliki Nama Yang sama, Dan Juga Sertakan Nama Tempat Pengambilan Bansosnya, Sekian Terimakasih :)</t>
  </si>
  <si>
    <t>Bisa login tpi giliran daftar data usulan sudah lengkap jawabannya Aplikasi eror silahkan hubungi admin gtu trus😭😭😭 tolong dong di perbaiki lagi🙏🙏🙏</t>
  </si>
  <si>
    <t>M'f sebelumnya saya sudah mendaftar lewat apps ini ttpi knp respn densos blm cek juga? Sekali lagi m'f tolong d pengecekan yg dapat bantuan d ksih dusun &amp; Rt masalahnya 1 desa namanya banyk yg sama biar jelasna, terus biar tau orang itu benar pantas dapat bantuan atau tidk.</t>
  </si>
  <si>
    <t>Untuk Yth developer, Ada kendala saat mendaftar, Selalu eror. Semoga cepat di atasi Terimakasih</t>
  </si>
  <si>
    <t>Saya sudah coba mengusulkan sudah beberapa minggu lalu tp blm dicek dinsos. Saya mengusulkan karena belum tersentuh sama sekali</t>
  </si>
  <si>
    <t>Kenapa muncul kesalahan aplikasi ketika ingin menambahkan usulan,, mohon admin diperbaiki... Selebihnya lancar hanya kendala dipenambah usulan saja</t>
  </si>
  <si>
    <t>Mau daftar buat akun aja gagal terus keterangan nya aplikasi error' di suruh hubungi admin tp GK ada tulisan admin di aplikasi</t>
  </si>
  <si>
    <t>Alhamdulilah pendaftaran lancar. Dan langsung diverifikasi. Dan usulan juga lancar Mudah mudahan lancar semua. Aamin aamin</t>
  </si>
  <si>
    <t>Sy sg suka karna sangat mudah untuk mengusulkan dan semoga cepat di respon saat mengusulkan mks.</t>
  </si>
  <si>
    <t>Prtma kali usul, memang sangat susah, tapi saya tidak pantang menyerah, saya coba lagi,dan lagi, akhirnya bisa juga untuk mengusulkan, dan stlh satu bulan mendaftr, akhirnya bisa dapat juga, untuk teman- teman yang blm bisa atau eror, jangan pantang menyerah semoga saja bisa.</t>
  </si>
  <si>
    <t>Sangat membantu untuk meringankan biaya serta membantu mempermudah pengurusan bantuan</t>
  </si>
  <si>
    <t>Teeimakasih akhirnya saya bisa login cek bansos, setelah gagal beberapa kali daftar dari bulan april lalu, baru sekarang saya berhasil 😭</t>
  </si>
  <si>
    <t>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t>
  </si>
  <si>
    <t>Tolong segera di perbaiki, kenapa selalu aplikasi "error segera hubungi admin"</t>
  </si>
  <si>
    <t>Susah Login nya walau pun udah dua kali buat akun. Sulit masuk apa Mempersulit masuk</t>
  </si>
  <si>
    <t>Kasih bintang lima saja walau pun hasil.nya mngecewakan tidak bisa daftar walau sudah di isi sesuai arahan tetep sulit..gatau LG deh gmana cara nya</t>
  </si>
  <si>
    <t>Sangat bermanfaat.. walaupun tidak ada data menerima bansos.. setidaknya tau daerah siapa aja yg menerima.. cuman bnyak salah sasaran tdk sesuai dgn data pusat</t>
  </si>
  <si>
    <t>Gak bisa login tolong di perbaharui tolong di perbaiki hak bisa login</t>
  </si>
  <si>
    <t>Ok aplikasinya cukup bagus dan simpel udah coba login dan berhasil...cuman verifikasi butuh waktu aja...</t>
  </si>
  <si>
    <t>Kok susah login padahal pasword sudah benar ,mohon di perbaiki perlu banget</t>
  </si>
  <si>
    <t>Berulang ulang loging gagal melulu padahal 3 minggu nunggu konfir tapi ga muncul juga</t>
  </si>
  <si>
    <t>Aplikasi sudah bisa untuk buat akun baru sudah selesai semua tpi pas terakhir mau login ko eror</t>
  </si>
  <si>
    <t>Tolong di bantu donk min, biar bisa submit u/ daftar/tambah bantuannya. Krn mau tambah bantuan udah isi semua tinggal klik setuju error terus. Tolong di bantu ya min....</t>
  </si>
  <si>
    <t>Saya pribadi di sini kasih bintang 5 walaupun terkadang agak eror tapi jika dilakukan berulang ulang bisa Alhamdulillah setelah sekian lama mencoba terus akhirnya saya bisa menambah usulan semoga segera di ACC aamiin Untuk temen2 yang masih belum bisa menambah usulan karena eror Jersey kalian bisa pencet berulang2 kuncinya sabar Terimakasih</t>
  </si>
  <si>
    <t>Kok bulan bulan ini belum keluar juga ini sudah hampir 3bulan biasa ya 2bulan sekali ini mah gak keluar</t>
  </si>
  <si>
    <t>Daftarnya mudah.. Tapi aktivasinya hampir sebulan dan skrg gabisa2 untuk log in 😊 keren</t>
  </si>
  <si>
    <t>Sudah dilakukan berkali-kali dan beda waktu daftarnya, Penambahan data di menu Tambah Data Usulan tidak bisa dilakukan, dengan keterangan "Error Json Parse", mohon untuk segera diperbaiki, terimakasih</t>
  </si>
  <si>
    <t>saya kasih rating full aplikasinya tapi masih ada yang kurang dari respon dinsos terlalu lambat dalam merespon pengajuan dan pengaduan masyarakat tolong di tingkatkan lagi tks.</t>
  </si>
  <si>
    <t>Aktivasi akun telah berhasil, disuruh login, tapi hingga sekarang belum bisa masuk, ERROR terus. KENAPA ? Akun sudah AKTIF, eh dibilang akun belum di aktivasi. Berarti yang kirim email 'selamat aktivasi akun telah berhasil' kui sopo ? 😂</t>
  </si>
  <si>
    <t>Sebelum di update bisa login.. sesudah di update sampai sekarang gak bisa login😟</t>
  </si>
  <si>
    <t>Aplikasi Saat pendaftaran Ampe 10001 X Saya Coba Selalu Error' jperson lah apa lah Mungkin kayak Yang Buat Aplikasi Error' wkkwkwwk Pemerintah Banyak Korupsi👍🤢🤮🖕</t>
  </si>
  <si>
    <t>Aplikasinya bagus,,tapi kalau boleh kasih masukan.Buat ngecek jangan pakai nama,karena nama banyak yg sama.Lebih akurat kalau pakai nik,karena kalau nik ngga ada yg sama.</t>
  </si>
  <si>
    <t>Kenapa ga bisa login saya cari propinsi juga error terus aplikasi nya mohon diperbaiki lagi</t>
  </si>
  <si>
    <t>Ma.af mau daftar login kok susah sekali.mohon di perbaiki lagi. Supaya lancar</t>
  </si>
  <si>
    <t>Selama ini kehilangan hak saya dikarnakan hilang, itu dah berjalan lama sekali sampai sekarang. Kartu atm nya hilang jadi tdk bisa mengabil'y</t>
  </si>
  <si>
    <t>Terimakasih sangat membantu, meskipun agak lama verifikasinya. Bisa cek siapa sj tetangga yg dpt bansos.</t>
  </si>
  <si>
    <t>Sy sudah dftr lewat aplikasi cek bansos tapi belum respon dari dinsos alasannya knp ys .sulit sekali cari bansos sy blm pernah mndptkn. Org2 yg dpt punya mobil rumah layak.kalau sy rumah sdh dibbrapa sisi.sy sdh pensiun sdh hampir 1 thn .gmn ya bpk/ ibu.jngankan punya mobil makan aja sering utang di warung sebelah.sdh bawa ktp dan kk ke kantor desa tapi ktnya tidak ada bansos ysb.</t>
  </si>
  <si>
    <t>Kenapa error' trus, padahal sudah foto. Tinggal langkah terakhir ?? Gmn mau daftar nya</t>
  </si>
  <si>
    <t>Saya sudah mencoba untuk mendaftar akun, tetapi tidak bisa terdaftar akun saya. Tertulis "Error Json Parse"</t>
  </si>
  <si>
    <t>Susah ya buat upload foto. Error terus. Padahal aplikasi baru update.</t>
  </si>
  <si>
    <t>Aplikasi yang lama harus di instal ulang di play store baru bisa login 👍😘♥️🙏😇</t>
  </si>
  <si>
    <t>Error susah daftar intuk masuk. Kacau banget. Niat engk sih nih aplikasi</t>
  </si>
  <si>
    <t>Setelah di update, jadi tidak bisa,, error john parse</t>
  </si>
  <si>
    <t>Aplikasi error... Tidak bisa melakukan pendaftaran... Hebat aplikasinya...</t>
  </si>
  <si>
    <t>Maaf ni mau tanya. Berapa lama pemeliharaan aplikasinya yah? Soalnya saya mau cek penerimaan bantuan BBM tp gak masuk-masuk 🙏</t>
  </si>
  <si>
    <t>Untuk sementara pelayanan dan pengalaman yang dialami belum bisa direkomendasikan atau dikonfirmasi karena pendaftaran selalu error</t>
  </si>
  <si>
    <t>Terlalu banyak pengguna jadi error terus,buat akun belum bisa</t>
  </si>
  <si>
    <t>Aplikasi error'terus dan link ubah password nya gak bisa di buka</t>
  </si>
  <si>
    <t>Gagal daftar terus, alasannya attribute tidak sesuai .ga jelas aplikasinya</t>
  </si>
  <si>
    <t>kepada devplover dan pihak yang ada,,kok aplikasi nya,erorr ??saat mau digunakan,,trimakasih</t>
  </si>
  <si>
    <t>Aplikasi error terus ga bisa login kaya ga niat bikin aplikasi</t>
  </si>
  <si>
    <t>aplikasi tidak bekerja sudah coba daptar pas login minta akun baru lagi dan ber ulang</t>
  </si>
  <si>
    <t>Tepatnya tgl 3 october 2022 bahwa sanggahan sy sdh berhasil pendaftaran, bahkan sdh ada laporan ke email sy, tp bgtu sy BK apl cek bansos RI sampai saat ini TDK bisa di buka atau melakukan kelanjutannya,,jdi tolong untuk di perbaiki apl nya</t>
  </si>
  <si>
    <t>mao daftar aja error mulu, tolong perbaiki lagi aplikasinya</t>
  </si>
  <si>
    <t>Kenapa kok belum ada respon dri dinsoskenapa aplikasi nya error min mhon utk di perbaiki dn penjelasan nya</t>
  </si>
  <si>
    <t>Belum bisa masuk, mau ganti kata sandi, link yg diberi error g bisadibuka, udah 1 bln ini</t>
  </si>
  <si>
    <t>Saya sudah daftar di aplikasi ini dan mengajukan tambah usulan tapi belum dicek terus..</t>
  </si>
  <si>
    <t>Terimakasih sekarang sudah bisa di buka.cuma masih ada kekurangan untuk pengajuan usul sanggah yang sampai saat ini masih belum juga di tinjau oleh pihak pusat kemensos</t>
  </si>
  <si>
    <t>Error saat buat akun, apakah aplikasi ini sudah tidak berlaku lagi? Mohon penjelasan nya ya admin, Terimakasih.</t>
  </si>
  <si>
    <t>Berhasil tinggal menunggu verifikasi, mudah mudahan disetujui 🤲</t>
  </si>
  <si>
    <t>Tolong di perbaiki lagi masih serung eror....terimakasih karna sudah ada apk ini</t>
  </si>
  <si>
    <t>Semoga saya bisa dapat bansos , karena dari dulu sampai sekarang belum pernah dapat bantuan dari pemerintah..agak bingung juga kok bisa ngak pernah dapat bantuan apa apa dari pemerintah..</t>
  </si>
  <si>
    <t>Tolong klau ada sanggahan diresponlah, kami yg sangat layak dapat bantuan malah tdk dapat sm sekali,.yg lebih mampu malah dapat,.usul lebih baik hapus sj bansos,.untuk menghindari kecemburuan sosial</t>
  </si>
  <si>
    <t>Saya sudah selesai membuat username,tapi ada keterangan belum aktifasi,dan saya bingung cara aktifasinya melalui apa</t>
  </si>
  <si>
    <t>Single parent anakku 2 mau kerja keluar negri nggak ada yg ngerawat anak anak u,tlong pemerintah indonesia ingin rasanya merasakan sumbangan/blt dari Indonesia smga makmur dan jaya terus negriku</t>
  </si>
  <si>
    <t>Aplikasi sampah,jangan di download Server nya error' Bintang 5 supaya tampil di kolom komentar</t>
  </si>
  <si>
    <t>Masih belum bisa login kk, mohon solusinya.. Kenapa muncul tlisan? "Error json parse"</t>
  </si>
  <si>
    <t>dah masukkan data dgn benar tinggal persetujuan,mau dikirim,aplikasi eror</t>
  </si>
  <si>
    <t>Error gak bisa daftar cek bansos mohon di bantu Error tidak bisa daftar cek bansos mohon di bantu</t>
  </si>
  <si>
    <t>Maaf 🙏 knpa saya gak bisa login di aplikasi ini..pdahal sya dah trima email ke 2 alias email aktivasi akun.mohon🙏 bantuannya</t>
  </si>
  <si>
    <t>Perbaikan mulu, sdh 2 bln ga bisa loading.🤦</t>
  </si>
  <si>
    <t>Sudah bisa buat akun👍meski tak terdaftar sebagai penerima manfaat😁</t>
  </si>
  <si>
    <t>Tidak bisa mengusulkan dan sanggah di aplikasinya jaringan terus elor</t>
  </si>
  <si>
    <t>Bintang empat dulu soalnya gak bisa masuk, padahal saya sudah daftar Mohon donk penjelasannya🙏🙏</t>
  </si>
  <si>
    <t>Banyak bantuan yang masih kurang tepat, bayak orang tua yang seharusnya menerima manfaat tapi nyatanya malah anak² muda yang sehat yg mendapatkan</t>
  </si>
  <si>
    <t>terjadi error' aplikasi,silakan hubungi. Admin.</t>
  </si>
  <si>
    <t>Nggak bisa login karena lupa username dan pesan email sudah ke hapus . Tolong bantuannya</t>
  </si>
  <si>
    <t>Sudah puluhan tahun kost di Makassar tapi tdk pernah dapat bantuan bansos ,, semoga lewat aplikasi ini sy bisa dapat bantuan bansos,amin🙏</t>
  </si>
  <si>
    <t>Gak bisa login error' terus keluarnya</t>
  </si>
  <si>
    <t>Aplikasi error,harap hubungi admin..mohon bisa dicek.</t>
  </si>
  <si>
    <t>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ulang2. Karena dia juga berulang2 muncul di apk nya</t>
  </si>
  <si>
    <t>Terimakasi aplikasi ini sangat membantu dan sayg sudah terdaftar bansos. Terimakasih ya atas bantuan aplikasi nya😘😘😘😘😘</t>
  </si>
  <si>
    <t>Udah dpt balasan aktivasi email dari kemensos beberapa hari yg lalu.. tp ketika mau masuk, loading'y cuma muter" .. trus muncul periksa koneksi internet.. pdhl pake wifi.. mohon pihak trkait smoga aplikasi ini sgra bisa di prbaiki.. krna bnyak bantuan salah sasaran...</t>
  </si>
  <si>
    <t>Mohon d bantu,saya login lupa pasword,pas sudah dpt link dr email link trsbt tidak bisa d buka,mhon bntuan nya</t>
  </si>
  <si>
    <t>Alhamdulillah begitu daftar langsung dapat email aktivasi dan bisa langsung login. Sudah masukkan usulan bansos, semoga di setujui. 🤲</t>
  </si>
  <si>
    <t>Kenapa ga bisa masuk&amp; ga'bisa ngecek nama penerima???? Mohon diperbaiki</t>
  </si>
  <si>
    <t>saya sudah daftar aplikasi ni mudah mudahan bisa membantu perekonomian keluarga saya 🙏</t>
  </si>
  <si>
    <t>Assalamualaikum Mau tanya sy udah daftar Udah dapet email juga tentang aktifasi Dan di suruh login Pas mau login username ga si temukan Gimana donk min</t>
  </si>
  <si>
    <t>Kenapa saya tidak mendapat bantuan dari pemerintah (BANSOS) seperti PKH , BPNT , BST dan BLT BBM... Mohon bantuan nya agar saya bisa mendapatkan bantuan pemerintah ini.. terima kasih atas yang mau membantu.</t>
  </si>
  <si>
    <t>Sudah punya user name tp tidak bisa nebula aplikasi karena belum disetujui aktivasi</t>
  </si>
  <si>
    <t>Admin aplikasi terjadi eorr aplikasi, silakan hubungi admin, mohon bantuannya atau perbaikannya min</t>
  </si>
  <si>
    <t>Alhamdulilah udah di perbaiki datanya terima kasih☺☺☺</t>
  </si>
  <si>
    <t>Udah di daftar tapi belum di aktivasi</t>
  </si>
  <si>
    <t>Oke banget cuma sering gangguan tpi ttp sbar menunggu bsa di buka lg</t>
  </si>
  <si>
    <t>Klo kaga bisa masuk perbaruin versi terbaru terus restar hp ,,,pasti bisa masuk kok</t>
  </si>
  <si>
    <t>Mohon bantuan nya setiap kali mau daftar akun selalu error.</t>
  </si>
  <si>
    <t>Udh bisa di buka tetapi pas kirim mengajuan mandiri selalu eror tolong di perbaiki🙏🙏</t>
  </si>
  <si>
    <t>maaf admin kenapa ya saat login,terjadi error aplikasi</t>
  </si>
  <si>
    <t>Semoga cepat dan segera bisa daftar law mang bisa daftar di hp online semoga niat baik di mudah untuk gabung</t>
  </si>
  <si>
    <t>tidak bisa log in.. padahal sudah di Verifikasi</t>
  </si>
  <si>
    <t>Pak, sudah daftar kenpa gk bisa login, harus aktivasi lagi, caranya gmn lagi ya?</t>
  </si>
  <si>
    <t>Tolang perbaiki soalnya mau daftar selalu eror</t>
  </si>
  <si>
    <t>Belum pernah dapet bantuan selain dibayarin bpjs, iseng install apk ini dan ada 3 nama asing yang terdeteksi keluarga di profil laman utama. Aneh sekali Aplikasi juga banyak yang blank di kolom kolom, mungkin bug atau apalah itu. Moga cepet fix</t>
  </si>
  <si>
    <t>Hai admin aplikasi saya mau bilang kenapa aplikasi cek bansos ini sama saya kok eror ya mohon min di perbaiki</t>
  </si>
  <si>
    <t>Tidak bisa daftar aplikasi selalu error</t>
  </si>
  <si>
    <t>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t>
  </si>
  <si>
    <t>saya kasih tiga dulu,soalx ketika saya masuk kok eror trus pada hal data saya udah lengkap dan benar tolong jangan di persulit,kita ini rakyat miskin</t>
  </si>
  <si>
    <t>Negative</t>
  </si>
  <si>
    <t>Sangat kecewa,minta reset sandi tp link nya gak bisa di buka</t>
  </si>
  <si>
    <t>Pas mau daftar keterangannya error muluuu...</t>
  </si>
  <si>
    <t>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t>
  </si>
  <si>
    <t>Baru update ttp gk bisa msuk Pdhl sudah di aktivasi</t>
  </si>
  <si>
    <t>Banyak yang komentar tidak bisa login, gimana kalau kita bersama sama laporin yang buat apk ini, dengan alasan kita sudah di tipu, chat ke WA saya</t>
  </si>
  <si>
    <t>Padahal saya sudah buat akun tapi kenapa tidak bisa login ya mohon di perbaiki</t>
  </si>
  <si>
    <t>aplikasi nya tidak jelas tidak bisa daftar online mohon petunjuk</t>
  </si>
  <si>
    <t>Aplikasi error ga bisa digunakan .untuk daftar aja ga bisa</t>
  </si>
  <si>
    <t>Aplikasi tidak bisa digunakan. Udah daftar, waktu login malah gabisa. Liat yutub katanya suruh nunggu 3 minggu buat aktivasi, tapi udah 3 minggu lebih ga ada email masuk. Sebenernya ini aplikasi masih jadi program kerja bukan sih. Hapus aja napa kalo emang bukan program kerja lagi.</t>
  </si>
  <si>
    <t>Masih sering error, mohon diperbaiki</t>
  </si>
  <si>
    <t>Kenapa saya mau usulkan orang untuk penerima PKH tidak bisa dilakukan? Ada note error' aplikasi...</t>
  </si>
  <si>
    <t>Sesuatu buatan pemerintah pasti hasil nya gak bermanfaat gak berguna. Aplikaai cacat</t>
  </si>
  <si>
    <t>Setiap mau masukin foto KTP selalu kembali di halaman utama ..kayak mental gitu</t>
  </si>
  <si>
    <t>Kendala tambah ulasan tidak bisa masuk, mohon dibantu admin. Terimah kasih</t>
  </si>
  <si>
    <t>aplikasi jemb*t.... dftar brhasil kok login gk bisa..... anying niat kita baik kok mlah dimainin..... ngabisin kuota doang 🖕</t>
  </si>
  <si>
    <t>udah dapat pesan email aktivasi akun berhasil giliran login malah unsername tidak ditemukan. kan kocak</t>
  </si>
  <si>
    <t>Ni gmna min udh daftar akun pas login malah akun blm ada aktivasi..ni apa maksut nya</t>
  </si>
  <si>
    <t>Buruk sekali... Masa baru daftar klik provinsi sudah gak bisa... Alasannya koneksi padahal sudah coba pake paket data ataupun WiFi tapi tetap aja sama... Aplikasi BURIK</t>
  </si>
  <si>
    <t>Aplikasi nya untuk memilih provinsi tidak bisa. Sudah menunggu lama loadingnya ternyata eror. Sudah dicoba terus dan ulang-ulang kali sama saja eror dan tidak bisa buat akun baru. Tolong perbaikannya, biar bisa daftar .</t>
  </si>
  <si>
    <t>Kenapa setiap kali mau mengajukan usulan selalu keterangan aplikasi error ..mohon di bantu agar masyarakat bisa puas dengan pelayanan cek bansos.</t>
  </si>
  <si>
    <t>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t>
  </si>
  <si>
    <t>Sudah daftar sudah di isi hasil nya error</t>
  </si>
  <si>
    <t>Kenapa ya kebanyakan aplikasi pemerintah banyak yg tidak beres, selalu membingungkan, sudah berhasil terdaftar tp saat login username atau password salah tidak ditemukan, coba daftar LG eh nomer nik sudah terdaftar, kan kocak banget! Aplikasi kalau belum siap jngn di up dulu lah!</t>
  </si>
  <si>
    <t>gmn sih ne apk, g jelas...baru mau upload swafoto malah kembali kedepan</t>
  </si>
  <si>
    <t>Susah login nya,server nya,apa aplikasi nya yang eror</t>
  </si>
  <si>
    <t>Tolong di perbaiki sistem aplikasi nya suka eror</t>
  </si>
  <si>
    <t>Gak jelas blas udh daftar gak bisa login</t>
  </si>
  <si>
    <t>Mohon untuk diperbaiki lagi.. masih terdapat beberapa bug. Contoh kecil saya mau membuat akun baru saja button pilih privinsj loading tidak muncul sama sekali malah ngfreeze foreclose.</t>
  </si>
  <si>
    <t>Gak niat bantu warna gak usah bikin apk yang nyusahin kayak gini, udah di isi bener bener malah keluar tiba tiba gak jelas</t>
  </si>
  <si>
    <t>Sebenernya ini aplikasi bisa dipakai engga sih eror terus,tiap buka eror</t>
  </si>
  <si>
    <t>Kok udh aktivasi kenapa ga bisa login ya</t>
  </si>
  <si>
    <t>saya udh isi data lngkap tapi knpa gak bisa poto ktp saya disitu ad yg tanda plus gak bisa di buka mhon jlaskn gmna cara nya biar bisa poto ktp</t>
  </si>
  <si>
    <t>Perbaikn ap sih..dsni masih error...klo niat bantu yg bner jgn setengah²..ap ini apliksi abal²..???</t>
  </si>
  <si>
    <t>Kecewa banget aplikasi nya gak bisa login</t>
  </si>
  <si>
    <t>Berharap dengan aplikasi ini bisa mendaftar kan diri sebagai calon penerima PKH karena bantuan apapun kami tidak terima. Padahal kalau lihat kriteria saya sangat masuk .. punya dua anak balita . Tapi pas mau daftar ERROR ERROR ERROR. daftar tengah malam berharap jaringan bagus ee tetap ERROR. Memang apk.nya kurang bagus . Tolong di PERBAIKI..KAMI SANGAT BUTUH.</t>
  </si>
  <si>
    <t>Aplikasi erorr, tolong di perbaiki</t>
  </si>
  <si>
    <t>Usulan saya gak pernah di respon. Saya dapat kartu ATM sembako dari 2021 tp sampai saat ini kartu tidak bisa dipakai</t>
  </si>
  <si>
    <t>Mhn solusinya aplikasi setelah di download aplikasi tdk bsa di buka.tenks</t>
  </si>
  <si>
    <t>Aplikasi cek bansos ini memang sengaja di buat error.. Terbukti tidak ada usaha pemerintah untuk memperbaiki..</t>
  </si>
  <si>
    <t>Payah lah, alasannya username sama password salah, tak suka tak sulka</t>
  </si>
  <si>
    <t>Aplikasi hancur pilih propinsi loading lama , sudah telpon bantuan layanan di suruh coba berkala di coba jam 7 pagi , 7 malam , 2 pagi masih saja loading propinsi dengan dalil banyak orang yang mengakses , lucunya kok pas pilih propinsi tidak ada respon traffic dari databasenya</t>
  </si>
  <si>
    <t>Aplikasi bodong,, berkali2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t>
  </si>
  <si>
    <t>Masalah sama seperti yang lain, udah daftar akun, tp begitu login latanya akun belom aktivasi giliran bikin ulang akun katanya sudah terdaftar. Ga guna banget ni aplikasi! Dan parah nya lagi dari setiap ulasan, gda 1 pun yang di tanggapi ! Dah ga aneh, semoga data semua yang masuk ga di salah gunakan..</t>
  </si>
  <si>
    <t>Setelah di update malah ada bacaan error' Jason parase!</t>
  </si>
  <si>
    <t>Percuma komen, ga bakal d dengar... Sya udh 2 x instal, 2x juga uninstal. Berharap besar tpi mengecewakan... Slalu jaringan yg d salahkn...</t>
  </si>
  <si>
    <t>Dartar akun smpe 5x error trus Sering error, gak guna lah</t>
  </si>
  <si>
    <t>Udah di downlod gak bisa regestrasi katanya aplikasi eror, hadeh gimana ini....</t>
  </si>
  <si>
    <t>Sangat di sesalkan,harapan satu-satunya tidak bisa daftar online padahal saya tdk dapat bantuan apapun dari Rt...😭,</t>
  </si>
  <si>
    <t>Masa ngisi registrasi bagian alamat susah banget.. Error mulu</t>
  </si>
  <si>
    <t>Berkali2 masukkan data untuk buat akun baru, dan data sudah sesuai semuanya, tapi selalu gagal registrasi "alamat tidak sesuai" katanya, tolong dong kemensos aplikasi nya diperbaiki, banyak orang yg membutuhkan, masih banyak orang yang kurang mampu belum mendapatkan bansos.</t>
  </si>
  <si>
    <t>Aku hanya mau bilang, kesaaaaallll berapa kali login gagal, dan pilih lupa fswd eh malah situsnya gak resmi, skala pemerintah lo ini...</t>
  </si>
  <si>
    <t>Aplikasi g jlas, daftar pengguna baru 3 kali eror terus</t>
  </si>
  <si>
    <t>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t>
  </si>
  <si>
    <t>Keren si logo nya kemetrian sosial republik indonesia cukup meyakin kan tapi ga ada gunanya sama sekali apk nya</t>
  </si>
  <si>
    <t>Aplikasi gak bisa dibuka error teruss</t>
  </si>
  <si>
    <t>Tolong diperbaik i eroor teros mau login nggak bisa email sama sandi sudah benar masih aja nggak bisa</t>
  </si>
  <si>
    <t>Aplikasi mudah d download,setelah d isi pendataan, tp username password tyus,,tlong aplikasi yg benar " matang,agr warga yg TDK mampu seperti saya bsa mendaftar kn diri,karna saya juga seperti mereka yg membutuhkan bantuan dari pemerintah</t>
  </si>
  <si>
    <t>Maksudnya ini gmn kok eror terus Udh nunggu lama tapi tetep gitu Semoga cpt di perbarui tolong jgn dibikin ribet</t>
  </si>
  <si>
    <t>Apk aneh selalu *error json parse* mulu ... Tolong dong admin dibenerin aplikasinya..masa buruk begini</t>
  </si>
  <si>
    <t>Sangat buruk, app ini seperti mencuri data saja, hanya untuk daftar dan menunggu aktifasi melalui email. 2 minggu email aktifasi tidak muncul², HANYA UNTUK LOGIN SAJA..!!! saran saya google menghapus app ini. Very super duper Bad App.</t>
  </si>
  <si>
    <t>Gak bisa login.. udah coba lupa kata sandi.. tetap gak bisa.. ribet</t>
  </si>
  <si>
    <t>sllu eror tolong di perbaiki karna sangat susah untuk masuk</t>
  </si>
  <si>
    <t>Bagaimana mendaftar nya Klw erorr terus menerus Mohon untuk pihak yg bersangkutan Untuk memperbaiki Apk agar tidak erorr dalam mendaftar</t>
  </si>
  <si>
    <t>Sudah berkali-kali daftar akun tp setelah isi data diri, mau login ndak bisa, di email jg tdk ada aktivasi, sering error jg, kalo gk bisa dipake mending hapus aja aplikasi cek bansos ini, kalo masih dipake mending diperbaiki lagi deh</t>
  </si>
  <si>
    <t>Selama saya hidup, baru nemuin apk SEMENJIJIKAN DAN SESAMPAH INI. Kemampuan pemerintah ya hanya bisa aplikasi kgini</t>
  </si>
  <si>
    <t>Apk ngak guna udah tingal klik daftar eror trus , emng dasar ny duit mau di kentit</t>
  </si>
  <si>
    <t>Aplikasi apaan jaringan bagus tapi gagal login koneksi buruk katanya , aplikasi ga guna , bukannya mempermudah malah bikin emosi. Padahal udh banyak yang mengeluh tapi tetap aja ga ada perubahan , buat aplikasi ga bertanggung jawab !</t>
  </si>
  <si>
    <t>Selalu aja error..mau buka error terus</t>
  </si>
  <si>
    <t>Yang bingung makin bingung, yg bodoh makin bodoh, yang tidak bertanggung jawab semakin bersembunyi. Aplikasi ini seperti iming2 bagi org yg awam. Setelah di isi semua sesuai ktp, ketika login "Username" yg anda masukan salah saya coba registrasi kembali berkali kali semua sudah benar, ketika akan login masih demikina tidak bisa. Sedangkan data sudah masuk terdaftar.</t>
  </si>
  <si>
    <t>Sama sekali gak bisa login. Sudah berharihari baru terferivikasi email. Eh bagian masuk aplikasinya "terjadi kesalahan koneksi" sampe beli perdana yang bagus sinyalnya tetep zonk. Padahal saya sudah termasuk dalam penerima bansos ini</t>
  </si>
  <si>
    <t>Setelah update, benar bisa masuk, tp data kenapa jadi bukan penerima manfaat? Padahal dicek diweb bansos ada data terbaru, apalagi status semua anggota keluarga perempuan semua, padahal perempuannya hanya 1 orang, masa anak saya laki2 semua ditulia perempuan semua... Aneh😅</t>
  </si>
  <si>
    <t>Karena lupa password udah dapet email.. Link diklik ga bisa bisa masuk Oalahh sekelas kementrian apa ga bisa punya IT berbobot?</t>
  </si>
  <si>
    <t>Tadak bisa tambah usulan kode error Json Parse selalu Muncul. Tidak dapat menambah ulasan Mohon perbaikan aplikasinya</t>
  </si>
  <si>
    <t>Untuk kemensos, maaf ya jika gak berniat untuk meringankan penderitaan rakyat lebih baik gak usah lah, pada akhirnya bikin kecewa kayak begni, ini aplikasi selalu error kalo save data udh berulang² kali daftar tetep error sedangkn daftar lewat wabsite gak bisa... Lucu nya tu di sini😅</t>
  </si>
  <si>
    <t>Ini gimana sih? Mau login di suruh registrasi, mau registrasi ketika pilih provinsi loding lama ujung2nya eror jaringan.. berhari-hari di coba tetap g bisa. Sebenarnya klau uda produk gagal begini jgn di publis.. harusnya di cek lagi dan diupdate versinya. Kasihan kita2 mau daftar tapi g bisa. Sebaiknya jgn pakai ap ini lagi klau mau daftar online. Supaya g kasih janji palsu. Proses buat ini sama pengembang pasti dibayar mahal lagi.. tapi kwalitas masih sangat rendah.</t>
  </si>
  <si>
    <t>Aplikasi ngak jelas, error terus bikin emosi aja</t>
  </si>
  <si>
    <t>Setiap login selalu error</t>
  </si>
  <si>
    <t>Daftar aja loading terus, gak jelas aplikasi nya eror trus</t>
  </si>
  <si>
    <t>Aplikasi cek bansos tidak bisa di buka, kenapa ya.?</t>
  </si>
  <si>
    <t>Tolonglah di perbaiki sEror Eror terus silahkan kembali buat mendaftar tak bisa</t>
  </si>
  <si>
    <t>Aplikasi error'trs tlg di perbaiki .semoga d respon</t>
  </si>
  <si>
    <t>Aq kasih bintang 1,soalnya gak sesuai harapan..masa hanya kesamaan nama dalam satu desa/RT,yang nongol kok nama si kaya terus .hrusnya jgan nama..pakai NIK/KK..malah NIK/KK gak berfungsi d Apl ini .</t>
  </si>
  <si>
    <t>Gak bisa login ke amplikasi</t>
  </si>
  <si>
    <t>Kenapa saya tidar bisa daftar,...sudah cobak beberapa kali tetap tidak bisa</t>
  </si>
  <si>
    <t>Daftar aja error truuuuuussssss,perbaiki dong.</t>
  </si>
  <si>
    <t>Tolong admin.. alamat sudah sesuai KTP tapi saat di ajukan bikin akun infonya alamat tidak sesuai.. mohon solusi</t>
  </si>
  <si>
    <t>Aplikasinya eror gak bisa log.in padahal baru dapat email di acc, saya mau sanggah. Dulu di data pkh pas saya hamil. Data saya ada dapat. Tp kenapa setelah disuruh isi survai dari rt . Data saya dihapus. Padahal butuh banget buat melahirkan waktu itu.</t>
  </si>
  <si>
    <t>Aplikasi yg sangat jelek sekali, sudah mengisi semua data dengan benar pas mau buat akun malah tertulis connetion error padahal semua jaringan saya bagus Tolong pemerintah diperbaiki aplikasi nya seperti ini kasian warga kurang mampu dibohongi. Simbol aja ada aplikasi tapi cacat 👎👎👎</t>
  </si>
  <si>
    <t>Aplikasi yang sangat BURUKKKKK,.. dan ini aplikasi bukan tujuan untuk memudahkan usulan bantuan..tpi,. Buat ngeprank . Dikarnakan pas setuju untuk menambahkan yg terjadi koneksi erorrr. Cukkk!!!!</t>
  </si>
  <si>
    <t>baru buat akun cek bansos ko gak bisa login pak mohon bantuannya ya pak</t>
  </si>
  <si>
    <t>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t>
  </si>
  <si>
    <t>Kirain saya aja yg ga bisa login. Padahal sudah dapat email terverifikasi, dan lanjut login. Eh ternyta ga bisa2 login. Hahh apalah daya. Jadi ini aplikasi buat PHP aja atau gimana ya keseriusannya? Level kementerian pusat masa aplikasinya begini. Tolong lah. Anggarannya dipake sedikit buat bikin aplikasi berbobot</t>
  </si>
  <si>
    <t>Ini gimana kok gk bisa buat akun baru, keterangan conection reset gitu mulu berulang2. Terus sudah d isi data berubah2 sendiri. Jdi kesel saya. Padahal semua data bener, jaringan bagus. Laaahhhh</t>
  </si>
  <si>
    <t>Parah sii , udh masukan username sama kata sandi tapi ga bisa, udh dpt email bwt ganti kata sandi, tp link nya tdak terjangkau. Apakah rekrut IT nya yg pada goblog semua apa emng ga becus .</t>
  </si>
  <si>
    <t>Tolong pemerintahan kenapa ini aplikasi selalu gagal koneksi padahal menggunakan WiFi ,tolong lah jgn bikin kami susah dengan aplikasi ini. Sdh verifikasi nya lama, setelah di verifikasi pas login gagal koneksi terus ,sdh 5 hari gagal koneksi terus dan di coba setiap menit,jam, sampai tengah malam pun tetap ga bisa login .tolong di perbaiki aplikasi cek bansos ini. Banyak masyarakat saat ini menggunakan aplikasi ini mengeluh lantaran tidak bisa log in. Terima kasih .</t>
  </si>
  <si>
    <t>Mau reset password ga bisa ,karena link yg d kirim k email bukan link buat reset password</t>
  </si>
  <si>
    <t>aplikasi tida bisa gunakan ga bisa login</t>
  </si>
  <si>
    <t>Kenapa tidak bisa daftar? Katanya bisa dafta sendiri, tapi lewat aplikasi juga tidak jauh lebih mudah. Lain kali mohon kalo buat aplikasi yang bertujuan memudahkan, jangan yang suka eror ya. Lantas bagaimana bisa daftar kalau aplikasi yang seharusnya mempermudah malah bikin ribet.</t>
  </si>
  <si>
    <t>loding terus setiap hari di coba loding terus aplikasinya</t>
  </si>
  <si>
    <t>Tidak bisa login Tolonglah mohon diperbaiki</t>
  </si>
  <si>
    <t>Aplikasi gak jelas udah daftarnya ribet giliran jadi gak terdaftar gimana sih</t>
  </si>
  <si>
    <t>Eror trus..padahal data sdh terisi..katanya resmi dr pemerintah kok ga perhatian nya dgn sistemnya..tolong di perbaiki dong</t>
  </si>
  <si>
    <t>Aplikasinya tidak stabil selalu eror</t>
  </si>
  <si>
    <t>Sedikit kecewa saat ingin daftar akun baru selalu error Json parse</t>
  </si>
  <si>
    <t>Aplikasi eror ... Tolong diperbaiki supaya saya bisa usul sanggah 🙏🙏</t>
  </si>
  <si>
    <t>Error koq setiap hari &amp; setiap waktu</t>
  </si>
  <si>
    <t>Banyak aplikasi pemerintah tapi login ga bisa. Auka aneh</t>
  </si>
  <si>
    <t>Gak bisa daftr akun error terus parah nih aplikasih Tolong diperbaikin kenapa</t>
  </si>
  <si>
    <t>Setelah didonlod masa gak bisa dibuka masih diperbaiki</t>
  </si>
  <si>
    <t>Aplikasi tidak berguna setiap mau masuk error truss</t>
  </si>
  <si>
    <t>Udah terdaftar suruh logging ulang trs tulisannya ga terdaftar???</t>
  </si>
  <si>
    <t>Aplikasi strees kalo gabisa gini kalo yg coding org awam. Kasian rakyat di kerjain.</t>
  </si>
  <si>
    <t>Apa benar apk ini dari dinas sosial.."kok bisa mau mengajukan eror Mulu bisa di perbaiki gak apk ini biar bisa bantu masyarakat yg lagi kesusahan.."biar gak ada keluhan...</t>
  </si>
  <si>
    <t>Di update malahan gak bjsa login, haduhhh....</t>
  </si>
  <si>
    <t>Ko pas buat akun tulisan nya error json parse,,gitu terus padahl isi data buat akun nya udah komplit</t>
  </si>
  <si>
    <t>Terimakasih, karna aplikasi cek bansos ini membuat OTKS cukupp terbantu.</t>
  </si>
  <si>
    <t>Untuk publik rakyat Indonesia jangan setengah-setengah dong kalau bikin aplikasi!!!</t>
  </si>
  <si>
    <t>Berkali" coba buat akun tpi selalu ngga bisa, ku kira masalah jaringan, tapi setelah melihat rating ulasan nya ternyata memang applikasi nya yg tidak berguna, pdahal ini cara yg mudah buat dapat bantuan, Karna klo nunggu bantuan dari desa boro", smpe lebaran monyet Mun ngga nyampe</t>
  </si>
  <si>
    <t>Aplikasi error Json parse , developer tidak kompeten, sangat parah untuk apk pemerintahan</t>
  </si>
  <si>
    <t>Udah masukin username sama pasword tp gk bisa login..</t>
  </si>
  <si>
    <t>Error' yach ??? Saat baru buat akun baru malah selalu tulisannya, "connection error". Padahal signal hp bagus bagus melambung tinggi setinggi BBM. Developer tolong perbaiki. Sementara saya kasih 1 bintang azah. Btw JANGAN SAMPAI DATA PRIBADI TERSEBAR GEGARA APLIKASINYA ERROR.</t>
  </si>
  <si>
    <t>Aplikasi gk bisa masuk gk jalan". Masuk atau tdk bisa infoin kl gk minat bantu gk usah buat gini kl keamanannya masih bisa d bobol dan tdk ada niat memperbaikinya. Mala sibuk menyalakan aneh.</t>
  </si>
  <si>
    <t>Aplikasi erorr,tolong segera di perbaiki. Login selalu gagal dan muncul terus notifikasi "Erorr Json Parse" / "Koneksi GAGAL" di layar aplikasi !!! Dari update terakhir bulan Maret koq sama sekali tidak ada perbaikan???!!!! Malah makin parah aja ni aplikasi!!!</t>
  </si>
  <si>
    <t>Tidak bisa login, ereor terus</t>
  </si>
  <si>
    <t>Sudah nunggu email aktivasinya lama sekali dapat untuk login aja gabisa-bisa, muncul tulisan koneksi tidak bagus. Aneh banget.. Kenapa dengan aplikasi sekelas pemerintah bgini. Tolong cepat diperbaiki</t>
  </si>
  <si>
    <t>Kenapa saya mau pengusulan mandiri selalu terjadi eror. Mohon untuk memperbaiki nya segera</t>
  </si>
  <si>
    <t>Gak bisa cek data...saat aktif gps</t>
  </si>
  <si>
    <t>Jangan download, aplikasi error semua gak bisa dipakai.</t>
  </si>
  <si>
    <t>Aplikasi apaan ini, benar benar ga ngebantu kata ga ada koneksi pakai wifi coba pakai data loginnya lama kali ga bisa bisa. Padahal saya sudah dapat email sukses aktivasi tapi malah ga bisa login muter² mulu</t>
  </si>
  <si>
    <t>kecewa tidak bisa reg dan login. padahal butuh untuk daftar bansos karena petugas desa todak pernah menyampaikan info apa pun perihal bansos dan lain nya. saat ditanya selali jawab gkk tau</t>
  </si>
  <si>
    <t>Siap dftr, tp gak bosa log in di aplikasi ini, selalu eror dan eror....,</t>
  </si>
  <si>
    <t>Niat ngasih bantuan gak usah pake aplikasi.. Banyak orang tua yang awam akan teknologi, dengan cara spt ini yg kaya pun bisa mengakses. Otomatis tidak akan merata.. Tydak ramah dan mempersulit, auto bintang satu.</t>
  </si>
  <si>
    <t>Udah daftar terus udh bisa tp tetp ga bisa di buka</t>
  </si>
  <si>
    <t>Sama seperti keluhan" yg lain kenapa ya aplikasi eror mohon pihak pengembang segera diperbaiki terimakasih</t>
  </si>
  <si>
    <t>Sangat mengecewakan aplikasinya, giliran mau login gak bisa bisa masuk, muter terus apk nya, kalau tidak niat membantu masyarakat, jangan dibuat aplikasi seperti ini dong. kan tujuannya untuk membantu dampak BBM dan lain lain kan.</t>
  </si>
  <si>
    <t>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t>
  </si>
  <si>
    <t>Daftar akun error saat klik provinsi, tampil pop up bla bla bla gak jelas..... Diulang berkali kali tetap. Kalau bikin aplikasi cek dulu kelayakannya saat diterbitkan. Biar tidak menyusahkan.</t>
  </si>
  <si>
    <t>aplikasi susah dibukanya gagal terus .perbaharui biar gampang</t>
  </si>
  <si>
    <t>Mau daftarin ibu saya susah kali ada masalah gangguan terus sekiranya kalo ada bug tolong segera diperbaiki kami butuh banget . Inikan aplikasi dari pemerintah yang download juga banyak kenapa nggak diperbaiki apa kualitasnya seperti ini. Saya ingin pembagiannua yg merata kenapa selalu tidak tepat sasaran</t>
  </si>
  <si>
    <t>Niat ga sihhhhh.... Mau log in ja setengah mati sendiri susahnya..... Eerror mulu jawabannya</t>
  </si>
  <si>
    <t>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t>
  </si>
  <si>
    <t>Engga berguna lupa user sandi akun jadi abu. Mau daftar pake kk ktp beda.masih saja tetap eror🤣🤣🤣🤣</t>
  </si>
  <si>
    <t>Aplikasi nya eror tidak bisa di login</t>
  </si>
  <si>
    <t>Secara ga sadar ternyata Data kita sangat penting Untuk Pemilu 2024. Sehingga ada pihak yg di Untungkan dari data kita. Apalagi data sudah masuk tapi Aplikasi ERROR/ lost Koneksi. Memang kita itu gampang sekali di Bodoh2i oleh Apk semacam ini.</t>
  </si>
  <si>
    <t>Aplikasinya error min tolong diperbaiki 😊🙏</t>
  </si>
  <si>
    <t>Saya lupa username dan kata sandi...bagaimana cara nya masuk kembali..mohon bantuan nya... Daftar baru di tolak karena sudah terdaftar</t>
  </si>
  <si>
    <t>Aplikasi paling dungooo..apk blm sempurna masuk play store</t>
  </si>
  <si>
    <t>sangat membantu dan bermanfaat utk Rakyat INDONESIA👍👍👍</t>
  </si>
  <si>
    <t>Aplikasi ngga bisa dibuka.. Berjam-jam, Berhari-hari di coba tetep aja gak bisa login. Muncul notif "Periksa Koneksi" Terus padahal kuota masih banyak dan jaringan stabil.. Mirisss</t>
  </si>
  <si>
    <t>tolong lah developer , mau daftar aja susah... boro-boro mau masuk lalu cek bansos!</t>
  </si>
  <si>
    <t>Sudah perifikasi ga bisa login aplikasi yg bagus🤣🤣🤣🤣😭😭😭😭😭😭</t>
  </si>
  <si>
    <t>Aplikasi eror,, mau daftar juga susah....</t>
  </si>
  <si>
    <t>Sebenernya ngasuh bintang satupun gak mau, karna kualitas aplikasinya buruk. Sudah daftar tidak kunjung muncul email verifikasi. Gimana mau cek, mau daftar saja aplikasinya sudah tidak berfungsi dengan baik.</t>
  </si>
  <si>
    <t>begitu banyak apk yg kita download di hp, g seribet apk ini.. mana punya pemerintah lagi... saya sudah daftar, sudah isi data berkali2,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t>
  </si>
  <si>
    <t>Apa bnpt bisa di hapus dengan aplikasi ini karna sebenarnya saya tdk mendapatkan bantuan tp klo di cek bansos nya ada tiap bln dan ingin hapus tanpa hra ngurus ke desa krn males</t>
  </si>
  <si>
    <t>Saya kasih bintang 5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t>
  </si>
  <si>
    <t>Kenapa saat mendaftar usulan bansos malah tidak bisa ada keterangan error silah kan hubungi admin...</t>
  </si>
  <si>
    <t>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t>
  </si>
  <si>
    <t>Sya kasi bintang 2. Karna saya baru tau dan baru daftar. Dan setelah saya mau daftar. Data saya semua suda lengkap besrta foto. Tiba" klik daftar akun yang muncul tulisan erorjason parse. Kenapa bisa begitu. Apkah saya tidak bisa mendaftarkan diri</t>
  </si>
  <si>
    <t>Sudah terdaftar tapi susah masuk😏</t>
  </si>
  <si>
    <t>Gak guna sayang2in budget aja bikin aplikasi seperti ini. Mimin nya aja ga ada tanggapan. Diawal kan sudah mengajukan via apk ini. Seharusnya ada deadline data pengajuan yg diproses. Terus notif di email berhak dapat atau tidak. Kan udah isi email</t>
  </si>
  <si>
    <t>Aplikasi error. Hubungi admin. Tolong dibantu</t>
  </si>
  <si>
    <t>kenapa keterangan saya sudah terdaftar tapi ga bisa login</t>
  </si>
  <si>
    <t>Sudah daftar tapi tidak ada lanjutan. Padahal mengisi nya sesuai data dgn benar. Pas dibuka username dan sandi tidak di temukan/ belum dilakukan antivasi.mohon solusi nya, klu begini tidak membantu justru mempersulit org yg tidak mampu</t>
  </si>
  <si>
    <t>Gak bisa daftar , apk error terus</t>
  </si>
  <si>
    <t>Tidak bisa koneksi ke jaringan</t>
  </si>
  <si>
    <t>Tolng di perbaiki aplikasinya admin.mau +usulan eror terus aplikasinya</t>
  </si>
  <si>
    <t>Mending di apus saja lbh bagus,gak ada guna sama sekali eror dan eror trs,apl cm buat formalitas</t>
  </si>
  <si>
    <t>Awas Aplikasi Berbahaya soal nya harus memasukan ktp segala dan selfi ktp juga hati hati aja kita jangan terkecoh sama apk yg harus memasukan data pribadi seperti foto ktp</t>
  </si>
  <si>
    <t>Aplikasi pemerintah katanya tapi ga bisa di akses. Ga guna</t>
  </si>
  <si>
    <t>Mau bikin akun aja susahnha ampun ampun... lari kesini mo liat ulasan.. gak ad yg bagus ulasannya emang..duh parah sihhhhhhhhh</t>
  </si>
  <si>
    <t>Data semua lenglap tapi ga bisa dibuka</t>
  </si>
  <si>
    <t>Error json... Mau usul tetangga ne bukan untuk ku... Yang bisa daftar ada kh ne aplikasi belum oke...</t>
  </si>
  <si>
    <t>Intinya kalian jangan berharap lebih pada aplikasi ini,,,,yang belum download mending gk usah download... Aplikasi parah,,abal" servernya,,, dikit" eror lah ini lah, kalau ada bintang 0 , aq kasih 0 POKOKNYA PARAH BANGET. OTW UNINSTAL !!!!!!!</t>
  </si>
  <si>
    <t>Error tolong di perbaiki</t>
  </si>
  <si>
    <t>Bos knpa aplikasi bisa error</t>
  </si>
  <si>
    <t>Ko pas login sllu kluar belum diaktivasi. Bantuan ny dong</t>
  </si>
  <si>
    <t>kenapa saat daftar akun tidak bisa ya,, loding terus</t>
  </si>
  <si>
    <t>ga bisa login, aplikasi sdg eror</t>
  </si>
  <si>
    <t>Mau daftar buat login tapi gak bisa eror terussssss</t>
  </si>
  <si>
    <t>Eror.. aktivasi lama Sampek sekarang belum juga aktif..</t>
  </si>
  <si>
    <t>Aplikasinya di buka error teruss</t>
  </si>
  <si>
    <t>Padahal uda di install tapi tetap gak bisa masuk</t>
  </si>
  <si>
    <t>Saat daftar selalu error</t>
  </si>
  <si>
    <t>Aplikasi nya kok bisa eror ya Mau login tapi eror</t>
  </si>
  <si>
    <t>Aplikasi bagus cuman tida bisa masuk elor terus</t>
  </si>
  <si>
    <t>Kenapa saya ngak bisa daftar aplikasi orror kecewa banget</t>
  </si>
  <si>
    <t>Aplikasi nggak guna...udah semua di isi pendaftaran nya...katanya eror nggak jelas</t>
  </si>
  <si>
    <t>Susah daftar akun baru gagal terus mohon diperbaiki</t>
  </si>
  <si>
    <t>engga bisa digunakan sama sekali. eror terus</t>
  </si>
  <si>
    <t>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t>
  </si>
  <si>
    <t>Kk aplikasi y eror y kk...ngk bisa daftar dan ngk bisa masuk...mohon solusi ny kk</t>
  </si>
  <si>
    <t>bagus tapi seing error utk nambah usulan penerima bantuan tidak bisa</t>
  </si>
  <si>
    <t>Kuwota mepet.ga pernah dpt bantuan.pengen daftar,setelah dowdlod notif maaf ada perbaikan sistem😃</t>
  </si>
  <si>
    <t>Aplikasi nya error tak bisa dibuka kenapa ya.</t>
  </si>
  <si>
    <t>Baru mau daftar langsung error knp ya mohon bantuan nya</t>
  </si>
  <si>
    <t>Sangat membantu,,,,, admin tolong kasih petunjuk keluarga saya ada yang kepencet bukan keluarga bgai mana untuk kemblikan nya lagi terimksh,,,</t>
  </si>
  <si>
    <t>Aplikasi kurang bermutu.. kebanyakan eror..hapus jaa deh gk bermanfaat</t>
  </si>
  <si>
    <t>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t>
  </si>
  <si>
    <t>minta bantuan nya gabisa login terus</t>
  </si>
  <si>
    <t>Tidak bisa daftar di aplikasinya</t>
  </si>
  <si>
    <t>Sudah diaktifasi ,tapi login kagak bisa,.</t>
  </si>
  <si>
    <t>Tolong di pebaiki buat login gk bisa pdahal pendaftaran udah di proses</t>
  </si>
  <si>
    <t>Tidak bisa daftar aplikasi error</t>
  </si>
  <si>
    <t>Sudah berkali-kali daftar dan GAGAL selalu ada tulisan "apk error hubungi admin" boleh tau adminya yg mana biar saya hubungi terimakasih</t>
  </si>
  <si>
    <t>Nggak bisa daftar. Error terus, harus hubungi admin. ADMINNNN MANA ADMIIINNN 🤪</t>
  </si>
  <si>
    <t>ga jelas ga bisa daftar eror mulu</t>
  </si>
  <si>
    <t>Pliss lah aku mau daftar aja susah Tolong perbaikilah</t>
  </si>
  <si>
    <t>Ga bisa login gagal .kurang bagus</t>
  </si>
  <si>
    <t>kenapa di buat daftar gagal terus</t>
  </si>
  <si>
    <t>Kasih dua dulu kenapa uda daftar malah tertera aplikasih eror semoga di perbaiki lagi biar mudah buat masahrakat yang belom dapet bansos bbm terimah kasih</t>
  </si>
  <si>
    <t>Aplikasi kurang baik tolong di perbaiki</t>
  </si>
  <si>
    <t>Ga bisa daftar error semoga maju</t>
  </si>
  <si>
    <t>Pendaftaran akun baru error terus</t>
  </si>
  <si>
    <t>App babi padahal udah berhasil di daftarkan....Ehh setelah mau login...user name/password tidak terdaftar....gak ngotak babi app gini wajib di kenakan sangsi pidana karna bisa di sebut pencurian data dan ipormasi pribadi orang....bisa² sala guna.!!!</t>
  </si>
  <si>
    <t>Kenapa aflikasih GK berpungsi, padahal saya ingin mendaftar selama ini saya belum pernah dapet, kenapa yg dapat orang" yg berada terus, apa emang seperti itu peraturan y????</t>
  </si>
  <si>
    <t>Kagak guna apk nya gagal terus setiap daftar</t>
  </si>
  <si>
    <t>aplikasi bohong saat masuk gk bs trs pdhl username udah bnr udah di Verikasi di imel,gk jelas</t>
  </si>
  <si>
    <t>Tidak bisa login. Error aplikasi</t>
  </si>
  <si>
    <t>Ga bisa login.. Dan ganti pasword., linknya ga bisa dibuka</t>
  </si>
  <si>
    <t>Aplikasi hoak kaya aplikasi game penghasil receh ga bisa dibuka Un install aja deh😋😋😋</t>
  </si>
  <si>
    <t>tidak bisa log in/daftar..</t>
  </si>
  <si>
    <t>Kenapa apk nya eror ya ketika saya mau daftar ?atau login?</t>
  </si>
  <si>
    <t>kenapa gak bisa tambah usulan error terus</t>
  </si>
  <si>
    <t>Pengelolaan manajemen aplikasinya buruk untuk sekelas aplikasi nasional</t>
  </si>
  <si>
    <t>Kenapa saya tidak bisa login selalu error'</t>
  </si>
  <si>
    <t>Sangat amat buruk daftar aja ga bisa bisa</t>
  </si>
  <si>
    <t>Capek capek poto isi data ss stelah siap jaringan eror aplikasi gk serius ni🤦‍♂️</t>
  </si>
  <si>
    <t>Aplikasi ga jelas mau usulan mandiri error terus</t>
  </si>
  <si>
    <t>Apk apa ini sudah daftar tapi gak bisa log in</t>
  </si>
  <si>
    <t>Aplikasi bikin darah tinggi...selalu gagal dan gagal...jgn php deh</t>
  </si>
  <si>
    <t>Mau cek susah ga bisa login login</t>
  </si>
  <si>
    <t>Gak bisa daftar udah dicoba tiap hari gak bisa daftar buat akun</t>
  </si>
  <si>
    <t>Akun udh berhasil di buat ga bisa buat login</t>
  </si>
  <si>
    <t>Cuma mau bilang pembagian BANSOS ini tidak pernah adil dan ternyata aplikasinya juga asal bikin.....error mulu.</t>
  </si>
  <si>
    <t>Aplikasi cuman buat formalitas ajakah?, Yg penting buat gembar gembor, tp tidak diurus🤦, Miris</t>
  </si>
  <si>
    <t>Giliran data udah lengkap login gak bisa</t>
  </si>
  <si>
    <t>Error terus, gak bsa2 Knapa ya?</t>
  </si>
  <si>
    <t>Masih mau coba..mudah mudah berhasil</t>
  </si>
  <si>
    <t>Erorrr gk bisa masuk.... Tolong donk segera di perbaiki</t>
  </si>
  <si>
    <t>Ga bisa masuk dan ga bisa konfirmasi Ah cape mending klu dapet ini ga dapet kayanya</t>
  </si>
  <si>
    <t>Salah satu bukti bahwa aplikasi daftar mandiri hanya formalitas dan hanya buang2 anggaran</t>
  </si>
  <si>
    <t>Apk nya error gak bisa login</t>
  </si>
  <si>
    <t>Gabisa log in, sever gak dipelihara keknya dananya kena korupsi wkwk</t>
  </si>
  <si>
    <t>Kok dia bilang eror si dak bisa di masuki,dak kayak dulu alfikasiny eror total Maaf saya kasih bintang satu 🙏saya sangat kecwe dngan alfikasi ini tolng d perbaiki lagi alfikasi ny, terimakasih</t>
  </si>
  <si>
    <t>Aplikasi nya selalu eror Jon porse., Gman solusinya ni?</t>
  </si>
  <si>
    <t>Aneh ga bisa log in terus</t>
  </si>
  <si>
    <t>Kecewa aplikasinya gk pernah bisa dibuka</t>
  </si>
  <si>
    <t>Kementerian Sosial punya anggaran kah buat perbaikin nih aplikasi atau server nya? Anggaran triliunan buat perbaikin aplikasi aja ga bisa parah</t>
  </si>
  <si>
    <t>Aplikasi gaje, makan gaji buta. Anggaran gede tapi aplikasi gak guna</t>
  </si>
  <si>
    <t>aplikasinya jelek eror, data identitas sudah saya masukin tlg hapus data saya, jangan sampai disalah gunakan data saya, saya gak tanggung jawab kalau ada apa"!!!</t>
  </si>
  <si>
    <t>🙏kenapa ya apk tida berjalan lancar eror truss kalaw ga loading 😔😔</t>
  </si>
  <si>
    <t>Aplikasi nya eror terus gk bisa buat akun</t>
  </si>
  <si>
    <t>Gak bisa buat akun..setiap sampe d foto KTP gak bisa...kita kan juga iri samping kanan kiri dpt segala macam bantuan keluarga gak sendiri...</t>
  </si>
  <si>
    <t>GK jelas ini aplikasi udh daftar tapi GK bisa login. Gmna sih.............</t>
  </si>
  <si>
    <t>Jelek Skali,dn amat sngt,aplikasi slalu ja d ulang 2 trs</t>
  </si>
  <si>
    <t>mau daftar usul sanggah terjadi error aplikasi</t>
  </si>
  <si>
    <t>Mau daftar aja eror belum lagi kalau login.</t>
  </si>
  <si>
    <t>Ok bisa , tapi ada yg salah . Salah satu keluarga tidak masuk keluarga , gara2 keluarga perempuan semua .</t>
  </si>
  <si>
    <t>Apk TDK jelasssss udah benar pswd tapi tetep gagal ngirim link kagak bisa d jangkau apaan sih</t>
  </si>
  <si>
    <t>Kenapa sihhh setiap kali daftar selalu ga bisa</t>
  </si>
  <si>
    <t>Kalau login lewt email bisa tapi kalau lewat aplikasi ini ga bisa</t>
  </si>
  <si>
    <t>Sangat jelek sudah sesaui prosedur gagal terus</t>
  </si>
  <si>
    <t>Susah masuk , sangat mengecewakan 😑😑😑😑😑😑😑😑</t>
  </si>
  <si>
    <t>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t>
  </si>
  <si>
    <t>mau daftar knp koneksi aplikasi erorr terus hrus tanya admin</t>
  </si>
  <si>
    <t>Akun saya kena pencet batalkan menerima bantuan, apakah saya masih bisa memperbaikinya? Soalnya di akun saya tanggapannya tidak layak mendapatkan manfaat.</t>
  </si>
  <si>
    <t>Kenapa saat login tidak bisa</t>
  </si>
  <si>
    <t>Aplikasi guplak. Ngga ngertiin masyarakat kecil. Eror" mulu. Udah ndaftar tpi tinggal login gagal" terus.</t>
  </si>
  <si>
    <t>Mempermudah untuk mendaftar dan mengetahui</t>
  </si>
  <si>
    <t>Gak bisa daftar,,selalu eror!!</t>
  </si>
  <si>
    <t>Aplikasi apaan kya gini udah berkali2 saya download pas mau daftar eror mlulu, aplk gak brmutu</t>
  </si>
  <si>
    <t>Kenpa ko mau tambuh usulan selalu gagal cuma muncul aplikasi error' hubungi admin</t>
  </si>
  <si>
    <t>Tidak bisa login di aplikasi</t>
  </si>
  <si>
    <t>Aplikasi gak jelas. Udha susah susah register. Gak bisa login.. Wkwkwkw Selamat Anda kena prank. Admin nya Youtuber kali yak !!!</t>
  </si>
  <si>
    <t>Terimakasih alikasinih lumayan bisa melindungi menurut saya salam hormat</t>
  </si>
  <si>
    <t>Selalu nya error. Aplikasi tak berguna</t>
  </si>
  <si>
    <t>Semoga saya dapat bantuan karna saya belum pernah dapat bantuan ap-ap sedangkan yang lebih mampu dapat bantuan</t>
  </si>
  <si>
    <t>Berkali kali dwonload aplikasi dan buat Acun tpi TDK pernah ke buka</t>
  </si>
  <si>
    <t>Susah sekali daftarnya eror aplikasi terus.sebenarnya harus bagaimana menggunakannya</t>
  </si>
  <si>
    <t>Bangke udah selsai kan data tapi GK bisa masuk login bgsat</t>
  </si>
  <si>
    <t>aplikaai gk guna udah daftar tapi di suruh daftar lg hadeh ne aplikasi bxk kurup nya</t>
  </si>
  <si>
    <t>Aplikasinya Sedang dalam perbaikan.</t>
  </si>
  <si>
    <t>Saya selalu gagal buat usulan untuk PKH alasannya aplikasi eror silahkan hubungi admin.. minta solusinya kak..</t>
  </si>
  <si>
    <t>Taiii udh daftar tp gk bisa login..yg dpat bantuan orng kaya semua sma saudara RT...keadilan macam apa ini bangsattt</t>
  </si>
  <si>
    <t>Aplikasinya tidak dapat digunakan error</t>
  </si>
  <si>
    <t>Kecewa sih sama aplikasi nya setiap mengisi usulan malah eror terus</t>
  </si>
  <si>
    <t>Ga guna ... Kirain bisa membantu but dftarin orngtua.. tau ny.. hadeuhhh mending ga usah bikin aplikasi kaya gini lah.. klo ga bisa membantu . Dftar usulan eror mulu.. suruh hubungi admin .. admin yg mna??? Gda keterangn admin</t>
  </si>
  <si>
    <t>Semoga di hapus dari playstore titik udah gitu aja</t>
  </si>
  <si>
    <t>Saya baru buka aplikasi cek bansos aja udah eror,bagaimana cara nya ya</t>
  </si>
  <si>
    <t>Aplikasi error saat buat tambahan usulan..</t>
  </si>
  <si>
    <t>Kenapa mau login error terus ya Min?</t>
  </si>
  <si>
    <t>Sangat membantu kami dan melayani sepenuh hati</t>
  </si>
  <si>
    <t>Semoga ini sesuai dgan minat saya untuk mengecek yg asli saja</t>
  </si>
  <si>
    <t>Gak bs masuk,pdhl bikin akun berhasil,aneh,,percuma d download jg</t>
  </si>
  <si>
    <t>Tidak bisa log in pdhl udah aktivasi br x x</t>
  </si>
  <si>
    <t>Kenapa sekarang ,masalah timbul. terjadi eror aplikasi hubungi admin</t>
  </si>
  <si>
    <t>susah amat mo buat akun seharusnya dipermudah dong</t>
  </si>
  <si>
    <t>Tidak bisa dibuka Error terus</t>
  </si>
  <si>
    <t>Error trus percuma di download</t>
  </si>
  <si>
    <t>Kenapa apk nya udh didaftarkan malah gk bisa masukk,,payahhh</t>
  </si>
  <si>
    <t>Sudah dua hari saya coba tapi slalu error'.!</t>
  </si>
  <si>
    <t>Ga bisa bikin akun baru,,,, error terus aplikasinya</t>
  </si>
  <si>
    <t>Sya baru download mau daftar kok loading terus ada tulisan error Json parse mulu</t>
  </si>
  <si>
    <t>Selalu error stiap mo login</t>
  </si>
  <si>
    <t>Ternyata semua kecewa ya sama aplikasi ini , susah masuk nya</t>
  </si>
  <si>
    <t>Udah berapakali saya coba error terus mendaftar akun</t>
  </si>
  <si>
    <t>Ga bisa ngajuin eror mulu perbaiki donk</t>
  </si>
  <si>
    <t>aplikasi error terus,, aplikasi sekelas milik pemerintah kok amburadul gak beres, apakah hanya untuk ngeprank rakyat</t>
  </si>
  <si>
    <t>Eror trs mau buka link yg dikirim ke email buat password baru</t>
  </si>
  <si>
    <t>Apk nya Error terus,kenapa tuh?!</t>
  </si>
  <si>
    <t>Aplikasi sulit masuk utk login</t>
  </si>
  <si>
    <t>Tidak bisa login, sedangkan saya gak pernah dapat bantuan apapun</t>
  </si>
  <si>
    <t>Baru upload data aplikasi berhenti trus</t>
  </si>
  <si>
    <t>Saya sudah daftar tapi pas mau masuk eror terus</t>
  </si>
  <si>
    <t>Ko saya ga bisa daftar ya terjadi error terus</t>
  </si>
  <si>
    <t>Aplikasi palsu penyadab data lengkap ini mah . Bahaya.</t>
  </si>
  <si>
    <t>Aplikasi eror terus ketika registrasi</t>
  </si>
  <si>
    <t>belom pernah daftar udah ada yg make aja🤦🤦🤦🤦</t>
  </si>
  <si>
    <t>Tidak bisa masuk, aplikasi eror</t>
  </si>
  <si>
    <t>Ko daftar gk bisa-bisa loding melulu kalau da jelas gak bisa bilang bos....jangan gasi arap kerna orang susah kaya kami ini memang butuh bos....</t>
  </si>
  <si>
    <t>Saya sudah lebih dari 3 bulan belum dpt email aktivasi.....hadehhhhhhhhhhh</t>
  </si>
  <si>
    <t>Kerja woi di bayar pemerintah gak memperbaiki bugnya bug dftr ngisi provinsi error</t>
  </si>
  <si>
    <t>Kecewa sma apk ny baru download baru pertama kali daftar akun, gk bisa² json eror trus, capek ngulang² ngisi formulir ny, apk erornya eror trus</t>
  </si>
  <si>
    <t>Aplikasi error, ngak bisa daftar</t>
  </si>
  <si>
    <t>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t>
  </si>
  <si>
    <t>Aplikasi tidal bermutu, 3hari gagal terus</t>
  </si>
  <si>
    <t>Error saat pendaftaran. Developer tolong direspon secepatnya. Buat kemensos, kalo bisa yang ngurus aplikasi digital kaya gini jangan hanya sekedar sarjana, tapi pilih yang benar2 mampu bekerja. Banyak yang asal sarjana tapi ga mampu mengelola tugasnya, seperti apalikasi ini. Banyak juga yang ga sekola tapi skill mumpuni. Terima kasih</t>
  </si>
  <si>
    <t>Daftar tgl 6 September, tgl 22 baru di ACC akun pendaftaran nya dan diterima, eh pas mau login kesalahan koneksi, wkwkwk Ini bagaimana aplikasi tidak berfungsi sebagai mana mestinya, tolong dunk ITnya atau Programmer nya diperbaharui.</t>
  </si>
  <si>
    <t>ga bisa registrasi tolong diperbaiki</t>
  </si>
  <si>
    <t>Ikut teman,,,apk ga bermanfaat banget,,cuma mau ngumpuli data🐃</t>
  </si>
  <si>
    <t>Semua pasti butuh bantuan tapi kalau yang namanya sistem pasti tidak jelas arah tujuannya, kembali untuk yang manual jelas2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t>
  </si>
  <si>
    <t>Aplikasi rusak benerin bug aja ga bisa, masa iya aplikasi kek begini bisa dilolosin sama developer sekelas pemerintahan pake otak lah kalo mau begoin rakyat, berkali kali daftar tetep aja eror. Mungkin emang udah settingan biar pada ga bisa daftar supaya bisa dikorupsiin.</t>
  </si>
  <si>
    <t>Data sudah diisi semua, tapi pas klik buat akun baru selalu muncul tulisan connection reset. Maksudnya apa ya? Koq sesulit ini mau daftar aja. Please perbaiki bug yg mengganggu. Aplikasi seharusnya memudahkan bukan menyulitkan.</t>
  </si>
  <si>
    <t>Aplikasi macam apa ini?! Bukannya memudahkan masyarakan malah mempersulit masyarakat. Pas mau daftar malah muncul tulisan connection error padahal koneksi lancar jaya. APLIKASI JELEK MENYUSAHKAN RAKYAT</t>
  </si>
  <si>
    <t>Aplikasi yg katanya buat mempermudah masyarakat emang gada yg bener.. sengaja kali ya ngeprank rakyatnya.</t>
  </si>
  <si>
    <t>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t>
  </si>
  <si>
    <t>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t>
  </si>
  <si>
    <t>Aplikasi ini tidak bisa digunakan/setiap kali mau masuk yg muncul di layar cuma username dan password tidak di kenal/belum di aktivasi, sampai berkali-kali Sy coba &amp; menunggu kapan di aktivasi Bolak-balik cek email tp belum ada balasan dari aplikasi ini.</t>
  </si>
  <si>
    <t>Aplikasi eror mulu mau daftar gak bisa terus</t>
  </si>
  <si>
    <t>Kok apk nya eror sihh.. baru juga mau daftar</t>
  </si>
  <si>
    <t>Saya sudah beberapa kali coba daftar tapi error terus, sengaja di persulit nih!!</t>
  </si>
  <si>
    <t>Kenapa tiap mau tambah usulan eror terus tolong perbaiki aplikasinya</t>
  </si>
  <si>
    <t>Apknya error terus sudah diisi dengan bener</t>
  </si>
  <si>
    <t>aplikasi gak jelas login malah error</t>
  </si>
  <si>
    <t>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t>
  </si>
  <si>
    <t>Udah dapat email verifikasi tapi setelah mencoba login email/sandi belum terverifikasi Bikin naik darah gula aja</t>
  </si>
  <si>
    <t>Aplikasi apa ini data diri uda lenggkap mala eror terus sama sekali nggak guna</t>
  </si>
  <si>
    <t>Kok habis daftar gak bisa dibuka.</t>
  </si>
  <si>
    <t>Ini niat nggak sih bikin aplikasi. Kalo nggak niat mending hapus aja dari playstore nggak usah ada aplikasinya daripada bikin pusing orang lain. Udah berhasil daftar, tapi pas login malah nggak bisa kan konyol</t>
  </si>
  <si>
    <t>ketika buat akun eror terusssssss, gk pernah bisa trsambung</t>
  </si>
  <si>
    <t>Kecewa kenapa saya mau daftar tidak bisa selalu saja Eror sudah mengulangi mengulangi masih saja Eror gak bisa mendaftar</t>
  </si>
  <si>
    <t>Bagi pemeritah kalau bikin aplikasi kyk gini ya dirawat dong gk membantu sama sekali mlh dibikin pusing</t>
  </si>
  <si>
    <t>Ngk jelas dan ngk ada manfaatnya hanya ingin jual aplikasi saja</t>
  </si>
  <si>
    <t>Mantap..sangat membantu masyarakat banyak, terutama temanku si Lukman yang ada di Kabupaten tanah tidung</t>
  </si>
  <si>
    <t>Aplikasinya payah,,,sering error.</t>
  </si>
  <si>
    <t>Niat bantu masyarakat atau mau niat korupsi ini. Aplikasi sering eror, data sudah berulang kali di masukkan,tetap aja dibilang salah alamat. Dan kalo data sudah sesuai malah tetap aja gak bisa malah disuru cek koneksi.padahal jaringan 4G lancar.</t>
  </si>
  <si>
    <t>penanganan yang sangat lambat...kinerja juga sangat lambat...gx ada balasan verivikasi email...cuma suruh nunggu aja.... nyoba2 login ulang gx bisa...juga krn belum diverivikasi...gx ada target waktu proses verivikasi berapa lama...jdi nggantung gitu datanya</t>
  </si>
  <si>
    <t>Aplikasi eror terus, tidak bisa di gunakan</t>
  </si>
  <si>
    <t>Saya sudah mengajukan usulan namun sampai sekarang blom ada balasan /tanggapanya sudah hampir 4bulan lamanya??</t>
  </si>
  <si>
    <t>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t>
  </si>
  <si>
    <t>Udah di verifikasi aja tetep gx bisa login, gajelas ini aplikasi</t>
  </si>
  <si>
    <t>Ga bisa masuk dan daftar gmna sih tolong di benerin dulu</t>
  </si>
  <si>
    <t>Sudah buat akun gak bisa masuk keterangan blm aktif padahal sudah dapat email</t>
  </si>
  <si>
    <t>Dari pertama daftar sampai sekarang sudah dapat email aktivasi masih saja di persulit. Mau login -tidak terdapat koneksi- padahal sinyal bagus dan kuota pun masih banyak. Tapi kenapa keterangan nya sperti ini.. ini kenapa, tolong segera di perbaiki!!!</t>
  </si>
  <si>
    <t>Sangat kecewa sangat sulit di bula dam tidak pernah bisa masuk</t>
  </si>
  <si>
    <t>Kenapa aku kok gak bisa login ya padahal sudah daftar</t>
  </si>
  <si>
    <t>Kenapa untuk login ko jd sulit</t>
  </si>
  <si>
    <t>Pemeliharaan sistem terus. Apakah ahli2 IT dari kemebterian ini kerja gaji buta atau bagaimana?</t>
  </si>
  <si>
    <t>Tolong penjelasan nya Yth bapa ibu pengelola apk ini ,, kan apk ini tujuan nya untuk membantu masyarakat agar tidak ada bantuan yang salah sasaran dan agar yang merasa pantas dapat bantuan bisa daftarkan diri mereka ,, tapi apk ini masih kurang efisien Saat masukan data semua valid, tapi saat mau log in belum terdaftar terus ,,Tolong lebih di tingkatkan lagi performanya agar bisa benar"membantu masyarakat, karena di daerah saya masih banyak bantuan yang salah sasaran terimakasih 🙏🙏</t>
  </si>
  <si>
    <t>Mendaftar akun baru saja sudah error',,suruh hubungi admin,</t>
  </si>
  <si>
    <t>Tidak bisa di gunakan sama sekali</t>
  </si>
  <si>
    <t>Bru mau login kok aplikasi eror terus,,knpa yh?</t>
  </si>
  <si>
    <t>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t>
  </si>
  <si>
    <t>G bisa terdaftar soalnya terjadi eror aplikasi trus..mhon bantuannya...</t>
  </si>
  <si>
    <t>Saat daftar sudah sesuai ktp.. saat klik buat akun baru keterangannya " gagal melakukan registrasi pendaftaran, wilayah tidak sesuai " aneh.. padahal ud sesuai ktp, koq bisa wilayah tidak sesuai. Auto uninstall aj</t>
  </si>
  <si>
    <t>Ga bisa daftar. Alamat udah sesuai. Bingung kurang di bagian mana lagi. Text box yang muncul masih kode javascript. Developer aplikasi dibayar Ndak sih? Atau uang habis dikorupsi jadi Ndak bisa buat mantenence aplikasi?</t>
  </si>
  <si>
    <t>Kenapa tidak bsa daftar .. status eror ?</t>
  </si>
  <si>
    <t>Udah coba ber kalut tetap gak bisa login.. hmmmm...</t>
  </si>
  <si>
    <t>Sangat buruk,banyak masyarakat miskin tidak tau aplikasi dan tidak memiliki hp.tolong jangan dipersulit</t>
  </si>
  <si>
    <t>tender aplikasi ratusan juta tapi kualitas gratisan, aplikasi eror tidak ada pemeliharaan.</t>
  </si>
  <si>
    <t>Aplikasi gak ada guna nya udah d download gak ke pake/gak bisa d pake</t>
  </si>
  <si>
    <t>Aplikasinya bodoh, lupa pasword mlah g bisa</t>
  </si>
  <si>
    <t>Apk masih belum ada jaminan bahwa usulan akan di proses...muncul (BELUM CEK) terus</t>
  </si>
  <si>
    <t>Gak ada aplikasi lain yang sejelek ini. Loding terus, eror terus.....</t>
  </si>
  <si>
    <t>Apaan ini udah daftar tapi gax bisa login..</t>
  </si>
  <si>
    <t>Tidak bisa membuat akun karena server eror terus,</t>
  </si>
  <si>
    <t>Kenapa Ketika Saya Klik Lupa Sandi, Dan Sudah Memasukan No Hp, email, dan user Name Tapi Blum mndptkan Kata sandi yg baru,?? Pdhal keterangannya Sandi Tlah di kirimkan Ke email Tapi Ketika buka Email Yg Ada bukan Kata Sandi melainkan Alamat Website</t>
  </si>
  <si>
    <t>Tolong untuk pihak playstor untuk menghapus app yang tidak berguna ini Terima kasih</t>
  </si>
  <si>
    <t>Saya udah usul sanggah dari 2 bulan kmren tapi ko blom di cek cek ya,butuh waktu berpa lama biar data kita cepet diproses?</t>
  </si>
  <si>
    <t>Ada apa nih???? sy sdh berkali-kali mendaftar tapi tidak pernah bisa login</t>
  </si>
  <si>
    <t>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t>
  </si>
  <si>
    <t>Tidak bisa di buka setelah email masuk</t>
  </si>
  <si>
    <t>Pengajuan kok lama sekali prosesnya ? Emang tidak dipantau ya aplikasi nya ?</t>
  </si>
  <si>
    <t>Aplikasi dari kemensos kenapa ke gini? Error mulu</t>
  </si>
  <si>
    <t>Jaman SDH canggih tapi TDK d ikuti dgn kecanggihan sistem nya tolong d update dan d upgrade untuk afk ini ...rakyat Indonesia jgn s3lalu d buat binggung</t>
  </si>
  <si>
    <t>Aplikadsi gak jelasn. Daftar eror.. Ada niat gak sih buat aplikasi</t>
  </si>
  <si>
    <t>Sudah masuk dalam tahap usulan , dan tinggal tunggu pengecekan oleh pihak terkait ... Tapi sudah hampir 1 bulan belum ada pengecekan oleh pihak terkait. Waktu terus berjalan akan tetapi daftar usulan hanya sebagai mimpi karena terabaikan oleh kesibukan yang tak berbentuk .</t>
  </si>
  <si>
    <t>Aplikasi asal2an.... Tidak bisa daftar.</t>
  </si>
  <si>
    <t>Sudah mendaftar tapi gak bisa login ini gimana sih</t>
  </si>
  <si>
    <t>Aplikasi gk berguna Gak bisa d pakai Percuma bikin aplikasi Kementrian buat aplikasi kok setengah2</t>
  </si>
  <si>
    <t>buat regis aja susah sering keluar sendiri setelah masukan foto</t>
  </si>
  <si>
    <t>Mau daftar ajah susahnya minta ampun apa lagi buat login</t>
  </si>
  <si>
    <t>Setia daftar error json parse...apa itu? Solusinya apa, bagaimana biar bisa masuk.</t>
  </si>
  <si>
    <t>Kenapa saya tidak bisa daftar diri saya sebagai penerima bantuan ' saya udah coba berkali kali selalu eror tlong bantu saya</t>
  </si>
  <si>
    <t>masih suka error smoga kedepannya lebih baik</t>
  </si>
  <si>
    <t>Aplikasi error,gak fungsi</t>
  </si>
  <si>
    <t>Mau daftar aku lemott ... Baru pilih provinsi malah error loding lama</t>
  </si>
  <si>
    <t>Aplikasi bloon kaga bisa dibuka dari kapan tau</t>
  </si>
  <si>
    <t>Error Json Parse terus... Tolong diperbaiki!</t>
  </si>
  <si>
    <t>Aplikasi tidak jelas.akun tidak bisa dibuat. Kecewa downloadnya.</t>
  </si>
  <si>
    <t>Tolong perbaiki aplikasi ini saya tidak bisa mendapatkan.karna aplikasi eror...</t>
  </si>
  <si>
    <t>Nih aplikasi apa ??? Tim it negara kemana ??? Kaya gini masyarakat sangat susah tuk memenuhi persyaratan online tapi aplikasi nya kaya gini....hadeuh indonesia oh indonesia</t>
  </si>
  <si>
    <t>Gagal terus untuk mendaftar akun baru, apakah sudah di setting ya? Wkwk</t>
  </si>
  <si>
    <t>Bisa login, cuman tulisannya Anda tidak terdaftar sebagai peserta PM. Padahal dulu pernah DAN TIDAK PERNAH MENGUNDURKAN DIRI</t>
  </si>
  <si>
    <t>Tidak bisa terdaftar tolong di perbarui Supaya bisa membantu ke hidupkan masyarakat yg sangat membutuhkan</t>
  </si>
  <si>
    <t>Malah nyusahin,apk gak bisa dibuka tuh...aplikasi sampah php doang</t>
  </si>
  <si>
    <t>Udah di update ga bisa di buka</t>
  </si>
  <si>
    <t>Banyak keluhan tentang aplikasinya tapi gak ada yang di respon</t>
  </si>
  <si>
    <t>Susah daftar, error terus.</t>
  </si>
  <si>
    <t>aplikasinya err terus ga bisa di buka</t>
  </si>
  <si>
    <t>Buruk benar, mau daftar tidak bisa, eror terus</t>
  </si>
  <si>
    <t>Apk ini sangat mengecewakan, respon sangat lambat</t>
  </si>
  <si>
    <t>Aplikasi modus sepertinya, tidak pernah berhasil mendaftar d aplikasi</t>
  </si>
  <si>
    <t>Aplikasi buruk, kalau belum siap gak usah bikin aplikasi. Segera di perbaiki aplikasi nya, jangan diem aja. Kalian di bayar pakai uang rakyat.</t>
  </si>
  <si>
    <t>Susah bgt klo mau masuk ke apk nya... Gagal terus.. Kasi bgs dlu perlancar permudah jd di kasi 5 bintang ntr.</t>
  </si>
  <si>
    <t>saya kok ga terdaftar bantuan saya juga kalangan menengah kebawah ga efektif</t>
  </si>
  <si>
    <t>Tetap sabar, kalau rezeki tidak kemana. Kasi bintang 5 biar senang aplikasinya</t>
  </si>
  <si>
    <t>Aplikasi apa ini.. katnya buat rakyat... Hadeh tapi aplikasi malah gak bisa di pake...</t>
  </si>
  <si>
    <t>Minimal perbaiki lah apk nya</t>
  </si>
  <si>
    <t>Klu tiap bukak aplikasi selalu louding trus.gk bs ngecek.</t>
  </si>
  <si>
    <t>Dari semenjak download smpe sekarang gak bisa di buka. App jelek amat padahal mau cek bansos,.</t>
  </si>
  <si>
    <t>sangat buruk susah buat masuk percuma di Adain aplikasi,mkanya q ksih bintang 5 biar bangga.pdhl jelek sekali</t>
  </si>
  <si>
    <t>apk y eror mulu gak stabil...</t>
  </si>
  <si>
    <t>Gk bisa login, apakah sengaja biar gk bisa daftar</t>
  </si>
  <si>
    <t>Setidaknya uang yang buat pengembangan aplikasi jangan lah di korupsi ,mikir lah dikit klo punya otak</t>
  </si>
  <si>
    <t>Programmer siapa ini ? Sekelas pemerintah, masih bisa kesalahan syntax. Error JSON parse.</t>
  </si>
  <si>
    <t>Aplikasi apaan mau daftar eror trus apalagi sudah daftar</t>
  </si>
  <si>
    <t>Udh daftar ga bisa login aplikasi taii emang</t>
  </si>
  <si>
    <t>SMA sekali tidak bisa daftar ,., Eror mulu</t>
  </si>
  <si>
    <t>Sekelas pemerintahan buat aplikasi jelek banget ga bisa dipakai error. Kacaauu</t>
  </si>
  <si>
    <t>Tidak bisa regestrasi.. error truss</t>
  </si>
  <si>
    <t>Aplikasi gaada guna terus aja erorr gaada apa kata2 lain, gimna mau masuk klo bginj teruss bngke</t>
  </si>
  <si>
    <t>Aplikasi produk gagal lemot sama kayak Mensos nya</t>
  </si>
  <si>
    <t>Tiap mau buat akun selalu error</t>
  </si>
  <si>
    <t>Kenapa tidak bisa login dan daftar ya</t>
  </si>
  <si>
    <t>Sudah di verivikasi akun saya tp ko susah untuk melengkapi data nya</t>
  </si>
  <si>
    <t>HOAX. Login pun tak bisa. Siapa IT programer nya yg bikin ini aplikasi?</t>
  </si>
  <si>
    <t>Aplikasi buruk saat mengisi bagian provinsi eror terus</t>
  </si>
  <si>
    <t>tidak bisa daftar dengan keterangan error json parse</t>
  </si>
  <si>
    <t>Aplikasi buruk, error terus tidak bisa mengajukan usulan.</t>
  </si>
  <si>
    <t>Saya tidak bisa daftar,masalah isi provinsi dan foto ,tolong perbaiki</t>
  </si>
  <si>
    <t>Tolong di perbaiki lagi aplikasinya supaya tidak erorr dalam pembuatan akun,terimakasih</t>
  </si>
  <si>
    <t>g bisa daftar trs udah di coba berapa x jg, apa udah di tutup utk pendaftaran'y?</t>
  </si>
  <si>
    <t>Saat daftat Eror terus dan aplikasi nya tidak keluar di pintasan hp</t>
  </si>
  <si>
    <t>Aplikasi apaan ini tidak bisa di gunakan tidak bisa membantu sama sekali</t>
  </si>
  <si>
    <t>heran sama pemerintah ini buat aplikasi aja kayak gini ,,,bisa di buka enggak,,,gajih gede tapi cuma buat aplikasi begini aja gk bisa,,,niat bantu rakyat gk kalian wahai pemerintah.</t>
  </si>
  <si>
    <t>Admin tolong diperbaiki kenapa kalo mau menambah usulan eror terus</t>
  </si>
  <si>
    <t>Apikasi nya eror terus tolong di pebaiki Agar kmi yg bisa cek ada ny dana untuk kmi yg mbutuhkan</t>
  </si>
  <si>
    <t>Tolong dong, ini aplikasinya sedang error</t>
  </si>
  <si>
    <t>Error mulu setiap mau login... 👎</t>
  </si>
  <si>
    <t>Dana pemerintah triliunan rupiah tapi membuat aplikasi macam begini supaya bisa berjalan dengan lancar aja tidak becus??? Sungguh memalukan.</t>
  </si>
  <si>
    <t>Pattern</t>
  </si>
  <si>
    <t>\@([A-Za-z]+)</t>
  </si>
  <si>
    <t>\#([A-Za-z0-9]+)</t>
  </si>
  <si>
    <t>http\S+</t>
  </si>
  <si>
    <t>[0-9]+</t>
  </si>
  <si>
    <t>[-()\"#/@;:&lt;&gt;{}'+=~|.!?,_]</t>
  </si>
  <si>
    <t>[🏻🏼🏽🏾🏿©®‼⁉™ℹ↔-↙↩-↪⌚-⌛⌨⏏⏩-⏳⏸-⏺Ⓜ▪-▫▶◀◻-◾☀-☄☎☑☔-☕☘☝☠☢-☣☦☪☮-☯☸-☺♀♂♈-♓♟-♠♣♥-♦♨♻♾-♿⚒-⚗⚙⚛-⚜⚠-⚡⚧⚪-⚫⚰-⚱⚽-⚾⛄-⛅⛈⛎-⛏⛑⛓-⛔⛩-⛪⛰-⛵⛷-⛺⛽✂✅✈-✍✏✒✔✖✝✡✨✳-✴❄❇❌❎❓-❕❗❣-❤➕-➗➡➰➿⤴-⤵⬅-⬇⬛-⬜⭐⭕〰〽㊗㊙🀄🃏🅰-🅱🅾-🅿🆎🆑-🆚🈁-🈂🈚🈯🈲-🈺🉐-🉑🌀-🌡🌤-🎓🎖-🎗🎙-🎛🎞-🏰🏳-🏵🏷-🏺🐀-📽📿-🔽🕉-🕎🕐-🕧🕯-🕰🕳-🕺🖇🖊-🖍🖐🖕-🖖🖤-🖥🖨🖱-🖲🖼🗂-🗄🗑-🗓🗜-🗞🗡🗣🗨🗯🗳🗺-🙏🚀-🛅🛋-🛒🛕-🛗🛝-🛥🛩🛫-🛬🛰🛳-🛼🟠-🟫🟰🤌-🤺🤼-🥅🥇-🧿🩰-🩴🩸-🩼🪀-🪆🪐-🪬🪰-🪺🫀-🫅🫐-🫙🫠-🫧🫰-🫶🇦-🇿#️⃣*️⃣0️⃣1️⃣2️⃣3️⃣4️⃣5️⃣6️⃣7️⃣8️⃣9️⃣]</t>
  </si>
  <si>
    <t>cleaning(1)</t>
  </si>
  <si>
    <t>cleaning(2)</t>
  </si>
  <si>
    <t>cleaning(3)</t>
  </si>
  <si>
    <t>cleaning(4)</t>
  </si>
  <si>
    <t>cleaning(5)</t>
  </si>
  <si>
    <t>cleaning(6)</t>
  </si>
  <si>
    <t>cleaning(7)</t>
  </si>
  <si>
    <t>ada</t>
  </si>
  <si>
    <t>adalah</t>
  </si>
  <si>
    <t>adanya</t>
  </si>
  <si>
    <t>adapun</t>
  </si>
  <si>
    <t>agak</t>
  </si>
  <si>
    <t>agaknya</t>
  </si>
  <si>
    <t>agar</t>
  </si>
  <si>
    <t>akan</t>
  </si>
  <si>
    <t>akankah</t>
  </si>
  <si>
    <t>akhir</t>
  </si>
  <si>
    <t>akhiri</t>
  </si>
  <si>
    <t>akhirnya</t>
  </si>
  <si>
    <t>aku</t>
  </si>
  <si>
    <t>akulah</t>
  </si>
  <si>
    <t>amat</t>
  </si>
  <si>
    <t>amatlah</t>
  </si>
  <si>
    <t>anda</t>
  </si>
  <si>
    <t>andalah</t>
  </si>
  <si>
    <t>antar</t>
  </si>
  <si>
    <t>antara</t>
  </si>
  <si>
    <t>antaranya</t>
  </si>
  <si>
    <t>apa</t>
  </si>
  <si>
    <t>apaan</t>
  </si>
  <si>
    <t>apabila</t>
  </si>
  <si>
    <t>apakah</t>
  </si>
  <si>
    <t>apalagi</t>
  </si>
  <si>
    <t>apatah</t>
  </si>
  <si>
    <t>artinya</t>
  </si>
  <si>
    <t>asal</t>
  </si>
  <si>
    <t>asalkan</t>
  </si>
  <si>
    <t>atas</t>
  </si>
  <si>
    <t>atau</t>
  </si>
  <si>
    <t>ataukah</t>
  </si>
  <si>
    <t>ataupun</t>
  </si>
  <si>
    <t>awal</t>
  </si>
  <si>
    <t>awalnya</t>
  </si>
  <si>
    <t>bagai</t>
  </si>
  <si>
    <t>bagaikan</t>
  </si>
  <si>
    <t>bagaimana</t>
  </si>
  <si>
    <t>bagaimanakah</t>
  </si>
  <si>
    <t>bagaimanapun</t>
  </si>
  <si>
    <t>bagi</t>
  </si>
  <si>
    <t>bagian</t>
  </si>
  <si>
    <t>bahkan</t>
  </si>
  <si>
    <t>bahwa</t>
  </si>
  <si>
    <t>bahwasanya</t>
  </si>
  <si>
    <t>baik</t>
  </si>
  <si>
    <t>bakal</t>
  </si>
  <si>
    <t>bakalan</t>
  </si>
  <si>
    <t>balik</t>
  </si>
  <si>
    <t>banyak</t>
  </si>
  <si>
    <t>bapak</t>
  </si>
  <si>
    <t>baru</t>
  </si>
  <si>
    <t>bawah</t>
  </si>
  <si>
    <t>beberapa</t>
  </si>
  <si>
    <t>begini</t>
  </si>
  <si>
    <t>beginian</t>
  </si>
  <si>
    <t>beginikah</t>
  </si>
  <si>
    <t>beginilah</t>
  </si>
  <si>
    <t>begitu</t>
  </si>
  <si>
    <t>begitukah</t>
  </si>
  <si>
    <t>begitulah</t>
  </si>
  <si>
    <t>begitupun</t>
  </si>
  <si>
    <t>bekerja</t>
  </si>
  <si>
    <t>belakang</t>
  </si>
  <si>
    <t>belakangan</t>
  </si>
  <si>
    <t>belum</t>
  </si>
  <si>
    <t>belumlah</t>
  </si>
  <si>
    <t>benar</t>
  </si>
  <si>
    <t>benarkah</t>
  </si>
  <si>
    <t>benarlah</t>
  </si>
  <si>
    <t>berada</t>
  </si>
  <si>
    <t>berakhir</t>
  </si>
  <si>
    <t>berakhirlah</t>
  </si>
  <si>
    <t>berakhirnya</t>
  </si>
  <si>
    <t>berapa</t>
  </si>
  <si>
    <t>berapakah</t>
  </si>
  <si>
    <t>berapalah</t>
  </si>
  <si>
    <t>berapapun</t>
  </si>
  <si>
    <t>berarti</t>
  </si>
  <si>
    <t>berawal</t>
  </si>
  <si>
    <t>berbagai</t>
  </si>
  <si>
    <t>berdatangan</t>
  </si>
  <si>
    <t>beri</t>
  </si>
  <si>
    <t>berikan</t>
  </si>
  <si>
    <t>berikut</t>
  </si>
  <si>
    <t>berikutnya</t>
  </si>
  <si>
    <t>berjumlah</t>
  </si>
  <si>
    <t>berkali-kali</t>
  </si>
  <si>
    <t>berkata</t>
  </si>
  <si>
    <t>berkehendak</t>
  </si>
  <si>
    <t>berkeinginan</t>
  </si>
  <si>
    <t>berkenaan</t>
  </si>
  <si>
    <t>berlainan</t>
  </si>
  <si>
    <t>berlalu</t>
  </si>
  <si>
    <t>berlangsung</t>
  </si>
  <si>
    <t>berlebihan</t>
  </si>
  <si>
    <t>bermacam</t>
  </si>
  <si>
    <t>bermacam-macam</t>
  </si>
  <si>
    <t>bermaksud</t>
  </si>
  <si>
    <t>bermula</t>
  </si>
  <si>
    <t>bersama</t>
  </si>
  <si>
    <t>bersama-sama</t>
  </si>
  <si>
    <t>bersiap</t>
  </si>
  <si>
    <t>bersiap-siap</t>
  </si>
  <si>
    <t>bertanya</t>
  </si>
  <si>
    <t>bertanya-tanya</t>
  </si>
  <si>
    <t>berturut</t>
  </si>
  <si>
    <t>berturut-turut</t>
  </si>
  <si>
    <t>bertutur</t>
  </si>
  <si>
    <t>berujar</t>
  </si>
  <si>
    <t>berupa</t>
  </si>
  <si>
    <t>besar</t>
  </si>
  <si>
    <t>betul</t>
  </si>
  <si>
    <t>betulkah</t>
  </si>
  <si>
    <t>biasa</t>
  </si>
  <si>
    <t>biasanya</t>
  </si>
  <si>
    <t>bila</t>
  </si>
  <si>
    <t>bilakah</t>
  </si>
  <si>
    <t>bisa</t>
  </si>
  <si>
    <t>bisakah</t>
  </si>
  <si>
    <t>boleh</t>
  </si>
  <si>
    <t>bolehkah</t>
  </si>
  <si>
    <t>bolehlah</t>
  </si>
  <si>
    <t>buat</t>
  </si>
  <si>
    <t>bukan</t>
  </si>
  <si>
    <t>bukankah</t>
  </si>
  <si>
    <t>bukanlah</t>
  </si>
  <si>
    <t>bukannya</t>
  </si>
  <si>
    <t>bulan</t>
  </si>
  <si>
    <t>bung</t>
  </si>
  <si>
    <t>cara</t>
  </si>
  <si>
    <t>caranya</t>
  </si>
  <si>
    <t>cukup</t>
  </si>
  <si>
    <t>cukupkah</t>
  </si>
  <si>
    <t>cukuplah</t>
  </si>
  <si>
    <t>cuma</t>
  </si>
  <si>
    <t>dahulu</t>
  </si>
  <si>
    <t>dalam</t>
  </si>
  <si>
    <t>dan</t>
  </si>
  <si>
    <t>dapat</t>
  </si>
  <si>
    <t>dari</t>
  </si>
  <si>
    <t>daripada</t>
  </si>
  <si>
    <t>datang</t>
  </si>
  <si>
    <t>dekat</t>
  </si>
  <si>
    <t>demi</t>
  </si>
  <si>
    <t>demikian</t>
  </si>
  <si>
    <t>demikianlah</t>
  </si>
  <si>
    <t>dengan</t>
  </si>
  <si>
    <t>depan</t>
  </si>
  <si>
    <t>di</t>
  </si>
  <si>
    <t>dia</t>
  </si>
  <si>
    <t>diakhiri</t>
  </si>
  <si>
    <t>diakhirinya</t>
  </si>
  <si>
    <t>dialah</t>
  </si>
  <si>
    <t>diantara</t>
  </si>
  <si>
    <t>diantaranya</t>
  </si>
  <si>
    <t>diberi</t>
  </si>
  <si>
    <t>diberikan</t>
  </si>
  <si>
    <t>diberikannya</t>
  </si>
  <si>
    <t>dibuat</t>
  </si>
  <si>
    <t>dibuatnya</t>
  </si>
  <si>
    <t>didapat</t>
  </si>
  <si>
    <t>didatangkan</t>
  </si>
  <si>
    <t>digunakan</t>
  </si>
  <si>
    <t>diibaratkan</t>
  </si>
  <si>
    <t>diibaratkannya</t>
  </si>
  <si>
    <t>diingat</t>
  </si>
  <si>
    <t>diingatkan</t>
  </si>
  <si>
    <t>diinginkan</t>
  </si>
  <si>
    <t>dijawab</t>
  </si>
  <si>
    <t>dijelaskan</t>
  </si>
  <si>
    <t>dijelaskannya</t>
  </si>
  <si>
    <t>dikarenakan</t>
  </si>
  <si>
    <t>dikatakan</t>
  </si>
  <si>
    <t>dikatakannya</t>
  </si>
  <si>
    <t>dikerjakan</t>
  </si>
  <si>
    <t>diketahui</t>
  </si>
  <si>
    <t>diketahuinya</t>
  </si>
  <si>
    <t>dikira</t>
  </si>
  <si>
    <t>dilakukan</t>
  </si>
  <si>
    <t>dilalui</t>
  </si>
  <si>
    <t>dilihat</t>
  </si>
  <si>
    <t>dimaksud</t>
  </si>
  <si>
    <t>dimaksudkan</t>
  </si>
  <si>
    <t>dimaksudkannya</t>
  </si>
  <si>
    <t>dimaksudnya</t>
  </si>
  <si>
    <t>diminta</t>
  </si>
  <si>
    <t>dimintai</t>
  </si>
  <si>
    <t>dimisalkan</t>
  </si>
  <si>
    <t>dimulai</t>
  </si>
  <si>
    <t>dimulailah</t>
  </si>
  <si>
    <t>dimulainya</t>
  </si>
  <si>
    <t>dimungkinkan</t>
  </si>
  <si>
    <t>dini</t>
  </si>
  <si>
    <t>dipastikan</t>
  </si>
  <si>
    <t>diperbuat</t>
  </si>
  <si>
    <t>diperbuatnya</t>
  </si>
  <si>
    <t>dipergunakan</t>
  </si>
  <si>
    <t>diperkirakan</t>
  </si>
  <si>
    <t>diperlihatkan</t>
  </si>
  <si>
    <t>diperlukan</t>
  </si>
  <si>
    <t>diperlukannya</t>
  </si>
  <si>
    <t>dipersoalkan</t>
  </si>
  <si>
    <t>dipertanyakan</t>
  </si>
  <si>
    <t>dipunyai</t>
  </si>
  <si>
    <t>diri</t>
  </si>
  <si>
    <t>dirinya</t>
  </si>
  <si>
    <t>disampaikan</t>
  </si>
  <si>
    <t>disebut</t>
  </si>
  <si>
    <t>disebutkan</t>
  </si>
  <si>
    <t>disebutkannya</t>
  </si>
  <si>
    <t>disini</t>
  </si>
  <si>
    <t>disinilah</t>
  </si>
  <si>
    <t>ditambahkan</t>
  </si>
  <si>
    <t>ditandaskan</t>
  </si>
  <si>
    <t>ditanya</t>
  </si>
  <si>
    <t>ditanyai</t>
  </si>
  <si>
    <t>ditanyakan</t>
  </si>
  <si>
    <t>ditegaskan</t>
  </si>
  <si>
    <t>ditujukan</t>
  </si>
  <si>
    <t>ditunjuk</t>
  </si>
  <si>
    <t>ditunjuki</t>
  </si>
  <si>
    <t>ditunjukkan</t>
  </si>
  <si>
    <t>ditunjukkannya</t>
  </si>
  <si>
    <t>ditunjuknya</t>
  </si>
  <si>
    <t>dituturkan</t>
  </si>
  <si>
    <t>dituturkannya</t>
  </si>
  <si>
    <t>diucapkan</t>
  </si>
  <si>
    <t>diucapkannya</t>
  </si>
  <si>
    <t>diungkapkan</t>
  </si>
  <si>
    <t>dong</t>
  </si>
  <si>
    <t>dua</t>
  </si>
  <si>
    <t>dulu</t>
  </si>
  <si>
    <t>empat</t>
  </si>
  <si>
    <t>enggak</t>
  </si>
  <si>
    <t>enggaknya</t>
  </si>
  <si>
    <t>entah</t>
  </si>
  <si>
    <t>entahlah</t>
  </si>
  <si>
    <t>guna</t>
  </si>
  <si>
    <t>gunakan</t>
  </si>
  <si>
    <t>hal</t>
  </si>
  <si>
    <t>hampir</t>
  </si>
  <si>
    <t>hanya</t>
  </si>
  <si>
    <t>hanyalah</t>
  </si>
  <si>
    <t>hari</t>
  </si>
  <si>
    <t>harus</t>
  </si>
  <si>
    <t>haruslah</t>
  </si>
  <si>
    <t>harusnya</t>
  </si>
  <si>
    <t>hendak</t>
  </si>
  <si>
    <t>hendaklah</t>
  </si>
  <si>
    <t>hendaknya</t>
  </si>
  <si>
    <t>hingga</t>
  </si>
  <si>
    <t>ia</t>
  </si>
  <si>
    <t>ialah</t>
  </si>
  <si>
    <t>ibarat</t>
  </si>
  <si>
    <t>ibaratkan</t>
  </si>
  <si>
    <t>ibaratnya</t>
  </si>
  <si>
    <t>ibu</t>
  </si>
  <si>
    <t>ikut</t>
  </si>
  <si>
    <t>ingat</t>
  </si>
  <si>
    <t>ingat-ingat</t>
  </si>
  <si>
    <t>ingin</t>
  </si>
  <si>
    <t>inginkah</t>
  </si>
  <si>
    <t>inginkan</t>
  </si>
  <si>
    <t>ini</t>
  </si>
  <si>
    <t>inikah</t>
  </si>
  <si>
    <t>inilah</t>
  </si>
  <si>
    <t>itu</t>
  </si>
  <si>
    <t>itukah</t>
  </si>
  <si>
    <t>itulah</t>
  </si>
  <si>
    <t>jadi</t>
  </si>
  <si>
    <t>jadilah</t>
  </si>
  <si>
    <t>jadinya</t>
  </si>
  <si>
    <t>jangan</t>
  </si>
  <si>
    <t>jangankan</t>
  </si>
  <si>
    <t>janganlah</t>
  </si>
  <si>
    <t>jauh</t>
  </si>
  <si>
    <t>jawab</t>
  </si>
  <si>
    <t>jawaban</t>
  </si>
  <si>
    <t>jawabnya</t>
  </si>
  <si>
    <t>jelas</t>
  </si>
  <si>
    <t>jelaskan</t>
  </si>
  <si>
    <t>jelaslah</t>
  </si>
  <si>
    <t>jelasnya</t>
  </si>
  <si>
    <t>jika</t>
  </si>
  <si>
    <t>jikalau</t>
  </si>
  <si>
    <t>juga</t>
  </si>
  <si>
    <t>jumlah</t>
  </si>
  <si>
    <t>jumlahnya</t>
  </si>
  <si>
    <t>justru</t>
  </si>
  <si>
    <t>kala</t>
  </si>
  <si>
    <t>kalau</t>
  </si>
  <si>
    <t>kalaulah</t>
  </si>
  <si>
    <t>kalaupun</t>
  </si>
  <si>
    <t>kalian</t>
  </si>
  <si>
    <t>kami</t>
  </si>
  <si>
    <t>kamilah</t>
  </si>
  <si>
    <t>kamu</t>
  </si>
  <si>
    <t>kamulah</t>
  </si>
  <si>
    <t>kan</t>
  </si>
  <si>
    <t>kapan</t>
  </si>
  <si>
    <t>kapankah</t>
  </si>
  <si>
    <t>kapanpun</t>
  </si>
  <si>
    <t>karena</t>
  </si>
  <si>
    <t>karenanya</t>
  </si>
  <si>
    <t>kasus</t>
  </si>
  <si>
    <t>kata</t>
  </si>
  <si>
    <t>katakan</t>
  </si>
  <si>
    <t>katakanlah</t>
  </si>
  <si>
    <t>katanya</t>
  </si>
  <si>
    <t>ke</t>
  </si>
  <si>
    <t>keadaan</t>
  </si>
  <si>
    <t>kebetulan</t>
  </si>
  <si>
    <t>kecil</t>
  </si>
  <si>
    <t>kedua</t>
  </si>
  <si>
    <t>keduanya</t>
  </si>
  <si>
    <t>keinginan</t>
  </si>
  <si>
    <t>kelamaan</t>
  </si>
  <si>
    <t>kelihatan</t>
  </si>
  <si>
    <t>kelihatannya</t>
  </si>
  <si>
    <t>kelima</t>
  </si>
  <si>
    <t>keluar</t>
  </si>
  <si>
    <t>kembali</t>
  </si>
  <si>
    <t>kemudian</t>
  </si>
  <si>
    <t>kemungkinan</t>
  </si>
  <si>
    <t>kemungkinannya</t>
  </si>
  <si>
    <t>kenapa</t>
  </si>
  <si>
    <t>kepada</t>
  </si>
  <si>
    <t>kepadanya</t>
  </si>
  <si>
    <t>kesampaian</t>
  </si>
  <si>
    <t>keseluruhan</t>
  </si>
  <si>
    <t>keseluruhannya</t>
  </si>
  <si>
    <t>keterlaluan</t>
  </si>
  <si>
    <t>ketika</t>
  </si>
  <si>
    <t>khususnya</t>
  </si>
  <si>
    <t>kini</t>
  </si>
  <si>
    <t>kinilah</t>
  </si>
  <si>
    <t>kira</t>
  </si>
  <si>
    <t>kira-kira</t>
  </si>
  <si>
    <t>kiranya</t>
  </si>
  <si>
    <t>kita</t>
  </si>
  <si>
    <t>kitalah</t>
  </si>
  <si>
    <t>kok</t>
  </si>
  <si>
    <t>kurang</t>
  </si>
  <si>
    <t>lagi</t>
  </si>
  <si>
    <t>lagian</t>
  </si>
  <si>
    <t>lah</t>
  </si>
  <si>
    <t>lain</t>
  </si>
  <si>
    <t>lainnya</t>
  </si>
  <si>
    <t>lalu</t>
  </si>
  <si>
    <t>lama</t>
  </si>
  <si>
    <t>lamanya</t>
  </si>
  <si>
    <t>lanjut</t>
  </si>
  <si>
    <t>lanjutnya</t>
  </si>
  <si>
    <t>lebih</t>
  </si>
  <si>
    <t>lewat</t>
  </si>
  <si>
    <t>lima</t>
  </si>
  <si>
    <t>luar</t>
  </si>
  <si>
    <t>macam</t>
  </si>
  <si>
    <t>maka</t>
  </si>
  <si>
    <t>makanya</t>
  </si>
  <si>
    <t>makin</t>
  </si>
  <si>
    <t>malah</t>
  </si>
  <si>
    <t>malahan</t>
  </si>
  <si>
    <t>mampu</t>
  </si>
  <si>
    <t>mampukah</t>
  </si>
  <si>
    <t>mana</t>
  </si>
  <si>
    <t>manakala</t>
  </si>
  <si>
    <t>manalagi</t>
  </si>
  <si>
    <t>masa</t>
  </si>
  <si>
    <t>masalah</t>
  </si>
  <si>
    <t>masalahnya</t>
  </si>
  <si>
    <t>masih</t>
  </si>
  <si>
    <t>masihkah</t>
  </si>
  <si>
    <t>masing</t>
  </si>
  <si>
    <t>masing-masing</t>
  </si>
  <si>
    <t>mau</t>
  </si>
  <si>
    <t>maupun</t>
  </si>
  <si>
    <t>melainkan</t>
  </si>
  <si>
    <t>melakukan</t>
  </si>
  <si>
    <t>melalui</t>
  </si>
  <si>
    <t>melihat</t>
  </si>
  <si>
    <t>melihatnya</t>
  </si>
  <si>
    <t>memang</t>
  </si>
  <si>
    <t>memastikan</t>
  </si>
  <si>
    <t>memberi</t>
  </si>
  <si>
    <t>memberikan</t>
  </si>
  <si>
    <t>membuat</t>
  </si>
  <si>
    <t>memerlukan</t>
  </si>
  <si>
    <t>memihak</t>
  </si>
  <si>
    <t>meminta</t>
  </si>
  <si>
    <t>memintakan</t>
  </si>
  <si>
    <t>memisalkan</t>
  </si>
  <si>
    <t>memperbuat</t>
  </si>
  <si>
    <t>mempergunakan</t>
  </si>
  <si>
    <t>memperkirakan</t>
  </si>
  <si>
    <t>memperlihatkan</t>
  </si>
  <si>
    <t>mempersiapkan</t>
  </si>
  <si>
    <t>mempersoalkan</t>
  </si>
  <si>
    <t>mempertanyakan</t>
  </si>
  <si>
    <t>mempunyai</t>
  </si>
  <si>
    <t>memulai</t>
  </si>
  <si>
    <t>memungkinkan</t>
  </si>
  <si>
    <t>menaiki</t>
  </si>
  <si>
    <t>menambahkan</t>
  </si>
  <si>
    <t>menandaskan</t>
  </si>
  <si>
    <t>menanti</t>
  </si>
  <si>
    <t>menanti-nanti</t>
  </si>
  <si>
    <t>menantikan</t>
  </si>
  <si>
    <t>menanya</t>
  </si>
  <si>
    <t>menanyai</t>
  </si>
  <si>
    <t>menanyakan</t>
  </si>
  <si>
    <t>mendapat</t>
  </si>
  <si>
    <t>mendapatkan</t>
  </si>
  <si>
    <t>mendatang</t>
  </si>
  <si>
    <t>mendatangi</t>
  </si>
  <si>
    <t>mendatangkan</t>
  </si>
  <si>
    <t>menegaskan</t>
  </si>
  <si>
    <t>mengakhiri</t>
  </si>
  <si>
    <t>mengapa</t>
  </si>
  <si>
    <t>mengatakan</t>
  </si>
  <si>
    <t>mengatakannya</t>
  </si>
  <si>
    <t>mengenai</t>
  </si>
  <si>
    <t>mengerjakan</t>
  </si>
  <si>
    <t>mengetahui</t>
  </si>
  <si>
    <t>menggunakan</t>
  </si>
  <si>
    <t>menghendaki</t>
  </si>
  <si>
    <t>mengibaratkan</t>
  </si>
  <si>
    <t>mengibaratkannya</t>
  </si>
  <si>
    <t>mengingat</t>
  </si>
  <si>
    <t>mengingatkan</t>
  </si>
  <si>
    <t>menginginkan</t>
  </si>
  <si>
    <t>mengira</t>
  </si>
  <si>
    <t>mengucapkan</t>
  </si>
  <si>
    <t>mengucapkannya</t>
  </si>
  <si>
    <t>mengungkapkan</t>
  </si>
  <si>
    <t>menjadi</t>
  </si>
  <si>
    <t>menjawab</t>
  </si>
  <si>
    <t>menjelaskan</t>
  </si>
  <si>
    <t>menuju</t>
  </si>
  <si>
    <t>menunjuk</t>
  </si>
  <si>
    <t>menunjuki</t>
  </si>
  <si>
    <t>menunjukkan</t>
  </si>
  <si>
    <t>menunjuknya</t>
  </si>
  <si>
    <t>menurut</t>
  </si>
  <si>
    <t>menuturkan</t>
  </si>
  <si>
    <t>menyampaikan</t>
  </si>
  <si>
    <t>menyangkut</t>
  </si>
  <si>
    <t>menyatakan</t>
  </si>
  <si>
    <t>menyebutkan</t>
  </si>
  <si>
    <t>menyeluruh</t>
  </si>
  <si>
    <t>menyiapkan</t>
  </si>
  <si>
    <t>merasa</t>
  </si>
  <si>
    <t>mereka</t>
  </si>
  <si>
    <t>merekalah</t>
  </si>
  <si>
    <t>merupakan</t>
  </si>
  <si>
    <t>meski</t>
  </si>
  <si>
    <t>meskipun</t>
  </si>
  <si>
    <t>meyakini</t>
  </si>
  <si>
    <t>meyakinkan</t>
  </si>
  <si>
    <t>minta</t>
  </si>
  <si>
    <t>mirip</t>
  </si>
  <si>
    <t>misal</t>
  </si>
  <si>
    <t>misalkan</t>
  </si>
  <si>
    <t>misalnya</t>
  </si>
  <si>
    <t>mula</t>
  </si>
  <si>
    <t>mulai</t>
  </si>
  <si>
    <t>mulailah</t>
  </si>
  <si>
    <t>mulanya</t>
  </si>
  <si>
    <t>mungkin</t>
  </si>
  <si>
    <t>mungkinkah</t>
  </si>
  <si>
    <t>nah</t>
  </si>
  <si>
    <t>naik</t>
  </si>
  <si>
    <t>namun</t>
  </si>
  <si>
    <t>nanti</t>
  </si>
  <si>
    <t>nantinya</t>
  </si>
  <si>
    <t>nyaris</t>
  </si>
  <si>
    <t>nyatanya</t>
  </si>
  <si>
    <t>oleh</t>
  </si>
  <si>
    <t>olehnya</t>
  </si>
  <si>
    <t>pada</t>
  </si>
  <si>
    <t>padahal</t>
  </si>
  <si>
    <t>padanya</t>
  </si>
  <si>
    <t>pak</t>
  </si>
  <si>
    <t>paling</t>
  </si>
  <si>
    <t>panjang</t>
  </si>
  <si>
    <t>pantas</t>
  </si>
  <si>
    <t>para</t>
  </si>
  <si>
    <t>pasti</t>
  </si>
  <si>
    <t>pastilah</t>
  </si>
  <si>
    <t>penting</t>
  </si>
  <si>
    <t>pentingnya</t>
  </si>
  <si>
    <t>per</t>
  </si>
  <si>
    <t>percuma</t>
  </si>
  <si>
    <t>perlu</t>
  </si>
  <si>
    <t>perlukah</t>
  </si>
  <si>
    <t>perlunya</t>
  </si>
  <si>
    <t>pernah</t>
  </si>
  <si>
    <t>persoalan</t>
  </si>
  <si>
    <t>pertama</t>
  </si>
  <si>
    <t>pertama-tama</t>
  </si>
  <si>
    <t>pertanyaan</t>
  </si>
  <si>
    <t>pertanyakan</t>
  </si>
  <si>
    <t>pihak</t>
  </si>
  <si>
    <t>pihaknya</t>
  </si>
  <si>
    <t>pukul</t>
  </si>
  <si>
    <t>pula</t>
  </si>
  <si>
    <t>pun</t>
  </si>
  <si>
    <t>punya</t>
  </si>
  <si>
    <t>rasa</t>
  </si>
  <si>
    <t>rasanya</t>
  </si>
  <si>
    <t>rata</t>
  </si>
  <si>
    <t>rupanya</t>
  </si>
  <si>
    <t>saat</t>
  </si>
  <si>
    <t>saatnya</t>
  </si>
  <si>
    <t>saja</t>
  </si>
  <si>
    <t>sajalah</t>
  </si>
  <si>
    <t>saling</t>
  </si>
  <si>
    <t>sama</t>
  </si>
  <si>
    <t>sama-sama</t>
  </si>
  <si>
    <t>sambil</t>
  </si>
  <si>
    <t>sampai</t>
  </si>
  <si>
    <t>sampai-sampai</t>
  </si>
  <si>
    <t>sampaikan</t>
  </si>
  <si>
    <t>sana</t>
  </si>
  <si>
    <t>sangat</t>
  </si>
  <si>
    <t>sangatlah</t>
  </si>
  <si>
    <t>satu</t>
  </si>
  <si>
    <t>saya</t>
  </si>
  <si>
    <t>sayalah</t>
  </si>
  <si>
    <t>se</t>
  </si>
  <si>
    <t>sebab</t>
  </si>
  <si>
    <t>sebabnya</t>
  </si>
  <si>
    <t>sebagai</t>
  </si>
  <si>
    <t>sebagaimana</t>
  </si>
  <si>
    <t>sebagainya</t>
  </si>
  <si>
    <t>sebagian</t>
  </si>
  <si>
    <t>sebaik</t>
  </si>
  <si>
    <t>sebaik-baiknya</t>
  </si>
  <si>
    <t>sebaiknya</t>
  </si>
  <si>
    <t>sebaliknya</t>
  </si>
  <si>
    <t>sebanyak</t>
  </si>
  <si>
    <t>sebegini</t>
  </si>
  <si>
    <t>sebegitu</t>
  </si>
  <si>
    <t>sebelum</t>
  </si>
  <si>
    <t>sebelumnya</t>
  </si>
  <si>
    <t>sebenarnya</t>
  </si>
  <si>
    <t>seberapa</t>
  </si>
  <si>
    <t>sebesar</t>
  </si>
  <si>
    <t>sebetulnya</t>
  </si>
  <si>
    <t>sebisanya</t>
  </si>
  <si>
    <t>sebuah</t>
  </si>
  <si>
    <t>sebut</t>
  </si>
  <si>
    <t>sebutlah</t>
  </si>
  <si>
    <t>sebutnya</t>
  </si>
  <si>
    <t>secara</t>
  </si>
  <si>
    <t>secukupnya</t>
  </si>
  <si>
    <t>sedang</t>
  </si>
  <si>
    <t>sedangkan</t>
  </si>
  <si>
    <t>sedemikian</t>
  </si>
  <si>
    <t>sedikit</t>
  </si>
  <si>
    <t>sedikitnya</t>
  </si>
  <si>
    <t>seenaknya</t>
  </si>
  <si>
    <t>segala</t>
  </si>
  <si>
    <t>segalanya</t>
  </si>
  <si>
    <t>segera</t>
  </si>
  <si>
    <t>seharusnya</t>
  </si>
  <si>
    <t>sehingga</t>
  </si>
  <si>
    <t>seingat</t>
  </si>
  <si>
    <t>sejak</t>
  </si>
  <si>
    <t>sejauh</t>
  </si>
  <si>
    <t>sejenak</t>
  </si>
  <si>
    <t>sejumlah</t>
  </si>
  <si>
    <t>sekadar</t>
  </si>
  <si>
    <t>sekadarnya</t>
  </si>
  <si>
    <t>sekali</t>
  </si>
  <si>
    <t>sekali-kali</t>
  </si>
  <si>
    <t>sekalian</t>
  </si>
  <si>
    <t>sekaligus</t>
  </si>
  <si>
    <t>sekalipun</t>
  </si>
  <si>
    <t>sekarang</t>
  </si>
  <si>
    <t>sekecil</t>
  </si>
  <si>
    <t>seketika</t>
  </si>
  <si>
    <t>sekiranya</t>
  </si>
  <si>
    <t>sekitar</t>
  </si>
  <si>
    <t>sekitarnya</t>
  </si>
  <si>
    <t>sekurang-kurangnya</t>
  </si>
  <si>
    <t>sekurangnya</t>
  </si>
  <si>
    <t>sela</t>
  </si>
  <si>
    <t>selain</t>
  </si>
  <si>
    <t>selaku</t>
  </si>
  <si>
    <t>selalu</t>
  </si>
  <si>
    <t>selama</t>
  </si>
  <si>
    <t>selama-lamanya</t>
  </si>
  <si>
    <t>selamanya</t>
  </si>
  <si>
    <t>selanjutnya</t>
  </si>
  <si>
    <t>seluruh</t>
  </si>
  <si>
    <t>seluruhnya</t>
  </si>
  <si>
    <t>semacam</t>
  </si>
  <si>
    <t>semakin</t>
  </si>
  <si>
    <t>semampu</t>
  </si>
  <si>
    <t>semampunya</t>
  </si>
  <si>
    <t>semasa</t>
  </si>
  <si>
    <t>semasih</t>
  </si>
  <si>
    <t>semata</t>
  </si>
  <si>
    <t>semata-mata</t>
  </si>
  <si>
    <t>semaunya</t>
  </si>
  <si>
    <t>sementara</t>
  </si>
  <si>
    <t>semisal</t>
  </si>
  <si>
    <t>semisalnya</t>
  </si>
  <si>
    <t>sempat</t>
  </si>
  <si>
    <t>semua</t>
  </si>
  <si>
    <t>semuanya</t>
  </si>
  <si>
    <t>semula</t>
  </si>
  <si>
    <t>sendiri</t>
  </si>
  <si>
    <t>sendirian</t>
  </si>
  <si>
    <t>sendirinya</t>
  </si>
  <si>
    <t>seolah</t>
  </si>
  <si>
    <t>seolah-olah</t>
  </si>
  <si>
    <t>seorang</t>
  </si>
  <si>
    <t>sepanjang</t>
  </si>
  <si>
    <t>sepantasnya</t>
  </si>
  <si>
    <t>sepantasnyalah</t>
  </si>
  <si>
    <t>seperlunya</t>
  </si>
  <si>
    <t>seperti</t>
  </si>
  <si>
    <t>sepertinya</t>
  </si>
  <si>
    <t>sepihak</t>
  </si>
  <si>
    <t>sering</t>
  </si>
  <si>
    <t>seringnya</t>
  </si>
  <si>
    <t>serta</t>
  </si>
  <si>
    <t>serupa</t>
  </si>
  <si>
    <t>sesaat</t>
  </si>
  <si>
    <t>sesama</t>
  </si>
  <si>
    <t>sesampai</t>
  </si>
  <si>
    <t>sesegera</t>
  </si>
  <si>
    <t>sesekali</t>
  </si>
  <si>
    <t>seseorang</t>
  </si>
  <si>
    <t>sesuatu</t>
  </si>
  <si>
    <t>sesuatunya</t>
  </si>
  <si>
    <t>sesudah</t>
  </si>
  <si>
    <t>sesudahnya</t>
  </si>
  <si>
    <t>setelah</t>
  </si>
  <si>
    <t>setempat</t>
  </si>
  <si>
    <t>setengah</t>
  </si>
  <si>
    <t>seterusnya</t>
  </si>
  <si>
    <t>setiap</t>
  </si>
  <si>
    <t>setiba</t>
  </si>
  <si>
    <t>setibanya</t>
  </si>
  <si>
    <t>setidak-tidaknya</t>
  </si>
  <si>
    <t>setidaknya</t>
  </si>
  <si>
    <t>setinggi</t>
  </si>
  <si>
    <t>seusai</t>
  </si>
  <si>
    <t>sewaktu</t>
  </si>
  <si>
    <t>siap</t>
  </si>
  <si>
    <t>siapa</t>
  </si>
  <si>
    <t>siapakah</t>
  </si>
  <si>
    <t>siapapun</t>
  </si>
  <si>
    <t>sini</t>
  </si>
  <si>
    <t>sinilah</t>
  </si>
  <si>
    <t>soal</t>
  </si>
  <si>
    <t>soalnya</t>
  </si>
  <si>
    <t>suatu</t>
  </si>
  <si>
    <t>sudah</t>
  </si>
  <si>
    <t>sudahkah</t>
  </si>
  <si>
    <t>sudahlah</t>
  </si>
  <si>
    <t>supaya</t>
  </si>
  <si>
    <t>tadi</t>
  </si>
  <si>
    <t>tadinya</t>
  </si>
  <si>
    <t>tahu</t>
  </si>
  <si>
    <t>tahun</t>
  </si>
  <si>
    <t>tak</t>
  </si>
  <si>
    <t>tambah</t>
  </si>
  <si>
    <t>tambahnya</t>
  </si>
  <si>
    <t>tampak</t>
  </si>
  <si>
    <t>tampaknya</t>
  </si>
  <si>
    <t>tandas</t>
  </si>
  <si>
    <t>tandasnya</t>
  </si>
  <si>
    <t>tanpa</t>
  </si>
  <si>
    <t>tanya</t>
  </si>
  <si>
    <t>tanyakan</t>
  </si>
  <si>
    <t>tanyanya</t>
  </si>
  <si>
    <t>tapi</t>
  </si>
  <si>
    <t>tegas</t>
  </si>
  <si>
    <t>tegasnya</t>
  </si>
  <si>
    <t>telah</t>
  </si>
  <si>
    <t>tempat</t>
  </si>
  <si>
    <t>tengah</t>
  </si>
  <si>
    <t>tentang</t>
  </si>
  <si>
    <t>tentu</t>
  </si>
  <si>
    <t>tentulah</t>
  </si>
  <si>
    <t>tentunya</t>
  </si>
  <si>
    <t>tepat</t>
  </si>
  <si>
    <t>terakhir</t>
  </si>
  <si>
    <t>terasa</t>
  </si>
  <si>
    <t>terbanyak</t>
  </si>
  <si>
    <t>terdahulu</t>
  </si>
  <si>
    <t>terdapat</t>
  </si>
  <si>
    <t>terdiri</t>
  </si>
  <si>
    <t>terhadap</t>
  </si>
  <si>
    <t>terhadapnya</t>
  </si>
  <si>
    <t>teringat</t>
  </si>
  <si>
    <t>teringat-ingat</t>
  </si>
  <si>
    <t>terjadi</t>
  </si>
  <si>
    <t>terjadilah</t>
  </si>
  <si>
    <t>terjadinya</t>
  </si>
  <si>
    <t>terkira</t>
  </si>
  <si>
    <t>terlalu</t>
  </si>
  <si>
    <t>terlebih</t>
  </si>
  <si>
    <t>terlihat</t>
  </si>
  <si>
    <t>termasuk</t>
  </si>
  <si>
    <t>ternyata</t>
  </si>
  <si>
    <t>tersampaikan</t>
  </si>
  <si>
    <t>tersebut</t>
  </si>
  <si>
    <t>tersebutlah</t>
  </si>
  <si>
    <t>tertentu</t>
  </si>
  <si>
    <t>tertuju</t>
  </si>
  <si>
    <t>terus</t>
  </si>
  <si>
    <t>terutama</t>
  </si>
  <si>
    <t>tetap</t>
  </si>
  <si>
    <t>tetapi</t>
  </si>
  <si>
    <t>tiap</t>
  </si>
  <si>
    <t>tiba</t>
  </si>
  <si>
    <t>tiba-tiba</t>
  </si>
  <si>
    <t>tidak</t>
  </si>
  <si>
    <t>tidakkah</t>
  </si>
  <si>
    <t>tidaklah</t>
  </si>
  <si>
    <t>tiga</t>
  </si>
  <si>
    <t>tinggi</t>
  </si>
  <si>
    <t>toh</t>
  </si>
  <si>
    <t>tunjuk</t>
  </si>
  <si>
    <t>turut</t>
  </si>
  <si>
    <t>tutur</t>
  </si>
  <si>
    <t>tuturnya</t>
  </si>
  <si>
    <t>ucap</t>
  </si>
  <si>
    <t>ucapnya</t>
  </si>
  <si>
    <t>ujar</t>
  </si>
  <si>
    <t>ujarnya</t>
  </si>
  <si>
    <t>umum</t>
  </si>
  <si>
    <t>umumnya</t>
  </si>
  <si>
    <t>ungkap</t>
  </si>
  <si>
    <t>ungkapnya</t>
  </si>
  <si>
    <t>untuk</t>
  </si>
  <si>
    <t>usah</t>
  </si>
  <si>
    <t>usai</t>
  </si>
  <si>
    <t>waduh</t>
  </si>
  <si>
    <t>wah</t>
  </si>
  <si>
    <t>wahai</t>
  </si>
  <si>
    <t>waktu</t>
  </si>
  <si>
    <t>waktunya</t>
  </si>
  <si>
    <t>walau</t>
  </si>
  <si>
    <t>walaupun</t>
  </si>
  <si>
    <t>wong</t>
  </si>
  <si>
    <t>yaitu</t>
  </si>
  <si>
    <t>yakin</t>
  </si>
  <si>
    <t>yakni</t>
  </si>
  <si>
    <t>yang</t>
  </si>
  <si>
    <t>Data</t>
  </si>
  <si>
    <t>tokenize</t>
  </si>
  <si>
    <t>Data after Tokenizing</t>
  </si>
  <si>
    <t>sekedar, mengingatkan, bagi, teman², yang, juga, menggunakan, aplikasi, cek, bansos, yang, jaringannya, error, setiap, x, masuk, coba, lagi, sekarang, saya, sudah, coba, masuk, hampir, , bulan, tetap, error, tapi, alhamdulillah, kemarin, sudah, bisa, masuk, dan, memilih, selamat, mencoba, para, pejuang, bansos</t>
  </si>
  <si>
    <t>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t>
  </si>
  <si>
    <t>aplikasi, gak, bisa, dibuka, error, teruss</t>
  </si>
  <si>
    <t>Data after stopword &amp; stemming</t>
  </si>
  <si>
    <t>teman, aplikasi, cek, bansos, jaringan, error, x, masuk, coba, coba, masuk, bulan, error, alhamdulillah, kemarin, masuk, pilih, selamat, coba, juang, bansos</t>
  </si>
  <si>
    <t>app, fungsi, baik, bagus, masuk, data, nama, lihat, dasar, provinsi, kecamatan, kelurahan, lengkap, dusun, rt, nilai, layak, unggah, foto, orang, salah, orang, kelurahan, nama</t>
  </si>
  <si>
    <t>aplikasi, buka, error,</t>
  </si>
  <si>
    <t>DATA</t>
  </si>
  <si>
    <t>TF-IDF CALCULATION</t>
  </si>
  <si>
    <t>WORD</t>
  </si>
  <si>
    <t>COUNT</t>
  </si>
  <si>
    <t>TF</t>
  </si>
  <si>
    <t>IDF</t>
  </si>
  <si>
    <t>TF * IDF</t>
  </si>
  <si>
    <t>Dokumen 1</t>
  </si>
  <si>
    <t>Dokumen 2</t>
  </si>
  <si>
    <t>Dokumen 3</t>
  </si>
  <si>
    <t>teman</t>
  </si>
  <si>
    <t>aplikasi</t>
  </si>
  <si>
    <t>cek</t>
  </si>
  <si>
    <t>bansos</t>
  </si>
  <si>
    <t>jaringan</t>
  </si>
  <si>
    <t>error</t>
  </si>
  <si>
    <t>x</t>
  </si>
  <si>
    <t>masuk</t>
  </si>
  <si>
    <t>coba</t>
  </si>
  <si>
    <t>alhamdulillah</t>
  </si>
  <si>
    <t>kemarin</t>
  </si>
  <si>
    <t>pilih</t>
  </si>
  <si>
    <t>selamat</t>
  </si>
  <si>
    <t>juang</t>
  </si>
  <si>
    <t>app</t>
  </si>
  <si>
    <t>fungsi</t>
  </si>
  <si>
    <t>bagus</t>
  </si>
  <si>
    <t>data</t>
  </si>
  <si>
    <t>nama</t>
  </si>
  <si>
    <t>lihat</t>
  </si>
  <si>
    <t>dasar</t>
  </si>
  <si>
    <t>provinsi</t>
  </si>
  <si>
    <t>kecamatan</t>
  </si>
  <si>
    <t>kelurahan</t>
  </si>
  <si>
    <t>lengkap</t>
  </si>
  <si>
    <t>dusun</t>
  </si>
  <si>
    <t>rt</t>
  </si>
  <si>
    <t>nilai</t>
  </si>
  <si>
    <t>layak</t>
  </si>
  <si>
    <t>unggah</t>
  </si>
  <si>
    <t>foto</t>
  </si>
  <si>
    <t>orang</t>
  </si>
  <si>
    <t>salah</t>
  </si>
  <si>
    <t>buka</t>
  </si>
  <si>
    <t>netral</t>
  </si>
  <si>
    <t>positif</t>
  </si>
  <si>
    <t>negatif</t>
  </si>
  <si>
    <t>bobotkosakata = bobotnetral + bobotpositif + bobotnegatif</t>
  </si>
  <si>
    <t>bobotkosakata</t>
  </si>
  <si>
    <t>c</t>
  </si>
  <si>
    <t>Term</t>
  </si>
  <si>
    <t>Sentiment</t>
  </si>
  <si>
    <t>Netral</t>
  </si>
  <si>
    <t>P(Negative)</t>
  </si>
  <si>
    <t>P(Positive)</t>
  </si>
  <si>
    <t>P(Netral)</t>
  </si>
  <si>
    <t>Positif</t>
  </si>
  <si>
    <t>Negatif</t>
  </si>
  <si>
    <r>
      <rPr>
        <rFont val="Arial"/>
        <color theme="1"/>
        <sz val="12.0"/>
      </rPr>
      <t xml:space="preserve">Dari hasil tersebut dapat dilihat bahwa jika data "Aplikasi gak bisa dibuka error teruss" dilakukan prediksi menggunakan naive bayes, maka didapatkan hasil sentimen dari review tersebut adalah </t>
    </r>
    <r>
      <rPr>
        <rFont val="Arial"/>
        <b/>
        <color theme="1"/>
        <sz val="12.0"/>
      </rPr>
      <t xml:space="preserve">Negatif </t>
    </r>
    <r>
      <rPr>
        <rFont val="Arial"/>
        <color theme="1"/>
        <sz val="12.0"/>
      </rPr>
      <t>(Ditandai dengan hasil perhitungan Negatif lebih besar dibanding yang lain).</t>
    </r>
  </si>
  <si>
    <t>Confusion Matrix</t>
  </si>
  <si>
    <t>Predicted</t>
  </si>
  <si>
    <t>Actual</t>
  </si>
  <si>
    <t>Akurasi</t>
  </si>
  <si>
    <t>TP / N</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</si>
</sst>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color theme="1"/>
      <name val="Arial"/>
    </font>
    <font>
      <b/>
      <sz val="11.0"/>
      <color rgb="FF000000"/>
      <name val="Arial"/>
    </font>
    <font>
      <color theme="1"/>
      <name val="Arial"/>
      <scheme val="minor"/>
    </font>
    <font>
      <sz val="11.0"/>
      <color rgb="FF000000"/>
      <name val="Arial"/>
    </font>
    <font>
      <color rgb="FF000000"/>
      <name val="Arial"/>
    </font>
    <font>
      <sz val="11.0"/>
      <color rgb="FF000000"/>
      <name val="Monospace"/>
    </font>
    <font>
      <color rgb="FF232629"/>
      <name val="Arial"/>
    </font>
    <font>
      <color theme="1"/>
      <name val="Inherit"/>
    </font>
    <font>
      <color rgb="FF000000"/>
      <name val="Arial"/>
      <scheme val="minor"/>
    </font>
    <font>
      <sz val="12.0"/>
      <color rgb="FF000000"/>
      <name val="&quot;Times New Roman&quot;"/>
    </font>
    <font>
      <b/>
      <sz val="10.0"/>
      <color rgb="FF212121"/>
      <name val="Arial"/>
    </font>
    <font>
      <sz val="10.0"/>
      <color rgb="FF212121"/>
      <name val="Monospace"/>
    </font>
    <font>
      <b/>
      <color theme="1"/>
      <name val="Arial"/>
      <scheme val="minor"/>
    </font>
    <font>
      <b/>
      <color rgb="FF000000"/>
      <name val="Arial"/>
      <scheme val="minor"/>
    </font>
    <font/>
    <font>
      <sz val="11.0"/>
      <color rgb="FF000000"/>
      <name val="Inconsolata"/>
    </font>
    <font>
      <sz val="12.0"/>
      <color theme="1"/>
      <name val="Arial"/>
      <scheme val="minor"/>
    </font>
    <font>
      <b/>
      <sz val="12.0"/>
      <color theme="1"/>
      <name val="Arial"/>
      <scheme val="minor"/>
    </font>
  </fonts>
  <fills count="14">
    <fill>
      <patternFill patternType="none"/>
    </fill>
    <fill>
      <patternFill patternType="lightGray"/>
    </fill>
    <fill>
      <patternFill patternType="solid">
        <fgColor rgb="FFFFFFFE"/>
        <bgColor rgb="FFFFFFFE"/>
      </patternFill>
    </fill>
    <fill>
      <patternFill patternType="solid">
        <fgColor rgb="FFE3E6E8"/>
        <bgColor rgb="FFE3E6E8"/>
      </patternFill>
    </fill>
    <fill>
      <patternFill patternType="solid">
        <fgColor rgb="FFFFFFFF"/>
        <bgColor rgb="FFFFFFFF"/>
      </patternFill>
    </fill>
    <fill>
      <patternFill patternType="solid">
        <fgColor rgb="FFF5F5F5"/>
        <bgColor rgb="FFF5F5F5"/>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999999"/>
        <bgColor rgb="FF999999"/>
      </patternFill>
    </fill>
    <fill>
      <patternFill patternType="solid">
        <fgColor rgb="FFCFE2F3"/>
        <bgColor rgb="FFCFE2F3"/>
      </patternFill>
    </fill>
    <fill>
      <patternFill patternType="solid">
        <fgColor rgb="FF000000"/>
        <bgColor rgb="FF000000"/>
      </patternFill>
    </fill>
    <fill>
      <patternFill patternType="solid">
        <fgColor rgb="FFFFF2CC"/>
        <bgColor rgb="FFFFF2CC"/>
      </patternFill>
    </fill>
    <fill>
      <patternFill patternType="solid">
        <fgColor rgb="FFD0E0E3"/>
        <bgColor rgb="FFD0E0E3"/>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0"/>
    </xf>
    <xf borderId="0" fillId="2" fontId="2" numFmtId="0" xfId="0" applyAlignment="1" applyFill="1" applyFont="1">
      <alignment readingOrder="0"/>
    </xf>
    <xf borderId="0" fillId="0" fontId="3" numFmtId="0" xfId="0" applyAlignment="1" applyFont="1">
      <alignment shrinkToFit="0" wrapText="1"/>
    </xf>
    <xf borderId="0" fillId="0" fontId="4" numFmtId="0" xfId="0" applyAlignment="1" applyFont="1">
      <alignment readingOrder="0"/>
    </xf>
    <xf borderId="0" fillId="0" fontId="5" numFmtId="0" xfId="0" applyAlignment="1" applyFont="1">
      <alignment horizontal="left" readingOrder="0"/>
    </xf>
    <xf borderId="0" fillId="0" fontId="5" numFmtId="0" xfId="0" applyAlignment="1" applyFont="1">
      <alignment horizontal="center" readingOrder="0"/>
    </xf>
    <xf borderId="0" fillId="0" fontId="6" numFmtId="0" xfId="0" applyAlignment="1" applyFont="1">
      <alignment readingOrder="0"/>
    </xf>
    <xf borderId="0" fillId="3" fontId="7" numFmtId="0" xfId="0" applyAlignment="1" applyFill="1" applyFont="1">
      <alignment horizontal="left" readingOrder="0" shrinkToFit="0" wrapText="1"/>
    </xf>
    <xf borderId="0" fillId="0" fontId="8" numFmtId="0" xfId="0" applyAlignment="1" applyFont="1">
      <alignment horizontal="left"/>
    </xf>
    <xf borderId="0" fillId="0" fontId="1" numFmtId="0" xfId="0" applyAlignment="1" applyFont="1">
      <alignment horizontal="left" vertical="top"/>
    </xf>
    <xf borderId="0" fillId="0" fontId="3" numFmtId="0" xfId="0" applyAlignment="1" applyFont="1">
      <alignment horizontal="left" readingOrder="0" shrinkToFit="0" vertical="top" wrapText="1"/>
    </xf>
    <xf borderId="0" fillId="0" fontId="3" numFmtId="0" xfId="0" applyAlignment="1" applyFont="1">
      <alignment horizontal="left" readingOrder="0" vertical="top"/>
    </xf>
    <xf borderId="0" fillId="4" fontId="5" numFmtId="0" xfId="0" applyAlignment="1" applyFill="1" applyFont="1">
      <alignment horizontal="left" readingOrder="0" vertical="top"/>
    </xf>
    <xf borderId="0" fillId="0" fontId="3" numFmtId="0" xfId="0" applyAlignment="1" applyFont="1">
      <alignment readingOrder="0"/>
    </xf>
    <xf borderId="0" fillId="0" fontId="1" numFmtId="0" xfId="0" applyAlignment="1" applyFont="1">
      <alignment horizontal="left" shrinkToFit="0" vertical="top" wrapText="1"/>
    </xf>
    <xf borderId="0" fillId="0" fontId="3" numFmtId="0" xfId="0" applyAlignment="1" applyFont="1">
      <alignment horizontal="left" shrinkToFit="0" vertical="top" wrapText="1"/>
    </xf>
    <xf borderId="0" fillId="4" fontId="0" numFmtId="0" xfId="0" applyAlignment="1" applyFont="1">
      <alignment horizontal="left" shrinkToFit="0" vertical="top" wrapText="1"/>
    </xf>
    <xf borderId="0" fillId="0" fontId="9" numFmtId="0" xfId="0" applyAlignment="1" applyFont="1">
      <alignment readingOrder="0" shrinkToFit="0" wrapText="1"/>
    </xf>
    <xf borderId="0" fillId="5" fontId="10" numFmtId="0" xfId="0" applyAlignment="1" applyFill="1" applyFont="1">
      <alignment shrinkToFit="0" wrapText="1"/>
    </xf>
    <xf borderId="0" fillId="0" fontId="0" numFmtId="0" xfId="0" applyAlignment="1" applyFont="1">
      <alignment horizontal="left" shrinkToFit="0" vertical="top" wrapText="1"/>
    </xf>
    <xf borderId="0" fillId="4" fontId="11" numFmtId="0" xfId="0" applyAlignment="1" applyFont="1">
      <alignment readingOrder="0" shrinkToFit="0" wrapText="1"/>
    </xf>
    <xf borderId="0" fillId="6" fontId="12" numFmtId="0" xfId="0" applyAlignment="1" applyFill="1" applyFont="1">
      <alignment shrinkToFit="0" wrapText="1"/>
    </xf>
    <xf borderId="0" fillId="7" fontId="0" numFmtId="0" xfId="0" applyAlignment="1" applyFill="1" applyFont="1">
      <alignment horizontal="left" shrinkToFit="0" vertical="top" wrapText="1"/>
    </xf>
    <xf borderId="0" fillId="8" fontId="3" numFmtId="0" xfId="0" applyAlignment="1" applyFill="1" applyFont="1">
      <alignment readingOrder="0" shrinkToFit="0" vertical="top" wrapText="1"/>
    </xf>
    <xf borderId="0" fillId="0" fontId="13" numFmtId="0" xfId="0" applyAlignment="1" applyFont="1">
      <alignment readingOrder="0"/>
    </xf>
    <xf borderId="0" fillId="6" fontId="3" numFmtId="0" xfId="0" applyAlignment="1" applyFont="1">
      <alignment readingOrder="0" shrinkToFit="0" wrapText="1"/>
    </xf>
    <xf borderId="0" fillId="7" fontId="3" numFmtId="0" xfId="0" applyAlignment="1" applyFont="1">
      <alignment readingOrder="0" shrinkToFit="0" vertical="top" wrapText="1"/>
    </xf>
    <xf borderId="0" fillId="8" fontId="3" numFmtId="0" xfId="0" applyAlignment="1" applyFont="1">
      <alignment readingOrder="0" vertical="top"/>
    </xf>
    <xf borderId="1" fillId="0" fontId="14" numFmtId="0" xfId="0" applyAlignment="1" applyBorder="1" applyFont="1">
      <alignment horizontal="left" readingOrder="0" vertical="center"/>
    </xf>
    <xf borderId="1" fillId="6" fontId="9" numFmtId="0" xfId="0" applyAlignment="1" applyBorder="1" applyFont="1">
      <alignment horizontal="left" readingOrder="0" shrinkToFit="0" vertical="center" wrapText="1"/>
    </xf>
    <xf borderId="1" fillId="7" fontId="9" numFmtId="0" xfId="0" applyAlignment="1" applyBorder="1" applyFont="1">
      <alignment horizontal="center" readingOrder="0" shrinkToFit="0" vertical="top" wrapText="1"/>
    </xf>
    <xf borderId="0" fillId="8" fontId="9" numFmtId="0" xfId="0" applyAlignment="1" applyFont="1">
      <alignment horizontal="left" readingOrder="0" shrinkToFit="0" vertical="top" wrapText="1"/>
    </xf>
    <xf borderId="0" fillId="0" fontId="9" numFmtId="0" xfId="0" applyAlignment="1" applyFont="1">
      <alignment horizontal="center" readingOrder="0"/>
    </xf>
    <xf borderId="0" fillId="0" fontId="9" numFmtId="0" xfId="0" applyAlignment="1" applyFont="1">
      <alignment horizontal="left" readingOrder="0"/>
    </xf>
    <xf borderId="0" fillId="0" fontId="14" numFmtId="0" xfId="0" applyAlignment="1" applyFont="1">
      <alignment horizontal="center" readingOrder="0"/>
    </xf>
    <xf borderId="2" fillId="0" fontId="9" numFmtId="0" xfId="0" applyAlignment="1" applyBorder="1" applyFont="1">
      <alignment horizontal="center" readingOrder="0" vertical="center"/>
    </xf>
    <xf borderId="3" fillId="0" fontId="3" numFmtId="0" xfId="0" applyAlignment="1" applyBorder="1" applyFont="1">
      <alignment horizontal="center" readingOrder="0"/>
    </xf>
    <xf borderId="4" fillId="0" fontId="15" numFmtId="0" xfId="0" applyBorder="1" applyFont="1"/>
    <xf borderId="5" fillId="0" fontId="15" numFmtId="0" xfId="0" applyBorder="1" applyFont="1"/>
    <xf borderId="2" fillId="0" fontId="3" numFmtId="0" xfId="0" applyAlignment="1" applyBorder="1" applyFont="1">
      <alignment horizontal="center" readingOrder="0" vertical="center"/>
    </xf>
    <xf borderId="6" fillId="0" fontId="15" numFmtId="0" xfId="0" applyBorder="1" applyFont="1"/>
    <xf borderId="1" fillId="0" fontId="3" numFmtId="0" xfId="0" applyAlignment="1" applyBorder="1" applyFont="1">
      <alignment horizontal="center" readingOrder="0" vertical="center"/>
    </xf>
    <xf borderId="1" fillId="0" fontId="3" numFmtId="0" xfId="0" applyAlignment="1" applyBorder="1" applyFont="1">
      <alignment readingOrder="0"/>
    </xf>
    <xf borderId="1" fillId="0" fontId="9" numFmtId="0" xfId="0" applyAlignment="1" applyBorder="1" applyFont="1">
      <alignment readingOrder="0"/>
    </xf>
    <xf borderId="1" fillId="0" fontId="3" numFmtId="0" xfId="0" applyAlignment="1" applyBorder="1" applyFont="1">
      <alignment horizontal="center" vertical="center"/>
    </xf>
    <xf borderId="1" fillId="4" fontId="16" numFmtId="0" xfId="0" applyBorder="1" applyFont="1"/>
    <xf borderId="1" fillId="0" fontId="3" numFmtId="0" xfId="0" applyBorder="1" applyFont="1"/>
    <xf borderId="1" fillId="0" fontId="9" numFmtId="0" xfId="0" applyBorder="1" applyFont="1"/>
    <xf borderId="1" fillId="0" fontId="3" numFmtId="0" xfId="0" applyAlignment="1" applyBorder="1" applyFont="1">
      <alignment horizontal="center" readingOrder="0"/>
    </xf>
    <xf borderId="7" fillId="0" fontId="3" numFmtId="0" xfId="0" applyAlignment="1" applyBorder="1" applyFont="1">
      <alignment horizontal="center" readingOrder="0" shrinkToFit="0" vertical="center" wrapText="1"/>
    </xf>
    <xf borderId="8" fillId="0" fontId="15" numFmtId="0" xfId="0" applyBorder="1" applyFont="1"/>
    <xf borderId="9" fillId="0" fontId="15" numFmtId="0" xfId="0" applyBorder="1" applyFont="1"/>
    <xf borderId="10" fillId="0" fontId="15" numFmtId="0" xfId="0" applyBorder="1" applyFont="1"/>
    <xf borderId="11" fillId="0" fontId="15" numFmtId="0" xfId="0" applyBorder="1" applyFont="1"/>
    <xf borderId="12" fillId="0" fontId="15" numFmtId="0" xfId="0" applyBorder="1" applyFont="1"/>
    <xf borderId="13" fillId="0" fontId="15" numFmtId="0" xfId="0" applyBorder="1" applyFont="1"/>
    <xf borderId="14" fillId="0" fontId="15" numFmtId="0" xfId="0" applyBorder="1" applyFont="1"/>
    <xf borderId="1" fillId="9" fontId="3" numFmtId="0" xfId="0" applyAlignment="1" applyBorder="1" applyFill="1" applyFont="1">
      <alignment readingOrder="0"/>
    </xf>
    <xf borderId="0" fillId="8" fontId="5" numFmtId="0" xfId="0" applyAlignment="1" applyFont="1">
      <alignment horizontal="left" readingOrder="0" shrinkToFit="0" vertical="top" wrapText="1"/>
    </xf>
    <xf borderId="0" fillId="0" fontId="3" numFmtId="0" xfId="0" applyFont="1"/>
    <xf borderId="0" fillId="0" fontId="3" numFmtId="0" xfId="0" applyAlignment="1" applyFont="1">
      <alignment vertical="center"/>
    </xf>
    <xf borderId="0" fillId="8" fontId="3" numFmtId="0" xfId="0" applyAlignment="1" applyFont="1">
      <alignment vertical="center"/>
    </xf>
    <xf borderId="0" fillId="10" fontId="17" numFmtId="0" xfId="0" applyAlignment="1" applyFill="1" applyFont="1">
      <alignment readingOrder="0" shrinkToFit="0" vertical="top" wrapText="1"/>
    </xf>
    <xf borderId="0" fillId="0" fontId="18" numFmtId="0" xfId="0" applyAlignment="1" applyFont="1">
      <alignment horizontal="center" readingOrder="0" vertical="center"/>
    </xf>
    <xf borderId="1" fillId="11" fontId="3" numFmtId="0" xfId="0" applyBorder="1" applyFill="1" applyFont="1"/>
    <xf borderId="1" fillId="11" fontId="3" numFmtId="0" xfId="0" applyAlignment="1" applyBorder="1" applyFont="1">
      <alignment horizontal="center" readingOrder="0" vertical="center"/>
    </xf>
    <xf borderId="3" fillId="0" fontId="13" numFmtId="0" xfId="0" applyAlignment="1" applyBorder="1" applyFont="1">
      <alignment horizontal="center" readingOrder="0" vertical="center"/>
    </xf>
    <xf borderId="1" fillId="12" fontId="3" numFmtId="0" xfId="0" applyAlignment="1" applyBorder="1" applyFill="1" applyFont="1">
      <alignment horizontal="center" readingOrder="0" vertical="center"/>
    </xf>
    <xf borderId="2" fillId="0" fontId="13" numFmtId="0" xfId="0" applyAlignment="1" applyBorder="1" applyFont="1">
      <alignment horizontal="center" readingOrder="0" vertical="center"/>
    </xf>
    <xf borderId="1" fillId="13" fontId="3" numFmtId="0" xfId="0" applyAlignment="1" applyBorder="1" applyFill="1" applyFont="1">
      <alignment horizontal="center" readingOrder="0" vertical="center"/>
    </xf>
    <xf borderId="15" fillId="0" fontId="15" numFmtId="0" xfId="0" applyBorder="1" applyFont="1"/>
    <xf borderId="7" fillId="0" fontId="3" numFmtId="0" xfId="0" applyAlignment="1" applyBorder="1" applyFont="1">
      <alignment horizontal="center" readingOrder="0" vertical="center"/>
    </xf>
    <xf borderId="7" fillId="0" fontId="13"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0.88"/>
  </cols>
  <sheetData>
    <row r="1">
      <c r="A1" s="1" t="s">
        <v>0</v>
      </c>
      <c r="B1" s="1" t="s">
        <v>1</v>
      </c>
    </row>
    <row r="2">
      <c r="A2" s="1" t="s">
        <v>2</v>
      </c>
      <c r="B2" s="2" t="s">
        <v>3</v>
      </c>
    </row>
    <row r="3">
      <c r="A3" s="1" t="s">
        <v>4</v>
      </c>
      <c r="B3" s="2" t="s">
        <v>5</v>
      </c>
    </row>
    <row r="4">
      <c r="A4" s="1" t="s">
        <v>2</v>
      </c>
      <c r="B4" s="2" t="s">
        <v>6</v>
      </c>
    </row>
    <row r="5">
      <c r="A5" s="1" t="s">
        <v>4</v>
      </c>
      <c r="B5" s="2" t="s">
        <v>7</v>
      </c>
    </row>
    <row r="6">
      <c r="A6" s="1" t="s">
        <v>4</v>
      </c>
      <c r="B6" s="2" t="s">
        <v>8</v>
      </c>
    </row>
    <row r="7">
      <c r="A7" s="1" t="s">
        <v>2</v>
      </c>
      <c r="B7" s="2" t="s">
        <v>9</v>
      </c>
    </row>
    <row r="8">
      <c r="A8" s="1" t="s">
        <v>2</v>
      </c>
      <c r="B8" s="2" t="s">
        <v>10</v>
      </c>
    </row>
    <row r="9">
      <c r="A9" s="1" t="s">
        <v>4</v>
      </c>
      <c r="B9" s="2" t="s">
        <v>11</v>
      </c>
    </row>
    <row r="10">
      <c r="A10" s="1" t="s">
        <v>2</v>
      </c>
      <c r="B10" s="2" t="s">
        <v>12</v>
      </c>
    </row>
    <row r="11">
      <c r="A11" s="1" t="s">
        <v>2</v>
      </c>
      <c r="B11" s="2" t="s">
        <v>13</v>
      </c>
    </row>
    <row r="12">
      <c r="A12" s="1" t="s">
        <v>4</v>
      </c>
      <c r="B12" s="2" t="s">
        <v>14</v>
      </c>
    </row>
    <row r="13">
      <c r="A13" s="1" t="s">
        <v>4</v>
      </c>
      <c r="B13" s="2" t="s">
        <v>15</v>
      </c>
    </row>
    <row r="14">
      <c r="A14" s="1" t="s">
        <v>4</v>
      </c>
      <c r="B14" s="2" t="s">
        <v>16</v>
      </c>
    </row>
    <row r="15">
      <c r="A15" s="1" t="s">
        <v>4</v>
      </c>
      <c r="B15" s="2" t="s">
        <v>17</v>
      </c>
    </row>
    <row r="16">
      <c r="A16" s="1" t="s">
        <v>2</v>
      </c>
      <c r="B16" s="2" t="s">
        <v>18</v>
      </c>
    </row>
    <row r="17">
      <c r="A17" s="1" t="s">
        <v>2</v>
      </c>
      <c r="B17" s="2" t="s">
        <v>19</v>
      </c>
    </row>
    <row r="18">
      <c r="A18" s="1" t="s">
        <v>4</v>
      </c>
      <c r="B18" s="2" t="s">
        <v>20</v>
      </c>
    </row>
    <row r="19">
      <c r="A19" s="1" t="s">
        <v>4</v>
      </c>
      <c r="B19" s="2" t="s">
        <v>21</v>
      </c>
    </row>
    <row r="20">
      <c r="A20" s="1" t="s">
        <v>2</v>
      </c>
      <c r="B20" s="2" t="s">
        <v>22</v>
      </c>
    </row>
    <row r="21">
      <c r="A21" s="1" t="s">
        <v>4</v>
      </c>
      <c r="B21" s="2" t="s">
        <v>23</v>
      </c>
    </row>
    <row r="22">
      <c r="A22" s="1" t="s">
        <v>4</v>
      </c>
      <c r="B22" s="2" t="s">
        <v>24</v>
      </c>
    </row>
    <row r="23">
      <c r="A23" s="1" t="s">
        <v>2</v>
      </c>
      <c r="B23" s="2" t="s">
        <v>25</v>
      </c>
    </row>
    <row r="24">
      <c r="A24" s="1" t="s">
        <v>4</v>
      </c>
      <c r="B24" s="2" t="s">
        <v>26</v>
      </c>
    </row>
    <row r="25">
      <c r="A25" s="1" t="s">
        <v>2</v>
      </c>
      <c r="B25" s="2" t="s">
        <v>27</v>
      </c>
    </row>
    <row r="26">
      <c r="A26" s="1" t="s">
        <v>4</v>
      </c>
      <c r="B26" s="2" t="s">
        <v>28</v>
      </c>
    </row>
    <row r="27">
      <c r="A27" s="1" t="s">
        <v>2</v>
      </c>
      <c r="B27" s="2" t="s">
        <v>29</v>
      </c>
    </row>
    <row r="28">
      <c r="A28" s="1" t="s">
        <v>4</v>
      </c>
      <c r="B28" s="2" t="s">
        <v>30</v>
      </c>
    </row>
    <row r="29">
      <c r="A29" s="1" t="s">
        <v>4</v>
      </c>
      <c r="B29" s="2" t="s">
        <v>31</v>
      </c>
    </row>
    <row r="30">
      <c r="A30" s="1" t="s">
        <v>4</v>
      </c>
      <c r="B30" s="2" t="s">
        <v>32</v>
      </c>
    </row>
    <row r="31">
      <c r="A31" s="1" t="s">
        <v>2</v>
      </c>
      <c r="B31" s="2" t="s">
        <v>33</v>
      </c>
    </row>
    <row r="32">
      <c r="A32" s="1" t="s">
        <v>4</v>
      </c>
      <c r="B32" s="2" t="s">
        <v>34</v>
      </c>
    </row>
    <row r="33">
      <c r="A33" s="1" t="s">
        <v>4</v>
      </c>
      <c r="B33" s="2" t="s">
        <v>35</v>
      </c>
    </row>
    <row r="34">
      <c r="A34" s="1" t="s">
        <v>2</v>
      </c>
      <c r="B34" s="2" t="s">
        <v>36</v>
      </c>
    </row>
    <row r="35">
      <c r="A35" s="1" t="s">
        <v>4</v>
      </c>
      <c r="B35" s="2" t="s">
        <v>37</v>
      </c>
    </row>
    <row r="36">
      <c r="A36" s="1" t="s">
        <v>2</v>
      </c>
      <c r="B36" s="2" t="s">
        <v>38</v>
      </c>
    </row>
    <row r="37">
      <c r="A37" s="1" t="s">
        <v>2</v>
      </c>
      <c r="B37" s="2" t="s">
        <v>39</v>
      </c>
    </row>
    <row r="38">
      <c r="A38" s="1" t="s">
        <v>4</v>
      </c>
      <c r="B38" s="2" t="s">
        <v>40</v>
      </c>
    </row>
    <row r="39">
      <c r="A39" s="1" t="s">
        <v>2</v>
      </c>
      <c r="B39" s="2" t="s">
        <v>41</v>
      </c>
    </row>
    <row r="40">
      <c r="A40" s="1" t="s">
        <v>4</v>
      </c>
      <c r="B40" s="2" t="s">
        <v>42</v>
      </c>
    </row>
    <row r="41">
      <c r="A41" s="1" t="s">
        <v>2</v>
      </c>
      <c r="B41" s="2" t="s">
        <v>43</v>
      </c>
    </row>
    <row r="42">
      <c r="A42" s="1" t="s">
        <v>4</v>
      </c>
      <c r="B42" s="2" t="s">
        <v>44</v>
      </c>
    </row>
    <row r="43">
      <c r="A43" s="1" t="s">
        <v>2</v>
      </c>
      <c r="B43" s="2" t="s">
        <v>45</v>
      </c>
    </row>
    <row r="44">
      <c r="A44" s="1" t="s">
        <v>4</v>
      </c>
      <c r="B44" s="2" t="s">
        <v>46</v>
      </c>
    </row>
    <row r="45">
      <c r="A45" s="1" t="s">
        <v>4</v>
      </c>
      <c r="B45" s="2" t="s">
        <v>47</v>
      </c>
    </row>
    <row r="46">
      <c r="A46" s="1" t="s">
        <v>4</v>
      </c>
      <c r="B46" s="2" t="s">
        <v>48</v>
      </c>
    </row>
    <row r="47">
      <c r="A47" s="1" t="s">
        <v>2</v>
      </c>
      <c r="B47" s="2" t="s">
        <v>49</v>
      </c>
    </row>
    <row r="48">
      <c r="A48" s="1" t="s">
        <v>4</v>
      </c>
      <c r="B48" s="2" t="s">
        <v>50</v>
      </c>
    </row>
    <row r="49">
      <c r="A49" s="1" t="s">
        <v>2</v>
      </c>
      <c r="B49" s="2" t="s">
        <v>51</v>
      </c>
    </row>
    <row r="50">
      <c r="A50" s="1" t="s">
        <v>4</v>
      </c>
      <c r="B50" s="2" t="s">
        <v>52</v>
      </c>
    </row>
    <row r="51">
      <c r="A51" s="1" t="s">
        <v>4</v>
      </c>
      <c r="B51" s="2" t="s">
        <v>53</v>
      </c>
    </row>
    <row r="52">
      <c r="A52" s="1" t="s">
        <v>4</v>
      </c>
      <c r="B52" s="2" t="s">
        <v>54</v>
      </c>
    </row>
    <row r="53">
      <c r="A53" s="1" t="s">
        <v>2</v>
      </c>
      <c r="B53" s="2" t="s">
        <v>55</v>
      </c>
    </row>
    <row r="54">
      <c r="A54" s="1" t="s">
        <v>2</v>
      </c>
      <c r="B54" s="2" t="s">
        <v>56</v>
      </c>
    </row>
    <row r="55">
      <c r="A55" s="1" t="s">
        <v>2</v>
      </c>
      <c r="B55" s="2" t="s">
        <v>57</v>
      </c>
    </row>
    <row r="56">
      <c r="A56" s="1" t="s">
        <v>4</v>
      </c>
      <c r="B56" s="2" t="s">
        <v>58</v>
      </c>
    </row>
    <row r="57">
      <c r="A57" s="1" t="s">
        <v>4</v>
      </c>
      <c r="B57" s="2" t="s">
        <v>59</v>
      </c>
    </row>
    <row r="58">
      <c r="A58" s="1" t="s">
        <v>4</v>
      </c>
      <c r="B58" s="2" t="s">
        <v>60</v>
      </c>
    </row>
    <row r="59">
      <c r="A59" s="1" t="s">
        <v>2</v>
      </c>
      <c r="B59" s="2" t="s">
        <v>61</v>
      </c>
    </row>
    <row r="60">
      <c r="A60" s="1" t="s">
        <v>4</v>
      </c>
      <c r="B60" s="2" t="s">
        <v>62</v>
      </c>
    </row>
    <row r="61">
      <c r="A61" s="1" t="s">
        <v>4</v>
      </c>
      <c r="B61" s="2" t="s">
        <v>63</v>
      </c>
    </row>
    <row r="62">
      <c r="A62" s="1" t="s">
        <v>2</v>
      </c>
      <c r="B62" s="2" t="s">
        <v>64</v>
      </c>
    </row>
    <row r="63">
      <c r="A63" s="1" t="s">
        <v>2</v>
      </c>
      <c r="B63" s="2" t="s">
        <v>65</v>
      </c>
    </row>
    <row r="64">
      <c r="A64" s="1" t="s">
        <v>4</v>
      </c>
      <c r="B64" s="2" t="s">
        <v>66</v>
      </c>
    </row>
    <row r="65">
      <c r="A65" s="1" t="s">
        <v>4</v>
      </c>
      <c r="B65" s="2" t="s">
        <v>67</v>
      </c>
    </row>
    <row r="66">
      <c r="A66" s="1" t="s">
        <v>2</v>
      </c>
      <c r="B66" s="1" t="s">
        <v>68</v>
      </c>
    </row>
    <row r="67">
      <c r="A67" s="1" t="s">
        <v>4</v>
      </c>
      <c r="B67" s="2" t="s">
        <v>69</v>
      </c>
    </row>
    <row r="68">
      <c r="A68" s="1" t="s">
        <v>2</v>
      </c>
      <c r="B68" s="2" t="s">
        <v>70</v>
      </c>
    </row>
    <row r="69">
      <c r="A69" s="1" t="s">
        <v>4</v>
      </c>
      <c r="B69" s="2" t="s">
        <v>71</v>
      </c>
    </row>
    <row r="70">
      <c r="A70" s="1" t="s">
        <v>4</v>
      </c>
      <c r="B70" s="2" t="s">
        <v>72</v>
      </c>
    </row>
    <row r="71">
      <c r="A71" s="1" t="s">
        <v>4</v>
      </c>
      <c r="B71" s="2" t="s">
        <v>73</v>
      </c>
    </row>
    <row r="72">
      <c r="A72" s="1" t="s">
        <v>4</v>
      </c>
      <c r="B72" s="2" t="s">
        <v>74</v>
      </c>
    </row>
    <row r="73">
      <c r="A73" s="1" t="s">
        <v>4</v>
      </c>
      <c r="B73" s="2" t="s">
        <v>75</v>
      </c>
    </row>
    <row r="74">
      <c r="A74" s="1" t="s">
        <v>2</v>
      </c>
      <c r="B74" s="2" t="s">
        <v>76</v>
      </c>
    </row>
    <row r="75">
      <c r="A75" s="1" t="s">
        <v>4</v>
      </c>
      <c r="B75" s="1" t="s">
        <v>77</v>
      </c>
    </row>
    <row r="76">
      <c r="A76" s="1" t="s">
        <v>2</v>
      </c>
      <c r="B76" s="2" t="s">
        <v>78</v>
      </c>
    </row>
    <row r="77">
      <c r="A77" s="1" t="s">
        <v>4</v>
      </c>
      <c r="B77" s="2" t="s">
        <v>79</v>
      </c>
    </row>
    <row r="78">
      <c r="A78" s="1" t="s">
        <v>4</v>
      </c>
      <c r="B78" s="2" t="s">
        <v>80</v>
      </c>
    </row>
    <row r="79">
      <c r="A79" s="1" t="s">
        <v>2</v>
      </c>
      <c r="B79" s="2" t="s">
        <v>81</v>
      </c>
    </row>
    <row r="80">
      <c r="A80" s="1" t="s">
        <v>4</v>
      </c>
      <c r="B80" s="2" t="s">
        <v>82</v>
      </c>
    </row>
    <row r="81">
      <c r="A81" s="1" t="s">
        <v>4</v>
      </c>
      <c r="B81" s="2" t="s">
        <v>83</v>
      </c>
    </row>
    <row r="82">
      <c r="A82" s="1" t="s">
        <v>4</v>
      </c>
      <c r="B82" s="2" t="s">
        <v>84</v>
      </c>
    </row>
    <row r="83">
      <c r="A83" s="1" t="s">
        <v>2</v>
      </c>
      <c r="B83" s="2" t="s">
        <v>85</v>
      </c>
    </row>
    <row r="84">
      <c r="A84" s="1" t="s">
        <v>2</v>
      </c>
      <c r="B84" s="2" t="s">
        <v>86</v>
      </c>
    </row>
    <row r="85">
      <c r="A85" s="1" t="s">
        <v>4</v>
      </c>
      <c r="B85" s="2" t="s">
        <v>87</v>
      </c>
    </row>
    <row r="86">
      <c r="A86" s="1" t="s">
        <v>4</v>
      </c>
      <c r="B86" s="2" t="s">
        <v>88</v>
      </c>
    </row>
    <row r="87">
      <c r="A87" s="1" t="s">
        <v>2</v>
      </c>
      <c r="B87" s="2" t="s">
        <v>89</v>
      </c>
    </row>
    <row r="88">
      <c r="A88" s="1" t="s">
        <v>4</v>
      </c>
      <c r="B88" s="2" t="s">
        <v>90</v>
      </c>
    </row>
    <row r="89">
      <c r="A89" s="1" t="s">
        <v>4</v>
      </c>
      <c r="B89" s="2" t="s">
        <v>91</v>
      </c>
    </row>
    <row r="90">
      <c r="A90" s="1" t="s">
        <v>4</v>
      </c>
      <c r="B90" s="2" t="s">
        <v>92</v>
      </c>
    </row>
    <row r="91">
      <c r="A91" s="1" t="s">
        <v>4</v>
      </c>
      <c r="B91" s="2" t="s">
        <v>93</v>
      </c>
    </row>
    <row r="92">
      <c r="A92" s="1" t="s">
        <v>2</v>
      </c>
      <c r="B92" s="2" t="s">
        <v>94</v>
      </c>
    </row>
    <row r="93">
      <c r="A93" s="1" t="s">
        <v>4</v>
      </c>
      <c r="B93" s="2" t="s">
        <v>95</v>
      </c>
    </row>
    <row r="94">
      <c r="A94" s="1" t="s">
        <v>4</v>
      </c>
      <c r="B94" s="2" t="s">
        <v>96</v>
      </c>
    </row>
    <row r="95">
      <c r="A95" s="1" t="s">
        <v>4</v>
      </c>
      <c r="B95" s="1" t="s">
        <v>97</v>
      </c>
    </row>
    <row r="96">
      <c r="A96" s="1" t="s">
        <v>4</v>
      </c>
      <c r="B96" s="1" t="s">
        <v>98</v>
      </c>
    </row>
    <row r="97">
      <c r="A97" s="1" t="s">
        <v>4</v>
      </c>
      <c r="B97" s="2" t="s">
        <v>99</v>
      </c>
    </row>
    <row r="98">
      <c r="A98" s="1" t="s">
        <v>4</v>
      </c>
      <c r="B98" s="2" t="s">
        <v>100</v>
      </c>
    </row>
    <row r="99">
      <c r="A99" s="1" t="s">
        <v>4</v>
      </c>
      <c r="B99" s="1" t="s">
        <v>101</v>
      </c>
    </row>
    <row r="100">
      <c r="A100" s="1" t="s">
        <v>4</v>
      </c>
      <c r="B100" s="2" t="s">
        <v>102</v>
      </c>
    </row>
    <row r="101">
      <c r="A101" s="1" t="s">
        <v>4</v>
      </c>
      <c r="B101" s="1" t="s">
        <v>103</v>
      </c>
    </row>
    <row r="102">
      <c r="A102" s="1" t="s">
        <v>4</v>
      </c>
      <c r="B102" s="1" t="s">
        <v>104</v>
      </c>
    </row>
    <row r="103">
      <c r="A103" s="1" t="s">
        <v>4</v>
      </c>
      <c r="B103" s="2" t="s">
        <v>105</v>
      </c>
    </row>
    <row r="104">
      <c r="A104" s="1" t="s">
        <v>4</v>
      </c>
      <c r="B104" s="2" t="s">
        <v>106</v>
      </c>
    </row>
    <row r="105">
      <c r="A105" s="1" t="s">
        <v>4</v>
      </c>
      <c r="B105" s="2" t="s">
        <v>107</v>
      </c>
    </row>
    <row r="106">
      <c r="A106" s="1" t="s">
        <v>4</v>
      </c>
      <c r="B106" s="2" t="s">
        <v>108</v>
      </c>
    </row>
    <row r="107">
      <c r="A107" s="1" t="s">
        <v>2</v>
      </c>
      <c r="B107" s="1" t="s">
        <v>109</v>
      </c>
    </row>
    <row r="108">
      <c r="A108" s="1" t="s">
        <v>4</v>
      </c>
      <c r="B108" s="2" t="s">
        <v>110</v>
      </c>
    </row>
    <row r="109">
      <c r="A109" s="1" t="s">
        <v>4</v>
      </c>
      <c r="B109" s="2" t="s">
        <v>111</v>
      </c>
    </row>
    <row r="110">
      <c r="A110" s="1" t="s">
        <v>2</v>
      </c>
      <c r="B110" s="2" t="s">
        <v>112</v>
      </c>
    </row>
    <row r="111">
      <c r="A111" s="1" t="s">
        <v>2</v>
      </c>
      <c r="B111" s="1" t="s">
        <v>113</v>
      </c>
    </row>
    <row r="112">
      <c r="A112" s="1" t="s">
        <v>4</v>
      </c>
      <c r="B112" s="2" t="s">
        <v>114</v>
      </c>
    </row>
    <row r="113">
      <c r="A113" s="1" t="s">
        <v>4</v>
      </c>
      <c r="B113" s="2" t="s">
        <v>115</v>
      </c>
    </row>
    <row r="114">
      <c r="A114" s="1" t="s">
        <v>2</v>
      </c>
      <c r="B114" s="1" t="s">
        <v>116</v>
      </c>
    </row>
    <row r="115">
      <c r="A115" s="1" t="s">
        <v>2</v>
      </c>
      <c r="B115" s="1" t="s">
        <v>117</v>
      </c>
    </row>
    <row r="116">
      <c r="A116" s="1" t="s">
        <v>4</v>
      </c>
      <c r="B116" s="2" t="s">
        <v>118</v>
      </c>
    </row>
    <row r="117">
      <c r="A117" s="1" t="s">
        <v>4</v>
      </c>
      <c r="B117" s="2" t="s">
        <v>119</v>
      </c>
    </row>
    <row r="118">
      <c r="A118" s="1" t="s">
        <v>4</v>
      </c>
      <c r="B118" s="2" t="s">
        <v>120</v>
      </c>
    </row>
    <row r="119">
      <c r="A119" s="1" t="s">
        <v>2</v>
      </c>
      <c r="B119" s="1" t="s">
        <v>121</v>
      </c>
    </row>
    <row r="120">
      <c r="A120" s="1" t="s">
        <v>2</v>
      </c>
      <c r="B120" s="2" t="s">
        <v>122</v>
      </c>
    </row>
    <row r="121">
      <c r="A121" s="1" t="s">
        <v>4</v>
      </c>
      <c r="B121" s="1" t="s">
        <v>123</v>
      </c>
    </row>
    <row r="122">
      <c r="A122" s="1" t="s">
        <v>4</v>
      </c>
      <c r="B122" s="1" t="s">
        <v>124</v>
      </c>
    </row>
    <row r="123">
      <c r="A123" s="1" t="s">
        <v>2</v>
      </c>
      <c r="B123" s="1" t="s">
        <v>125</v>
      </c>
    </row>
    <row r="124">
      <c r="A124" s="1" t="s">
        <v>4</v>
      </c>
      <c r="B124" s="1" t="s">
        <v>126</v>
      </c>
    </row>
    <row r="125">
      <c r="A125" s="1" t="s">
        <v>4</v>
      </c>
      <c r="B125" s="1" t="s">
        <v>127</v>
      </c>
    </row>
    <row r="126">
      <c r="A126" s="1" t="s">
        <v>4</v>
      </c>
      <c r="B126" s="2" t="s">
        <v>128</v>
      </c>
    </row>
    <row r="127">
      <c r="A127" s="1" t="s">
        <v>4</v>
      </c>
      <c r="B127" s="2" t="s">
        <v>129</v>
      </c>
    </row>
    <row r="128">
      <c r="A128" s="1" t="s">
        <v>4</v>
      </c>
      <c r="B128" s="1" t="s">
        <v>130</v>
      </c>
    </row>
    <row r="129">
      <c r="A129" s="1" t="s">
        <v>4</v>
      </c>
      <c r="B129" s="1" t="s">
        <v>131</v>
      </c>
    </row>
    <row r="130">
      <c r="A130" s="1" t="s">
        <v>2</v>
      </c>
      <c r="B130" s="1" t="s">
        <v>132</v>
      </c>
    </row>
    <row r="131">
      <c r="A131" s="1" t="s">
        <v>4</v>
      </c>
      <c r="B131" s="2" t="s">
        <v>133</v>
      </c>
    </row>
    <row r="132">
      <c r="A132" s="1" t="s">
        <v>2</v>
      </c>
      <c r="B132" s="1" t="s">
        <v>134</v>
      </c>
    </row>
    <row r="133">
      <c r="A133" s="1" t="s">
        <v>2</v>
      </c>
      <c r="B133" s="1" t="s">
        <v>135</v>
      </c>
    </row>
    <row r="134">
      <c r="A134" s="1" t="s">
        <v>4</v>
      </c>
      <c r="B134" s="2" t="s">
        <v>136</v>
      </c>
    </row>
    <row r="135">
      <c r="A135" s="1" t="s">
        <v>2</v>
      </c>
      <c r="B135" s="1" t="s">
        <v>137</v>
      </c>
    </row>
    <row r="136">
      <c r="A136" s="1" t="s">
        <v>2</v>
      </c>
      <c r="B136" s="2" t="s">
        <v>138</v>
      </c>
    </row>
    <row r="137">
      <c r="A137" s="1" t="s">
        <v>2</v>
      </c>
      <c r="B137" s="1" t="s">
        <v>139</v>
      </c>
    </row>
    <row r="138">
      <c r="A138" s="1" t="s">
        <v>2</v>
      </c>
      <c r="B138" s="1" t="s">
        <v>140</v>
      </c>
    </row>
    <row r="139">
      <c r="A139" s="1" t="s">
        <v>4</v>
      </c>
      <c r="B139" s="2" t="s">
        <v>141</v>
      </c>
    </row>
    <row r="140">
      <c r="A140" s="1" t="s">
        <v>4</v>
      </c>
      <c r="B140" s="2" t="s">
        <v>142</v>
      </c>
    </row>
    <row r="141">
      <c r="A141" s="1" t="s">
        <v>4</v>
      </c>
      <c r="B141" s="1" t="s">
        <v>143</v>
      </c>
    </row>
    <row r="142">
      <c r="A142" s="1" t="s">
        <v>4</v>
      </c>
      <c r="B142" s="1" t="s">
        <v>144</v>
      </c>
    </row>
    <row r="143">
      <c r="A143" s="1" t="s">
        <v>4</v>
      </c>
      <c r="B143" s="2" t="s">
        <v>145</v>
      </c>
    </row>
    <row r="144">
      <c r="A144" s="1" t="s">
        <v>4</v>
      </c>
      <c r="B144" s="2" t="s">
        <v>146</v>
      </c>
    </row>
    <row r="145">
      <c r="A145" s="1" t="s">
        <v>2</v>
      </c>
      <c r="B145" s="2" t="s">
        <v>147</v>
      </c>
    </row>
    <row r="146">
      <c r="A146" s="1" t="s">
        <v>4</v>
      </c>
      <c r="B146" s="2" t="s">
        <v>148</v>
      </c>
    </row>
    <row r="147">
      <c r="A147" s="1" t="s">
        <v>4</v>
      </c>
      <c r="B147" s="2" t="s">
        <v>149</v>
      </c>
    </row>
    <row r="148">
      <c r="A148" s="1" t="s">
        <v>4</v>
      </c>
      <c r="B148" s="1" t="s">
        <v>150</v>
      </c>
    </row>
    <row r="149">
      <c r="A149" s="1" t="s">
        <v>2</v>
      </c>
      <c r="B149" s="1" t="s">
        <v>151</v>
      </c>
    </row>
    <row r="150">
      <c r="A150" s="1" t="s">
        <v>4</v>
      </c>
      <c r="B150" s="2" t="s">
        <v>152</v>
      </c>
    </row>
    <row r="151">
      <c r="A151" s="1" t="s">
        <v>4</v>
      </c>
      <c r="B151" s="2" t="s">
        <v>153</v>
      </c>
    </row>
    <row r="152">
      <c r="A152" s="1" t="s">
        <v>2</v>
      </c>
      <c r="B152" s="1" t="s">
        <v>154</v>
      </c>
    </row>
    <row r="153">
      <c r="A153" s="1" t="s">
        <v>4</v>
      </c>
      <c r="B153" s="1" t="s">
        <v>155</v>
      </c>
    </row>
    <row r="154">
      <c r="A154" s="1" t="s">
        <v>4</v>
      </c>
      <c r="B154" s="1" t="s">
        <v>156</v>
      </c>
    </row>
    <row r="155">
      <c r="A155" s="1" t="s">
        <v>4</v>
      </c>
      <c r="B155" s="2" t="s">
        <v>157</v>
      </c>
    </row>
    <row r="156">
      <c r="A156" s="1" t="s">
        <v>2</v>
      </c>
      <c r="B156" s="2" t="s">
        <v>158</v>
      </c>
    </row>
    <row r="157">
      <c r="A157" s="1" t="s">
        <v>4</v>
      </c>
      <c r="B157" s="1" t="s">
        <v>159</v>
      </c>
    </row>
    <row r="158">
      <c r="A158" s="1" t="s">
        <v>4</v>
      </c>
      <c r="B158" s="2" t="s">
        <v>160</v>
      </c>
    </row>
    <row r="159">
      <c r="A159" s="1" t="s">
        <v>4</v>
      </c>
      <c r="B159" s="2" t="s">
        <v>161</v>
      </c>
    </row>
    <row r="160">
      <c r="A160" s="1" t="s">
        <v>2</v>
      </c>
      <c r="B160" s="1" t="s">
        <v>162</v>
      </c>
    </row>
    <row r="161">
      <c r="A161" s="1" t="s">
        <v>2</v>
      </c>
      <c r="B161" s="1" t="s">
        <v>163</v>
      </c>
    </row>
    <row r="162">
      <c r="A162" s="1" t="s">
        <v>4</v>
      </c>
      <c r="B162" s="2" t="s">
        <v>164</v>
      </c>
    </row>
    <row r="163">
      <c r="A163" s="1" t="s">
        <v>4</v>
      </c>
      <c r="B163" s="2" t="s">
        <v>165</v>
      </c>
    </row>
    <row r="164">
      <c r="A164" s="1" t="s">
        <v>2</v>
      </c>
      <c r="B164" s="2" t="s">
        <v>166</v>
      </c>
    </row>
    <row r="165">
      <c r="A165" s="1" t="s">
        <v>2</v>
      </c>
      <c r="B165" s="2" t="s">
        <v>167</v>
      </c>
    </row>
    <row r="166">
      <c r="A166" s="1" t="s">
        <v>4</v>
      </c>
      <c r="B166" s="2" t="s">
        <v>168</v>
      </c>
    </row>
    <row r="167">
      <c r="A167" s="1" t="s">
        <v>2</v>
      </c>
      <c r="B167" s="1" t="s">
        <v>169</v>
      </c>
    </row>
    <row r="168">
      <c r="A168" s="1" t="s">
        <v>4</v>
      </c>
      <c r="B168" s="2" t="s">
        <v>170</v>
      </c>
    </row>
    <row r="169">
      <c r="A169" s="1" t="s">
        <v>2</v>
      </c>
      <c r="B169" s="2" t="s">
        <v>171</v>
      </c>
    </row>
    <row r="170">
      <c r="A170" s="1" t="s">
        <v>4</v>
      </c>
      <c r="B170" s="2" t="s">
        <v>172</v>
      </c>
    </row>
    <row r="171">
      <c r="A171" s="1" t="s">
        <v>2</v>
      </c>
      <c r="B171" s="1" t="s">
        <v>173</v>
      </c>
    </row>
    <row r="172">
      <c r="A172" s="1" t="s">
        <v>4</v>
      </c>
      <c r="B172" s="2" t="s">
        <v>174</v>
      </c>
    </row>
    <row r="173">
      <c r="A173" s="1" t="s">
        <v>4</v>
      </c>
      <c r="B173" s="1" t="s">
        <v>175</v>
      </c>
    </row>
    <row r="174">
      <c r="A174" s="1" t="s">
        <v>4</v>
      </c>
      <c r="B174" s="1" t="s">
        <v>176</v>
      </c>
    </row>
    <row r="175">
      <c r="A175" s="1" t="s">
        <v>4</v>
      </c>
      <c r="B175" s="1" t="s">
        <v>177</v>
      </c>
    </row>
    <row r="176">
      <c r="A176" s="1" t="s">
        <v>4</v>
      </c>
      <c r="B176" s="1" t="s">
        <v>178</v>
      </c>
    </row>
    <row r="177">
      <c r="A177" s="1" t="s">
        <v>2</v>
      </c>
      <c r="B177" s="1" t="s">
        <v>179</v>
      </c>
    </row>
    <row r="178">
      <c r="A178" s="1" t="s">
        <v>4</v>
      </c>
      <c r="B178" s="1" t="s">
        <v>180</v>
      </c>
    </row>
    <row r="179">
      <c r="A179" s="1" t="s">
        <v>4</v>
      </c>
      <c r="B179" s="1" t="s">
        <v>181</v>
      </c>
    </row>
    <row r="180">
      <c r="A180" s="1" t="s">
        <v>2</v>
      </c>
      <c r="B180" s="2" t="s">
        <v>182</v>
      </c>
    </row>
    <row r="181">
      <c r="A181" s="1" t="s">
        <v>4</v>
      </c>
      <c r="B181" s="1" t="s">
        <v>183</v>
      </c>
    </row>
    <row r="182">
      <c r="A182" s="1" t="s">
        <v>2</v>
      </c>
      <c r="B182" s="1" t="s">
        <v>184</v>
      </c>
    </row>
    <row r="183">
      <c r="A183" s="1" t="s">
        <v>4</v>
      </c>
      <c r="B183" s="1" t="s">
        <v>185</v>
      </c>
    </row>
    <row r="184">
      <c r="A184" s="1" t="s">
        <v>2</v>
      </c>
      <c r="B184" s="2" t="s">
        <v>186</v>
      </c>
    </row>
    <row r="185">
      <c r="A185" s="1" t="s">
        <v>2</v>
      </c>
      <c r="B185" s="2" t="s">
        <v>187</v>
      </c>
    </row>
    <row r="186">
      <c r="A186" s="1" t="s">
        <v>2</v>
      </c>
      <c r="B186" s="1" t="s">
        <v>188</v>
      </c>
    </row>
    <row r="187">
      <c r="A187" s="1" t="s">
        <v>4</v>
      </c>
      <c r="B187" s="2" t="s">
        <v>189</v>
      </c>
    </row>
    <row r="188">
      <c r="A188" s="1" t="s">
        <v>2</v>
      </c>
      <c r="B188" s="2" t="s">
        <v>190</v>
      </c>
    </row>
    <row r="189">
      <c r="A189" s="1" t="s">
        <v>191</v>
      </c>
      <c r="B189" s="1" t="s">
        <v>192</v>
      </c>
    </row>
    <row r="190">
      <c r="A190" s="1" t="s">
        <v>191</v>
      </c>
      <c r="B190" s="1" t="s">
        <v>193</v>
      </c>
    </row>
    <row r="191">
      <c r="A191" s="1" t="s">
        <v>191</v>
      </c>
      <c r="B191" s="2" t="s">
        <v>194</v>
      </c>
    </row>
    <row r="192">
      <c r="A192" s="1" t="s">
        <v>191</v>
      </c>
      <c r="B192" s="1" t="s">
        <v>195</v>
      </c>
    </row>
    <row r="193">
      <c r="A193" s="1" t="s">
        <v>191</v>
      </c>
      <c r="B193" s="2" t="s">
        <v>196</v>
      </c>
    </row>
    <row r="194">
      <c r="A194" s="1" t="s">
        <v>191</v>
      </c>
      <c r="B194" s="1" t="s">
        <v>197</v>
      </c>
    </row>
    <row r="195">
      <c r="A195" s="1" t="s">
        <v>191</v>
      </c>
      <c r="B195" s="1" t="s">
        <v>198</v>
      </c>
    </row>
    <row r="196">
      <c r="A196" s="1" t="s">
        <v>191</v>
      </c>
      <c r="B196" s="1" t="s">
        <v>199</v>
      </c>
    </row>
    <row r="197">
      <c r="A197" s="1" t="s">
        <v>191</v>
      </c>
      <c r="B197" s="2" t="s">
        <v>200</v>
      </c>
    </row>
    <row r="198">
      <c r="A198" s="1" t="s">
        <v>4</v>
      </c>
      <c r="B198" s="1" t="s">
        <v>201</v>
      </c>
    </row>
    <row r="199">
      <c r="A199" s="1" t="s">
        <v>2</v>
      </c>
      <c r="B199" s="2" t="s">
        <v>202</v>
      </c>
    </row>
    <row r="200">
      <c r="A200" s="1" t="s">
        <v>191</v>
      </c>
      <c r="B200" s="1" t="s">
        <v>203</v>
      </c>
    </row>
    <row r="201">
      <c r="A201" s="1" t="s">
        <v>191</v>
      </c>
      <c r="B201" s="1" t="s">
        <v>204</v>
      </c>
    </row>
    <row r="202">
      <c r="A202" s="1" t="s">
        <v>191</v>
      </c>
      <c r="B202" s="1" t="s">
        <v>205</v>
      </c>
    </row>
    <row r="203">
      <c r="A203" s="1" t="s">
        <v>191</v>
      </c>
      <c r="B203" s="2" t="s">
        <v>206</v>
      </c>
    </row>
    <row r="204">
      <c r="A204" s="1" t="s">
        <v>191</v>
      </c>
      <c r="B204" s="2" t="s">
        <v>207</v>
      </c>
    </row>
    <row r="205">
      <c r="A205" s="1" t="s">
        <v>191</v>
      </c>
      <c r="B205" s="1" t="s">
        <v>208</v>
      </c>
    </row>
    <row r="206">
      <c r="A206" s="1" t="s">
        <v>191</v>
      </c>
      <c r="B206" s="2" t="s">
        <v>209</v>
      </c>
    </row>
    <row r="207">
      <c r="A207" s="1" t="s">
        <v>191</v>
      </c>
      <c r="B207" s="2" t="s">
        <v>210</v>
      </c>
    </row>
    <row r="208">
      <c r="A208" s="1" t="s">
        <v>191</v>
      </c>
      <c r="B208" s="2" t="s">
        <v>211</v>
      </c>
    </row>
    <row r="209">
      <c r="A209" s="1" t="s">
        <v>191</v>
      </c>
      <c r="B209" s="2" t="s">
        <v>212</v>
      </c>
    </row>
    <row r="210">
      <c r="A210" s="1" t="s">
        <v>191</v>
      </c>
      <c r="B210" s="1" t="s">
        <v>213</v>
      </c>
    </row>
    <row r="211">
      <c r="A211" s="1" t="s">
        <v>191</v>
      </c>
      <c r="B211" s="2" t="s">
        <v>214</v>
      </c>
    </row>
    <row r="212">
      <c r="A212" s="1" t="s">
        <v>191</v>
      </c>
      <c r="B212" s="1" t="s">
        <v>215</v>
      </c>
    </row>
    <row r="213">
      <c r="A213" s="1" t="s">
        <v>191</v>
      </c>
      <c r="B213" s="1" t="s">
        <v>216</v>
      </c>
    </row>
    <row r="214">
      <c r="A214" s="1" t="s">
        <v>191</v>
      </c>
      <c r="B214" s="1" t="s">
        <v>217</v>
      </c>
    </row>
    <row r="215">
      <c r="A215" s="1" t="s">
        <v>191</v>
      </c>
      <c r="B215" s="1" t="s">
        <v>218</v>
      </c>
    </row>
    <row r="216">
      <c r="A216" s="1" t="s">
        <v>191</v>
      </c>
      <c r="B216" s="2" t="s">
        <v>219</v>
      </c>
    </row>
    <row r="217">
      <c r="A217" s="1" t="s">
        <v>191</v>
      </c>
      <c r="B217" s="2" t="s">
        <v>220</v>
      </c>
    </row>
    <row r="218">
      <c r="A218" s="1" t="s">
        <v>191</v>
      </c>
      <c r="B218" s="1" t="s">
        <v>221</v>
      </c>
    </row>
    <row r="219">
      <c r="A219" s="1" t="s">
        <v>191</v>
      </c>
      <c r="B219" s="1" t="s">
        <v>222</v>
      </c>
    </row>
    <row r="220">
      <c r="A220" s="1" t="s">
        <v>191</v>
      </c>
      <c r="B220" s="2" t="s">
        <v>223</v>
      </c>
    </row>
    <row r="221">
      <c r="A221" s="1" t="s">
        <v>191</v>
      </c>
      <c r="B221" s="2" t="s">
        <v>224</v>
      </c>
    </row>
    <row r="222">
      <c r="A222" s="1" t="s">
        <v>191</v>
      </c>
      <c r="B222" s="1" t="s">
        <v>225</v>
      </c>
    </row>
    <row r="223">
      <c r="A223" s="1" t="s">
        <v>191</v>
      </c>
      <c r="B223" s="2" t="s">
        <v>226</v>
      </c>
    </row>
    <row r="224">
      <c r="A224" s="1" t="s">
        <v>191</v>
      </c>
      <c r="B224" s="1" t="s">
        <v>227</v>
      </c>
    </row>
    <row r="225">
      <c r="A225" s="1" t="s">
        <v>4</v>
      </c>
      <c r="B225" s="2" t="s">
        <v>228</v>
      </c>
    </row>
    <row r="226">
      <c r="A226" s="1" t="s">
        <v>4</v>
      </c>
      <c r="B226" s="1" t="s">
        <v>229</v>
      </c>
    </row>
    <row r="227">
      <c r="A227" s="1" t="s">
        <v>191</v>
      </c>
      <c r="B227" s="2" t="s">
        <v>230</v>
      </c>
    </row>
    <row r="228">
      <c r="A228" s="1" t="s">
        <v>191</v>
      </c>
      <c r="B228" s="1" t="s">
        <v>231</v>
      </c>
    </row>
    <row r="229">
      <c r="A229" s="1" t="s">
        <v>191</v>
      </c>
      <c r="B229" s="2" t="s">
        <v>232</v>
      </c>
    </row>
    <row r="230">
      <c r="A230" s="1" t="s">
        <v>191</v>
      </c>
      <c r="B230" s="2" t="s">
        <v>233</v>
      </c>
    </row>
    <row r="231">
      <c r="A231" s="1" t="s">
        <v>191</v>
      </c>
      <c r="B231" s="2" t="s">
        <v>234</v>
      </c>
    </row>
    <row r="232">
      <c r="A232" s="1" t="s">
        <v>191</v>
      </c>
      <c r="B232" s="1" t="s">
        <v>235</v>
      </c>
    </row>
    <row r="233">
      <c r="A233" s="1" t="s">
        <v>191</v>
      </c>
      <c r="B233" s="2" t="s">
        <v>236</v>
      </c>
    </row>
    <row r="234">
      <c r="A234" s="1" t="s">
        <v>191</v>
      </c>
      <c r="B234" s="1" t="s">
        <v>237</v>
      </c>
    </row>
    <row r="235">
      <c r="A235" s="1" t="s">
        <v>191</v>
      </c>
      <c r="B235" s="1" t="s">
        <v>238</v>
      </c>
    </row>
    <row r="236">
      <c r="A236" s="1" t="s">
        <v>2</v>
      </c>
      <c r="B236" s="2" t="s">
        <v>239</v>
      </c>
    </row>
    <row r="237">
      <c r="A237" s="1" t="s">
        <v>191</v>
      </c>
      <c r="B237" s="1" t="s">
        <v>240</v>
      </c>
    </row>
    <row r="238">
      <c r="A238" s="1" t="s">
        <v>191</v>
      </c>
      <c r="B238" s="2" t="s">
        <v>241</v>
      </c>
    </row>
    <row r="239">
      <c r="A239" s="1" t="s">
        <v>191</v>
      </c>
      <c r="B239" s="2" t="s">
        <v>242</v>
      </c>
    </row>
    <row r="240">
      <c r="A240" s="1" t="s">
        <v>191</v>
      </c>
      <c r="B240" s="1" t="s">
        <v>243</v>
      </c>
    </row>
    <row r="241">
      <c r="A241" s="1" t="s">
        <v>191</v>
      </c>
      <c r="B241" s="2" t="s">
        <v>244</v>
      </c>
    </row>
    <row r="242">
      <c r="A242" s="1" t="s">
        <v>191</v>
      </c>
      <c r="B242" s="2" t="s">
        <v>245</v>
      </c>
    </row>
    <row r="243">
      <c r="A243" s="1" t="s">
        <v>191</v>
      </c>
      <c r="B243" s="1" t="s">
        <v>246</v>
      </c>
    </row>
    <row r="244">
      <c r="A244" s="1" t="s">
        <v>191</v>
      </c>
      <c r="B244" s="2" t="s">
        <v>247</v>
      </c>
    </row>
    <row r="245">
      <c r="A245" s="1" t="s">
        <v>191</v>
      </c>
      <c r="B245" s="2" t="s">
        <v>248</v>
      </c>
    </row>
    <row r="246">
      <c r="A246" s="1" t="s">
        <v>191</v>
      </c>
      <c r="B246" s="2" t="s">
        <v>249</v>
      </c>
    </row>
    <row r="247">
      <c r="A247" s="1" t="s">
        <v>191</v>
      </c>
      <c r="B247" s="2" t="s">
        <v>250</v>
      </c>
    </row>
    <row r="248">
      <c r="A248" s="1" t="s">
        <v>191</v>
      </c>
      <c r="B248" s="2" t="s">
        <v>251</v>
      </c>
    </row>
    <row r="249">
      <c r="A249" s="1" t="s">
        <v>191</v>
      </c>
      <c r="B249" s="1" t="s">
        <v>252</v>
      </c>
    </row>
    <row r="250">
      <c r="A250" s="1" t="s">
        <v>2</v>
      </c>
      <c r="B250" s="1" t="s">
        <v>253</v>
      </c>
    </row>
    <row r="251">
      <c r="A251" s="1" t="s">
        <v>191</v>
      </c>
      <c r="B251" s="2" t="s">
        <v>254</v>
      </c>
    </row>
    <row r="252">
      <c r="A252" s="1" t="s">
        <v>191</v>
      </c>
      <c r="B252" s="2" t="s">
        <v>255</v>
      </c>
    </row>
    <row r="253">
      <c r="A253" s="1" t="s">
        <v>191</v>
      </c>
      <c r="B253" s="2" t="s">
        <v>256</v>
      </c>
    </row>
    <row r="254">
      <c r="A254" s="1" t="s">
        <v>191</v>
      </c>
      <c r="B254" s="1" t="s">
        <v>257</v>
      </c>
    </row>
    <row r="255">
      <c r="A255" s="1" t="s">
        <v>191</v>
      </c>
      <c r="B255" s="2" t="s">
        <v>258</v>
      </c>
    </row>
    <row r="256">
      <c r="A256" s="1" t="s">
        <v>191</v>
      </c>
      <c r="B256" s="1" t="s">
        <v>259</v>
      </c>
    </row>
    <row r="257">
      <c r="A257" s="1" t="s">
        <v>191</v>
      </c>
      <c r="B257" s="2" t="s">
        <v>260</v>
      </c>
    </row>
    <row r="258">
      <c r="A258" s="1" t="s">
        <v>191</v>
      </c>
      <c r="B258" s="2" t="s">
        <v>261</v>
      </c>
    </row>
    <row r="259">
      <c r="A259" s="1" t="s">
        <v>191</v>
      </c>
      <c r="B259" s="2" t="s">
        <v>262</v>
      </c>
    </row>
    <row r="260">
      <c r="A260" s="1" t="s">
        <v>191</v>
      </c>
      <c r="B260" s="2" t="s">
        <v>263</v>
      </c>
    </row>
    <row r="261">
      <c r="A261" s="1" t="s">
        <v>2</v>
      </c>
      <c r="B261" s="2" t="s">
        <v>264</v>
      </c>
    </row>
    <row r="262">
      <c r="A262" s="1" t="s">
        <v>191</v>
      </c>
      <c r="B262" s="2" t="s">
        <v>265</v>
      </c>
    </row>
    <row r="263">
      <c r="A263" s="1" t="s">
        <v>191</v>
      </c>
      <c r="B263" s="2" t="s">
        <v>266</v>
      </c>
    </row>
    <row r="264">
      <c r="A264" s="1" t="s">
        <v>191</v>
      </c>
      <c r="B264" s="1" t="s">
        <v>267</v>
      </c>
    </row>
    <row r="265">
      <c r="A265" s="1" t="s">
        <v>191</v>
      </c>
      <c r="B265" s="1" t="s">
        <v>268</v>
      </c>
    </row>
    <row r="266">
      <c r="A266" s="1" t="s">
        <v>191</v>
      </c>
      <c r="B266" s="1" t="s">
        <v>269</v>
      </c>
    </row>
    <row r="267">
      <c r="A267" s="1" t="s">
        <v>2</v>
      </c>
      <c r="B267" s="1" t="s">
        <v>270</v>
      </c>
    </row>
    <row r="268">
      <c r="A268" s="1" t="s">
        <v>191</v>
      </c>
      <c r="B268" s="1" t="s">
        <v>271</v>
      </c>
    </row>
    <row r="269">
      <c r="A269" s="1" t="s">
        <v>191</v>
      </c>
      <c r="B269" s="1" t="s">
        <v>272</v>
      </c>
    </row>
    <row r="270">
      <c r="A270" s="1" t="s">
        <v>191</v>
      </c>
      <c r="B270" s="2" t="s">
        <v>273</v>
      </c>
    </row>
    <row r="271">
      <c r="A271" s="1" t="s">
        <v>4</v>
      </c>
      <c r="B271" s="1" t="s">
        <v>274</v>
      </c>
    </row>
    <row r="272">
      <c r="A272" s="1" t="s">
        <v>191</v>
      </c>
      <c r="B272" s="1" t="s">
        <v>275</v>
      </c>
    </row>
    <row r="273">
      <c r="A273" s="1" t="s">
        <v>191</v>
      </c>
      <c r="B273" s="1" t="s">
        <v>276</v>
      </c>
    </row>
    <row r="274">
      <c r="A274" s="1" t="s">
        <v>191</v>
      </c>
      <c r="B274" s="2" t="s">
        <v>277</v>
      </c>
    </row>
    <row r="275">
      <c r="A275" s="1" t="s">
        <v>191</v>
      </c>
      <c r="B275" s="2" t="s">
        <v>278</v>
      </c>
    </row>
    <row r="276">
      <c r="A276" s="1" t="s">
        <v>191</v>
      </c>
      <c r="B276" s="2" t="s">
        <v>279</v>
      </c>
    </row>
    <row r="277">
      <c r="A277" s="1" t="s">
        <v>191</v>
      </c>
      <c r="B277" s="2" t="s">
        <v>280</v>
      </c>
    </row>
    <row r="278">
      <c r="A278" s="1" t="s">
        <v>2</v>
      </c>
      <c r="B278" s="1" t="s">
        <v>281</v>
      </c>
    </row>
    <row r="279">
      <c r="A279" s="1" t="s">
        <v>2</v>
      </c>
      <c r="B279" s="2" t="s">
        <v>282</v>
      </c>
    </row>
    <row r="280">
      <c r="A280" s="1" t="s">
        <v>191</v>
      </c>
      <c r="B280" s="2" t="s">
        <v>283</v>
      </c>
    </row>
    <row r="281">
      <c r="A281" s="1" t="s">
        <v>191</v>
      </c>
      <c r="B281" s="2" t="s">
        <v>284</v>
      </c>
    </row>
    <row r="282">
      <c r="A282" s="1" t="s">
        <v>191</v>
      </c>
      <c r="B282" s="2" t="s">
        <v>285</v>
      </c>
    </row>
    <row r="283">
      <c r="A283" s="1" t="s">
        <v>191</v>
      </c>
      <c r="B283" s="2" t="s">
        <v>286</v>
      </c>
    </row>
    <row r="284">
      <c r="A284" s="1" t="s">
        <v>191</v>
      </c>
      <c r="B284" s="1" t="s">
        <v>287</v>
      </c>
    </row>
    <row r="285">
      <c r="A285" s="1" t="s">
        <v>191</v>
      </c>
      <c r="B285" s="1" t="s">
        <v>288</v>
      </c>
    </row>
    <row r="286">
      <c r="A286" s="1" t="s">
        <v>191</v>
      </c>
      <c r="B286" s="2" t="s">
        <v>289</v>
      </c>
    </row>
    <row r="287">
      <c r="A287" s="1" t="s">
        <v>191</v>
      </c>
      <c r="B287" s="1" t="s">
        <v>290</v>
      </c>
    </row>
    <row r="288">
      <c r="A288" s="1" t="s">
        <v>191</v>
      </c>
      <c r="B288" s="1" t="s">
        <v>291</v>
      </c>
    </row>
    <row r="289">
      <c r="A289" s="1" t="s">
        <v>191</v>
      </c>
      <c r="B289" s="1" t="s">
        <v>292</v>
      </c>
    </row>
    <row r="290">
      <c r="A290" s="1" t="s">
        <v>191</v>
      </c>
      <c r="B290" s="2" t="s">
        <v>293</v>
      </c>
    </row>
    <row r="291">
      <c r="A291" s="1" t="s">
        <v>191</v>
      </c>
      <c r="B291" s="1" t="s">
        <v>294</v>
      </c>
    </row>
    <row r="292">
      <c r="A292" s="1" t="s">
        <v>191</v>
      </c>
      <c r="B292" s="1" t="s">
        <v>295</v>
      </c>
    </row>
    <row r="293">
      <c r="A293" s="1" t="s">
        <v>191</v>
      </c>
      <c r="B293" s="1" t="s">
        <v>296</v>
      </c>
    </row>
    <row r="294">
      <c r="A294" s="1" t="s">
        <v>191</v>
      </c>
      <c r="B294" s="1" t="s">
        <v>297</v>
      </c>
    </row>
    <row r="295">
      <c r="A295" s="1" t="s">
        <v>191</v>
      </c>
      <c r="B295" s="1" t="s">
        <v>298</v>
      </c>
    </row>
    <row r="296">
      <c r="A296" s="1" t="s">
        <v>191</v>
      </c>
      <c r="B296" s="1" t="s">
        <v>299</v>
      </c>
    </row>
    <row r="297">
      <c r="A297" s="1" t="s">
        <v>191</v>
      </c>
      <c r="B297" s="1" t="s">
        <v>300</v>
      </c>
    </row>
    <row r="298">
      <c r="A298" s="1" t="s">
        <v>191</v>
      </c>
      <c r="B298" s="1" t="s">
        <v>301</v>
      </c>
    </row>
    <row r="299">
      <c r="A299" s="1" t="s">
        <v>191</v>
      </c>
      <c r="B299" s="1" t="s">
        <v>302</v>
      </c>
    </row>
    <row r="300">
      <c r="A300" s="1" t="s">
        <v>191</v>
      </c>
      <c r="B300" s="1" t="s">
        <v>303</v>
      </c>
    </row>
    <row r="301">
      <c r="A301" s="1" t="s">
        <v>191</v>
      </c>
      <c r="B301" s="2" t="s">
        <v>304</v>
      </c>
    </row>
    <row r="302">
      <c r="A302" s="1" t="s">
        <v>191</v>
      </c>
      <c r="B302" s="1" t="s">
        <v>305</v>
      </c>
    </row>
    <row r="303">
      <c r="A303" s="1" t="s">
        <v>4</v>
      </c>
      <c r="B303" s="2" t="s">
        <v>306</v>
      </c>
    </row>
    <row r="304">
      <c r="A304" s="1" t="s">
        <v>4</v>
      </c>
      <c r="B304" s="1" t="s">
        <v>307</v>
      </c>
    </row>
    <row r="305">
      <c r="A305" s="1" t="s">
        <v>191</v>
      </c>
      <c r="B305" s="1" t="s">
        <v>308</v>
      </c>
    </row>
    <row r="306">
      <c r="A306" s="1" t="s">
        <v>191</v>
      </c>
      <c r="B306" s="2" t="s">
        <v>309</v>
      </c>
    </row>
    <row r="307">
      <c r="A307" s="1" t="s">
        <v>191</v>
      </c>
      <c r="B307" s="2" t="s">
        <v>310</v>
      </c>
    </row>
    <row r="308">
      <c r="A308" s="1" t="s">
        <v>191</v>
      </c>
      <c r="B308" s="1" t="s">
        <v>311</v>
      </c>
    </row>
    <row r="309">
      <c r="A309" s="1" t="s">
        <v>191</v>
      </c>
      <c r="B309" s="2" t="s">
        <v>312</v>
      </c>
    </row>
    <row r="310">
      <c r="A310" s="1" t="s">
        <v>191</v>
      </c>
      <c r="B310" s="2" t="s">
        <v>313</v>
      </c>
    </row>
    <row r="311">
      <c r="A311" s="1" t="s">
        <v>191</v>
      </c>
      <c r="B311" s="2" t="s">
        <v>314</v>
      </c>
    </row>
    <row r="312">
      <c r="A312" s="1" t="s">
        <v>191</v>
      </c>
      <c r="B312" s="1" t="s">
        <v>315</v>
      </c>
    </row>
    <row r="313">
      <c r="A313" s="1" t="s">
        <v>191</v>
      </c>
      <c r="B313" s="2" t="s">
        <v>316</v>
      </c>
    </row>
    <row r="314">
      <c r="A314" s="1" t="s">
        <v>2</v>
      </c>
      <c r="B314" s="2" t="s">
        <v>317</v>
      </c>
    </row>
    <row r="315">
      <c r="A315" s="1" t="s">
        <v>191</v>
      </c>
      <c r="B315" s="1" t="s">
        <v>318</v>
      </c>
    </row>
    <row r="316">
      <c r="A316" s="1" t="s">
        <v>191</v>
      </c>
      <c r="B316" s="1" t="s">
        <v>319</v>
      </c>
    </row>
    <row r="317">
      <c r="A317" s="1" t="s">
        <v>191</v>
      </c>
      <c r="B317" s="2" t="s">
        <v>320</v>
      </c>
    </row>
    <row r="318">
      <c r="A318" s="1" t="s">
        <v>191</v>
      </c>
      <c r="B318" s="2" t="s">
        <v>321</v>
      </c>
    </row>
    <row r="319">
      <c r="A319" s="1" t="s">
        <v>191</v>
      </c>
      <c r="B319" s="1" t="s">
        <v>322</v>
      </c>
    </row>
    <row r="320">
      <c r="A320" s="1" t="s">
        <v>191</v>
      </c>
      <c r="B320" s="2" t="s">
        <v>323</v>
      </c>
    </row>
    <row r="321">
      <c r="A321" s="1" t="s">
        <v>2</v>
      </c>
      <c r="B321" s="1" t="s">
        <v>324</v>
      </c>
    </row>
    <row r="322">
      <c r="A322" s="1" t="s">
        <v>191</v>
      </c>
      <c r="B322" s="2" t="s">
        <v>325</v>
      </c>
    </row>
    <row r="323">
      <c r="A323" s="1" t="s">
        <v>191</v>
      </c>
      <c r="B323" s="2" t="s">
        <v>326</v>
      </c>
    </row>
    <row r="324">
      <c r="A324" s="1" t="s">
        <v>191</v>
      </c>
      <c r="B324" s="2" t="s">
        <v>327</v>
      </c>
    </row>
    <row r="325">
      <c r="A325" s="1" t="s">
        <v>191</v>
      </c>
      <c r="B325" s="2" t="s">
        <v>328</v>
      </c>
    </row>
    <row r="326">
      <c r="A326" s="1" t="s">
        <v>191</v>
      </c>
      <c r="B326" s="1" t="s">
        <v>329</v>
      </c>
    </row>
    <row r="327">
      <c r="A327" s="1" t="s">
        <v>191</v>
      </c>
      <c r="B327" s="2" t="s">
        <v>330</v>
      </c>
    </row>
    <row r="328">
      <c r="A328" s="1" t="s">
        <v>191</v>
      </c>
      <c r="B328" s="2" t="s">
        <v>331</v>
      </c>
    </row>
    <row r="329">
      <c r="A329" s="1" t="s">
        <v>191</v>
      </c>
      <c r="B329" s="2" t="s">
        <v>332</v>
      </c>
    </row>
    <row r="330">
      <c r="A330" s="1" t="s">
        <v>191</v>
      </c>
      <c r="B330" s="2" t="s">
        <v>333</v>
      </c>
    </row>
    <row r="331">
      <c r="A331" s="1" t="s">
        <v>191</v>
      </c>
      <c r="B331" s="1" t="s">
        <v>334</v>
      </c>
    </row>
    <row r="332">
      <c r="A332" s="1" t="s">
        <v>191</v>
      </c>
      <c r="B332" s="2" t="s">
        <v>335</v>
      </c>
    </row>
    <row r="333">
      <c r="A333" s="1" t="s">
        <v>4</v>
      </c>
      <c r="B333" s="1" t="s">
        <v>336</v>
      </c>
    </row>
    <row r="334">
      <c r="A334" s="1" t="s">
        <v>2</v>
      </c>
      <c r="B334" s="2" t="s">
        <v>337</v>
      </c>
    </row>
    <row r="335">
      <c r="A335" s="1" t="s">
        <v>191</v>
      </c>
      <c r="B335" s="1" t="s">
        <v>338</v>
      </c>
    </row>
    <row r="336">
      <c r="A336" s="1" t="s">
        <v>4</v>
      </c>
      <c r="B336" s="1" t="s">
        <v>339</v>
      </c>
    </row>
    <row r="337">
      <c r="A337" s="1" t="s">
        <v>191</v>
      </c>
      <c r="B337" s="2" t="s">
        <v>340</v>
      </c>
    </row>
    <row r="338">
      <c r="A338" s="1" t="s">
        <v>191</v>
      </c>
      <c r="B338" s="1" t="s">
        <v>341</v>
      </c>
    </row>
    <row r="339">
      <c r="A339" s="1" t="s">
        <v>191</v>
      </c>
      <c r="B339" s="1" t="s">
        <v>342</v>
      </c>
    </row>
    <row r="340">
      <c r="A340" s="1" t="s">
        <v>191</v>
      </c>
      <c r="B340" s="1" t="s">
        <v>343</v>
      </c>
    </row>
    <row r="341">
      <c r="A341" s="1" t="s">
        <v>191</v>
      </c>
      <c r="B341" s="2" t="s">
        <v>344</v>
      </c>
    </row>
    <row r="342">
      <c r="A342" s="1" t="s">
        <v>191</v>
      </c>
      <c r="B342" s="2" t="s">
        <v>345</v>
      </c>
    </row>
    <row r="343">
      <c r="A343" s="1" t="s">
        <v>191</v>
      </c>
      <c r="B343" s="2" t="s">
        <v>346</v>
      </c>
    </row>
    <row r="344">
      <c r="A344" s="1" t="s">
        <v>4</v>
      </c>
      <c r="B344" s="2" t="s">
        <v>347</v>
      </c>
    </row>
    <row r="345">
      <c r="A345" s="1" t="s">
        <v>191</v>
      </c>
      <c r="B345" s="2" t="s">
        <v>348</v>
      </c>
    </row>
    <row r="346">
      <c r="A346" s="1" t="s">
        <v>191</v>
      </c>
      <c r="B346" s="2" t="s">
        <v>349</v>
      </c>
    </row>
    <row r="347">
      <c r="A347" s="1" t="s">
        <v>191</v>
      </c>
      <c r="B347" s="2" t="s">
        <v>350</v>
      </c>
    </row>
    <row r="348">
      <c r="A348" s="1" t="s">
        <v>191</v>
      </c>
      <c r="B348" s="1" t="s">
        <v>351</v>
      </c>
    </row>
    <row r="349">
      <c r="A349" s="1" t="s">
        <v>191</v>
      </c>
      <c r="B349" s="2" t="s">
        <v>352</v>
      </c>
    </row>
    <row r="350">
      <c r="A350" s="1" t="s">
        <v>4</v>
      </c>
      <c r="B350" s="1" t="s">
        <v>353</v>
      </c>
    </row>
    <row r="351">
      <c r="A351" s="1" t="s">
        <v>191</v>
      </c>
      <c r="B351" s="1" t="s">
        <v>354</v>
      </c>
    </row>
    <row r="352">
      <c r="A352" s="1" t="s">
        <v>191</v>
      </c>
      <c r="B352" s="2" t="s">
        <v>355</v>
      </c>
    </row>
    <row r="353">
      <c r="A353" s="1" t="s">
        <v>191</v>
      </c>
      <c r="B353" s="1" t="s">
        <v>356</v>
      </c>
    </row>
    <row r="354">
      <c r="A354" s="1" t="s">
        <v>191</v>
      </c>
      <c r="B354" s="1" t="s">
        <v>357</v>
      </c>
    </row>
    <row r="355">
      <c r="A355" s="1" t="s">
        <v>191</v>
      </c>
      <c r="B355" s="1" t="s">
        <v>358</v>
      </c>
    </row>
    <row r="356">
      <c r="A356" s="1" t="s">
        <v>191</v>
      </c>
      <c r="B356" s="2" t="s">
        <v>359</v>
      </c>
    </row>
    <row r="357">
      <c r="A357" s="1" t="s">
        <v>191</v>
      </c>
      <c r="B357" s="2" t="s">
        <v>360</v>
      </c>
    </row>
    <row r="358">
      <c r="A358" s="1" t="s">
        <v>191</v>
      </c>
      <c r="B358" s="1" t="s">
        <v>361</v>
      </c>
    </row>
    <row r="359">
      <c r="A359" s="1" t="s">
        <v>191</v>
      </c>
      <c r="B359" s="2" t="s">
        <v>362</v>
      </c>
    </row>
    <row r="360">
      <c r="A360" s="1" t="s">
        <v>191</v>
      </c>
      <c r="B360" s="1" t="s">
        <v>363</v>
      </c>
    </row>
    <row r="361">
      <c r="A361" s="1" t="s">
        <v>191</v>
      </c>
      <c r="B361" s="2" t="s">
        <v>364</v>
      </c>
    </row>
    <row r="362">
      <c r="A362" s="1" t="s">
        <v>191</v>
      </c>
      <c r="B362" s="2" t="s">
        <v>365</v>
      </c>
    </row>
    <row r="363">
      <c r="A363" s="1" t="s">
        <v>191</v>
      </c>
      <c r="B363" s="1" t="s">
        <v>366</v>
      </c>
    </row>
    <row r="364">
      <c r="A364" s="1" t="s">
        <v>191</v>
      </c>
      <c r="B364" s="1" t="s">
        <v>367</v>
      </c>
    </row>
    <row r="365">
      <c r="A365" s="1" t="s">
        <v>191</v>
      </c>
      <c r="B365" s="1" t="s">
        <v>368</v>
      </c>
    </row>
    <row r="366">
      <c r="A366" s="1" t="s">
        <v>4</v>
      </c>
      <c r="B366" s="1" t="s">
        <v>369</v>
      </c>
    </row>
    <row r="367">
      <c r="A367" s="1" t="s">
        <v>191</v>
      </c>
      <c r="B367" s="1" t="s">
        <v>370</v>
      </c>
    </row>
    <row r="368">
      <c r="A368" s="1" t="s">
        <v>191</v>
      </c>
      <c r="B368" s="1" t="s">
        <v>371</v>
      </c>
    </row>
    <row r="369">
      <c r="A369" s="1" t="s">
        <v>191</v>
      </c>
      <c r="B369" s="1" t="s">
        <v>372</v>
      </c>
    </row>
    <row r="370">
      <c r="A370" s="1" t="s">
        <v>191</v>
      </c>
      <c r="B370" s="1" t="s">
        <v>373</v>
      </c>
    </row>
    <row r="371">
      <c r="A371" s="1" t="s">
        <v>191</v>
      </c>
      <c r="B371" s="1" t="s">
        <v>374</v>
      </c>
    </row>
    <row r="372">
      <c r="A372" s="1" t="s">
        <v>191</v>
      </c>
      <c r="B372" s="1" t="s">
        <v>375</v>
      </c>
    </row>
    <row r="373">
      <c r="A373" s="1" t="s">
        <v>191</v>
      </c>
      <c r="B373" s="1" t="s">
        <v>376</v>
      </c>
    </row>
    <row r="374">
      <c r="A374" s="1" t="s">
        <v>191</v>
      </c>
      <c r="B374" s="1" t="s">
        <v>377</v>
      </c>
    </row>
    <row r="375">
      <c r="A375" s="1" t="s">
        <v>191</v>
      </c>
      <c r="B375" s="1" t="s">
        <v>378</v>
      </c>
    </row>
    <row r="376">
      <c r="A376" s="1" t="s">
        <v>191</v>
      </c>
      <c r="B376" s="1" t="s">
        <v>379</v>
      </c>
    </row>
    <row r="377">
      <c r="A377" s="1" t="s">
        <v>191</v>
      </c>
      <c r="B377" s="1" t="s">
        <v>380</v>
      </c>
    </row>
    <row r="378">
      <c r="A378" s="1" t="s">
        <v>191</v>
      </c>
      <c r="B378" s="1" t="s">
        <v>381</v>
      </c>
    </row>
    <row r="379">
      <c r="A379" s="1" t="s">
        <v>191</v>
      </c>
      <c r="B379" s="2" t="s">
        <v>382</v>
      </c>
    </row>
    <row r="380">
      <c r="A380" s="1" t="s">
        <v>191</v>
      </c>
      <c r="B380" s="1" t="s">
        <v>383</v>
      </c>
    </row>
    <row r="381">
      <c r="A381" s="1" t="s">
        <v>4</v>
      </c>
      <c r="B381" s="1" t="s">
        <v>384</v>
      </c>
    </row>
    <row r="382">
      <c r="A382" s="1" t="s">
        <v>191</v>
      </c>
      <c r="B382" s="2" t="s">
        <v>385</v>
      </c>
    </row>
    <row r="383">
      <c r="A383" s="1" t="s">
        <v>2</v>
      </c>
      <c r="B383" s="1" t="s">
        <v>386</v>
      </c>
    </row>
    <row r="384">
      <c r="A384" s="1" t="s">
        <v>2</v>
      </c>
      <c r="B384" s="1" t="s">
        <v>387</v>
      </c>
    </row>
    <row r="385">
      <c r="A385" s="1" t="s">
        <v>4</v>
      </c>
      <c r="B385" s="2" t="s">
        <v>388</v>
      </c>
    </row>
    <row r="386">
      <c r="A386" s="1" t="s">
        <v>191</v>
      </c>
      <c r="B386" s="1" t="s">
        <v>389</v>
      </c>
    </row>
    <row r="387">
      <c r="A387" s="1" t="s">
        <v>191</v>
      </c>
      <c r="B387" s="2" t="s">
        <v>390</v>
      </c>
    </row>
    <row r="388">
      <c r="A388" s="1" t="s">
        <v>4</v>
      </c>
      <c r="B388" s="1" t="s">
        <v>391</v>
      </c>
    </row>
    <row r="389">
      <c r="A389" s="1" t="s">
        <v>4</v>
      </c>
      <c r="B389" s="1" t="s">
        <v>392</v>
      </c>
    </row>
    <row r="390">
      <c r="A390" s="1" t="s">
        <v>191</v>
      </c>
      <c r="B390" s="1" t="s">
        <v>393</v>
      </c>
    </row>
    <row r="391">
      <c r="A391" s="1" t="s">
        <v>191</v>
      </c>
      <c r="B391" s="1" t="s">
        <v>394</v>
      </c>
    </row>
    <row r="392">
      <c r="A392" s="1" t="s">
        <v>191</v>
      </c>
      <c r="B392" s="1" t="s">
        <v>395</v>
      </c>
    </row>
    <row r="393">
      <c r="A393" s="1" t="s">
        <v>191</v>
      </c>
      <c r="B393" s="2" t="s">
        <v>396</v>
      </c>
    </row>
    <row r="394">
      <c r="A394" s="1" t="s">
        <v>191</v>
      </c>
      <c r="B394" s="1" t="s">
        <v>397</v>
      </c>
    </row>
    <row r="395">
      <c r="A395" s="1" t="s">
        <v>191</v>
      </c>
      <c r="B395" s="1" t="s">
        <v>398</v>
      </c>
    </row>
    <row r="396">
      <c r="A396" s="1" t="s">
        <v>191</v>
      </c>
      <c r="B396" s="1" t="s">
        <v>399</v>
      </c>
    </row>
    <row r="397">
      <c r="A397" s="1" t="s">
        <v>191</v>
      </c>
      <c r="B397" s="1" t="s">
        <v>400</v>
      </c>
    </row>
    <row r="398">
      <c r="A398" s="1" t="s">
        <v>191</v>
      </c>
      <c r="B398" s="1" t="s">
        <v>401</v>
      </c>
    </row>
    <row r="399">
      <c r="A399" s="1" t="s">
        <v>191</v>
      </c>
      <c r="B399" s="2" t="s">
        <v>402</v>
      </c>
    </row>
    <row r="400">
      <c r="A400" s="1" t="s">
        <v>2</v>
      </c>
      <c r="B400" s="1" t="s">
        <v>403</v>
      </c>
    </row>
    <row r="401">
      <c r="A401" s="1" t="s">
        <v>4</v>
      </c>
      <c r="B401" s="1" t="s">
        <v>404</v>
      </c>
    </row>
    <row r="402">
      <c r="A402" s="1" t="s">
        <v>191</v>
      </c>
      <c r="B402" s="1" t="s">
        <v>405</v>
      </c>
    </row>
    <row r="403">
      <c r="A403" s="1" t="s">
        <v>191</v>
      </c>
      <c r="B403" s="2" t="s">
        <v>406</v>
      </c>
    </row>
    <row r="404">
      <c r="A404" s="1" t="s">
        <v>191</v>
      </c>
      <c r="B404" s="2" t="s">
        <v>407</v>
      </c>
    </row>
    <row r="405">
      <c r="A405" s="1" t="s">
        <v>191</v>
      </c>
      <c r="B405" s="1" t="s">
        <v>408</v>
      </c>
    </row>
    <row r="406">
      <c r="A406" s="1" t="s">
        <v>191</v>
      </c>
      <c r="B406" s="2" t="s">
        <v>409</v>
      </c>
    </row>
    <row r="407">
      <c r="A407" s="1" t="s">
        <v>191</v>
      </c>
      <c r="B407" s="1" t="s">
        <v>410</v>
      </c>
    </row>
    <row r="408">
      <c r="A408" s="1" t="s">
        <v>191</v>
      </c>
      <c r="B408" s="1" t="s">
        <v>411</v>
      </c>
    </row>
    <row r="409">
      <c r="A409" s="1" t="s">
        <v>191</v>
      </c>
      <c r="B409" s="2" t="s">
        <v>412</v>
      </c>
    </row>
    <row r="410">
      <c r="A410" s="1" t="s">
        <v>191</v>
      </c>
      <c r="B410" s="1" t="s">
        <v>413</v>
      </c>
    </row>
    <row r="411">
      <c r="A411" s="1" t="s">
        <v>191</v>
      </c>
      <c r="B411" s="1" t="s">
        <v>414</v>
      </c>
    </row>
    <row r="412">
      <c r="A412" s="1" t="s">
        <v>191</v>
      </c>
      <c r="B412" s="1" t="s">
        <v>415</v>
      </c>
    </row>
    <row r="413">
      <c r="A413" s="1" t="s">
        <v>191</v>
      </c>
      <c r="B413" s="1" t="s">
        <v>416</v>
      </c>
    </row>
    <row r="414">
      <c r="A414" s="1" t="s">
        <v>191</v>
      </c>
      <c r="B414" s="1" t="s">
        <v>417</v>
      </c>
    </row>
    <row r="415">
      <c r="A415" s="1" t="s">
        <v>191</v>
      </c>
      <c r="B415" s="1" t="s">
        <v>418</v>
      </c>
    </row>
    <row r="416">
      <c r="A416" s="1" t="s">
        <v>191</v>
      </c>
      <c r="B416" s="1" t="s">
        <v>419</v>
      </c>
    </row>
    <row r="417">
      <c r="A417" s="1" t="s">
        <v>191</v>
      </c>
      <c r="B417" s="1" t="s">
        <v>420</v>
      </c>
    </row>
    <row r="418">
      <c r="A418" s="1" t="s">
        <v>191</v>
      </c>
      <c r="B418" s="1" t="s">
        <v>421</v>
      </c>
    </row>
    <row r="419">
      <c r="A419" s="1" t="s">
        <v>191</v>
      </c>
      <c r="B419" s="1" t="s">
        <v>422</v>
      </c>
    </row>
    <row r="420">
      <c r="A420" s="1" t="s">
        <v>191</v>
      </c>
      <c r="B420" s="1" t="s">
        <v>423</v>
      </c>
    </row>
    <row r="421">
      <c r="A421" s="1" t="s">
        <v>191</v>
      </c>
      <c r="B421" s="1" t="s">
        <v>424</v>
      </c>
    </row>
    <row r="422">
      <c r="A422" s="1" t="s">
        <v>191</v>
      </c>
      <c r="B422" s="1" t="s">
        <v>425</v>
      </c>
    </row>
    <row r="423">
      <c r="A423" s="1" t="s">
        <v>191</v>
      </c>
      <c r="B423" s="2" t="s">
        <v>426</v>
      </c>
    </row>
    <row r="424">
      <c r="A424" s="1" t="s">
        <v>191</v>
      </c>
      <c r="B424" s="2" t="s">
        <v>427</v>
      </c>
    </row>
    <row r="425">
      <c r="A425" s="1" t="s">
        <v>191</v>
      </c>
      <c r="B425" s="1" t="s">
        <v>428</v>
      </c>
    </row>
    <row r="426">
      <c r="A426" s="1" t="s">
        <v>191</v>
      </c>
      <c r="B426" s="1" t="s">
        <v>429</v>
      </c>
    </row>
    <row r="427">
      <c r="A427" s="1" t="s">
        <v>4</v>
      </c>
      <c r="B427" s="1" t="s">
        <v>430</v>
      </c>
    </row>
    <row r="428">
      <c r="A428" s="1" t="s">
        <v>191</v>
      </c>
      <c r="B428" s="1" t="s">
        <v>431</v>
      </c>
    </row>
    <row r="429">
      <c r="A429" s="1" t="s">
        <v>191</v>
      </c>
      <c r="B429" s="1" t="s">
        <v>432</v>
      </c>
    </row>
    <row r="430">
      <c r="A430" s="1" t="s">
        <v>191</v>
      </c>
      <c r="B430" s="2" t="s">
        <v>433</v>
      </c>
    </row>
    <row r="431">
      <c r="A431" s="1" t="s">
        <v>2</v>
      </c>
      <c r="B431" s="1" t="s">
        <v>434</v>
      </c>
    </row>
    <row r="432">
      <c r="A432" s="1" t="s">
        <v>191</v>
      </c>
      <c r="B432" s="1" t="s">
        <v>435</v>
      </c>
    </row>
    <row r="433">
      <c r="A433" s="1" t="s">
        <v>191</v>
      </c>
      <c r="B433" s="2" t="s">
        <v>436</v>
      </c>
    </row>
    <row r="434">
      <c r="A434" s="1" t="s">
        <v>191</v>
      </c>
      <c r="B434" s="1" t="s">
        <v>437</v>
      </c>
    </row>
    <row r="435">
      <c r="A435" s="1" t="s">
        <v>191</v>
      </c>
      <c r="B435" s="1" t="s">
        <v>438</v>
      </c>
    </row>
    <row r="436">
      <c r="A436" s="1" t="s">
        <v>191</v>
      </c>
      <c r="B436" s="1" t="s">
        <v>439</v>
      </c>
    </row>
    <row r="437">
      <c r="A437" s="1" t="s">
        <v>191</v>
      </c>
      <c r="B437" s="2" t="s">
        <v>440</v>
      </c>
    </row>
    <row r="438">
      <c r="A438" s="1" t="s">
        <v>4</v>
      </c>
      <c r="B438" s="1" t="s">
        <v>441</v>
      </c>
    </row>
    <row r="439">
      <c r="A439" s="1" t="s">
        <v>191</v>
      </c>
      <c r="B439" s="2" t="s">
        <v>442</v>
      </c>
    </row>
    <row r="440">
      <c r="A440" s="1" t="s">
        <v>191</v>
      </c>
      <c r="B440" s="1" t="s">
        <v>443</v>
      </c>
    </row>
    <row r="441">
      <c r="A441" s="1" t="s">
        <v>191</v>
      </c>
      <c r="B441" s="1" t="s">
        <v>444</v>
      </c>
    </row>
    <row r="442">
      <c r="A442" s="1" t="s">
        <v>191</v>
      </c>
      <c r="B442" s="2" t="s">
        <v>445</v>
      </c>
    </row>
    <row r="443">
      <c r="A443" s="1" t="s">
        <v>191</v>
      </c>
      <c r="B443" s="1" t="s">
        <v>446</v>
      </c>
    </row>
    <row r="444">
      <c r="A444" s="1" t="s">
        <v>191</v>
      </c>
      <c r="B444" s="1" t="s">
        <v>447</v>
      </c>
    </row>
    <row r="445">
      <c r="A445" s="1" t="s">
        <v>191</v>
      </c>
      <c r="B445" s="1" t="s">
        <v>448</v>
      </c>
    </row>
    <row r="446">
      <c r="A446" s="1" t="s">
        <v>191</v>
      </c>
      <c r="B446" s="1" t="s">
        <v>449</v>
      </c>
    </row>
    <row r="447">
      <c r="A447" s="1" t="s">
        <v>2</v>
      </c>
      <c r="B447" s="2" t="s">
        <v>450</v>
      </c>
    </row>
    <row r="448">
      <c r="A448" s="1" t="s">
        <v>191</v>
      </c>
      <c r="B448" s="2" t="s">
        <v>451</v>
      </c>
    </row>
    <row r="449">
      <c r="A449" s="1" t="s">
        <v>191</v>
      </c>
      <c r="B449" s="1" t="s">
        <v>452</v>
      </c>
    </row>
    <row r="450">
      <c r="A450" s="1" t="s">
        <v>191</v>
      </c>
      <c r="B450" s="1" t="s">
        <v>453</v>
      </c>
    </row>
    <row r="451">
      <c r="A451" s="1" t="s">
        <v>191</v>
      </c>
      <c r="B451" s="1" t="s">
        <v>454</v>
      </c>
    </row>
    <row r="452">
      <c r="A452" s="1" t="s">
        <v>191</v>
      </c>
      <c r="B452" s="1" t="s">
        <v>455</v>
      </c>
    </row>
    <row r="453">
      <c r="A453" s="1" t="s">
        <v>191</v>
      </c>
      <c r="B453" s="2" t="s">
        <v>456</v>
      </c>
    </row>
    <row r="454">
      <c r="A454" s="1" t="s">
        <v>191</v>
      </c>
      <c r="B454" s="1" t="s">
        <v>457</v>
      </c>
    </row>
    <row r="455">
      <c r="A455" s="1" t="s">
        <v>191</v>
      </c>
      <c r="B455" s="2" t="s">
        <v>458</v>
      </c>
    </row>
    <row r="456">
      <c r="A456" s="1" t="s">
        <v>2</v>
      </c>
      <c r="B456" s="1" t="s">
        <v>459</v>
      </c>
    </row>
    <row r="457">
      <c r="A457" s="1" t="s">
        <v>191</v>
      </c>
      <c r="B457" s="2" t="s">
        <v>460</v>
      </c>
    </row>
    <row r="458">
      <c r="A458" s="1" t="s">
        <v>4</v>
      </c>
      <c r="B458" s="1" t="s">
        <v>461</v>
      </c>
    </row>
    <row r="459">
      <c r="A459" s="1" t="s">
        <v>191</v>
      </c>
      <c r="B459" s="1" t="s">
        <v>462</v>
      </c>
    </row>
    <row r="460">
      <c r="A460" s="1" t="s">
        <v>191</v>
      </c>
      <c r="B460" s="2" t="s">
        <v>463</v>
      </c>
    </row>
    <row r="461">
      <c r="A461" s="1" t="s">
        <v>2</v>
      </c>
      <c r="B461" s="1" t="s">
        <v>464</v>
      </c>
    </row>
    <row r="462">
      <c r="A462" s="1" t="s">
        <v>191</v>
      </c>
      <c r="B462" s="1" t="s">
        <v>465</v>
      </c>
    </row>
    <row r="463">
      <c r="A463" s="1" t="s">
        <v>191</v>
      </c>
      <c r="B463" s="2" t="s">
        <v>466</v>
      </c>
    </row>
    <row r="464">
      <c r="A464" s="1" t="s">
        <v>191</v>
      </c>
      <c r="B464" s="1" t="s">
        <v>467</v>
      </c>
    </row>
    <row r="465">
      <c r="A465" s="1" t="s">
        <v>191</v>
      </c>
      <c r="B465" s="1" t="s">
        <v>468</v>
      </c>
    </row>
    <row r="466">
      <c r="A466" s="1" t="s">
        <v>4</v>
      </c>
      <c r="B466" s="2" t="s">
        <v>469</v>
      </c>
    </row>
    <row r="467">
      <c r="A467" s="1" t="s">
        <v>191</v>
      </c>
      <c r="B467" s="1" t="s">
        <v>470</v>
      </c>
    </row>
    <row r="468">
      <c r="A468" s="1" t="s">
        <v>191</v>
      </c>
      <c r="B468" s="1" t="s">
        <v>471</v>
      </c>
    </row>
    <row r="469">
      <c r="A469" s="1" t="s">
        <v>191</v>
      </c>
      <c r="B469" s="1" t="s">
        <v>472</v>
      </c>
    </row>
    <row r="470">
      <c r="A470" s="1" t="s">
        <v>191</v>
      </c>
      <c r="B470" s="1" t="s">
        <v>473</v>
      </c>
    </row>
    <row r="471">
      <c r="A471" s="1" t="s">
        <v>191</v>
      </c>
      <c r="B471" s="1" t="s">
        <v>474</v>
      </c>
    </row>
    <row r="472">
      <c r="A472" s="1" t="s">
        <v>4</v>
      </c>
      <c r="B472" s="2" t="s">
        <v>475</v>
      </c>
    </row>
    <row r="473">
      <c r="A473" s="1" t="s">
        <v>191</v>
      </c>
      <c r="B473" s="2" t="s">
        <v>476</v>
      </c>
    </row>
    <row r="474">
      <c r="A474" s="1" t="s">
        <v>191</v>
      </c>
      <c r="B474" s="1" t="s">
        <v>477</v>
      </c>
    </row>
    <row r="475">
      <c r="A475" s="1" t="s">
        <v>191</v>
      </c>
      <c r="B475" s="1" t="s">
        <v>478</v>
      </c>
    </row>
    <row r="476">
      <c r="A476" s="1" t="s">
        <v>191</v>
      </c>
      <c r="B476" s="2" t="s">
        <v>479</v>
      </c>
    </row>
    <row r="477">
      <c r="A477" s="1" t="s">
        <v>191</v>
      </c>
      <c r="B477" s="1" t="s">
        <v>480</v>
      </c>
    </row>
    <row r="478">
      <c r="A478" s="1" t="s">
        <v>191</v>
      </c>
      <c r="B478" s="1" t="s">
        <v>481</v>
      </c>
    </row>
    <row r="479">
      <c r="A479" s="1" t="s">
        <v>4</v>
      </c>
      <c r="B479" s="1" t="s">
        <v>482</v>
      </c>
    </row>
    <row r="480">
      <c r="A480" s="1" t="s">
        <v>191</v>
      </c>
      <c r="B480" s="1" t="s">
        <v>483</v>
      </c>
    </row>
    <row r="481">
      <c r="A481" s="1" t="s">
        <v>4</v>
      </c>
      <c r="B481" s="1" t="s">
        <v>484</v>
      </c>
    </row>
    <row r="482">
      <c r="A482" s="1" t="s">
        <v>4</v>
      </c>
      <c r="B482" s="1" t="s">
        <v>485</v>
      </c>
    </row>
    <row r="483">
      <c r="A483" s="1" t="s">
        <v>191</v>
      </c>
      <c r="B483" s="1" t="s">
        <v>486</v>
      </c>
    </row>
    <row r="484">
      <c r="A484" s="1" t="s">
        <v>191</v>
      </c>
      <c r="B484" s="1" t="s">
        <v>487</v>
      </c>
    </row>
    <row r="485">
      <c r="A485" s="1" t="s">
        <v>4</v>
      </c>
      <c r="B485" s="1" t="s">
        <v>488</v>
      </c>
    </row>
    <row r="486">
      <c r="A486" s="1" t="s">
        <v>191</v>
      </c>
      <c r="B486" s="1" t="s">
        <v>489</v>
      </c>
    </row>
    <row r="487">
      <c r="A487" s="1" t="s">
        <v>191</v>
      </c>
      <c r="B487" s="1" t="s">
        <v>490</v>
      </c>
    </row>
    <row r="488">
      <c r="A488" s="1" t="s">
        <v>191</v>
      </c>
      <c r="B488" s="1" t="s">
        <v>491</v>
      </c>
    </row>
    <row r="489">
      <c r="A489" s="1" t="s">
        <v>191</v>
      </c>
      <c r="B489" s="1" t="s">
        <v>492</v>
      </c>
    </row>
    <row r="490">
      <c r="A490" s="1" t="s">
        <v>191</v>
      </c>
      <c r="B490" s="1" t="s">
        <v>493</v>
      </c>
    </row>
    <row r="491">
      <c r="A491" s="1" t="s">
        <v>191</v>
      </c>
      <c r="B491" s="1" t="s">
        <v>494</v>
      </c>
    </row>
    <row r="492">
      <c r="A492" s="1" t="s">
        <v>191</v>
      </c>
      <c r="B492" s="1" t="s">
        <v>495</v>
      </c>
    </row>
    <row r="493">
      <c r="A493" s="1" t="s">
        <v>191</v>
      </c>
      <c r="B493" s="1" t="s">
        <v>496</v>
      </c>
    </row>
    <row r="494">
      <c r="A494" s="1" t="s">
        <v>191</v>
      </c>
      <c r="B494" s="1" t="s">
        <v>497</v>
      </c>
    </row>
    <row r="495">
      <c r="A495" s="1" t="s">
        <v>191</v>
      </c>
      <c r="B495" s="1" t="s">
        <v>498</v>
      </c>
    </row>
    <row r="496">
      <c r="A496" s="1" t="s">
        <v>4</v>
      </c>
      <c r="B496" s="1" t="s">
        <v>499</v>
      </c>
    </row>
    <row r="497">
      <c r="A497" s="1" t="s">
        <v>191</v>
      </c>
      <c r="B497" s="2" t="s">
        <v>500</v>
      </c>
    </row>
    <row r="498">
      <c r="A498" s="1" t="s">
        <v>191</v>
      </c>
      <c r="B498" s="1" t="s">
        <v>501</v>
      </c>
    </row>
    <row r="499">
      <c r="A499" s="1" t="s">
        <v>4</v>
      </c>
      <c r="B499" s="1" t="s">
        <v>502</v>
      </c>
    </row>
    <row r="500">
      <c r="A500" s="1" t="s">
        <v>2</v>
      </c>
      <c r="B500" s="1" t="s">
        <v>503</v>
      </c>
    </row>
    <row r="501">
      <c r="A501" s="1" t="s">
        <v>191</v>
      </c>
      <c r="B501" s="1" t="s">
        <v>504</v>
      </c>
    </row>
    <row r="502">
      <c r="A502" s="1" t="s">
        <v>191</v>
      </c>
      <c r="B502" s="1" t="s">
        <v>505</v>
      </c>
    </row>
    <row r="503">
      <c r="A503" s="1" t="s">
        <v>191</v>
      </c>
      <c r="B503" s="1" t="s">
        <v>506</v>
      </c>
    </row>
    <row r="504">
      <c r="A504" s="1" t="s">
        <v>191</v>
      </c>
      <c r="B504" s="1" t="s">
        <v>507</v>
      </c>
    </row>
    <row r="505">
      <c r="A505" s="1" t="s">
        <v>191</v>
      </c>
      <c r="B505" s="1" t="s">
        <v>508</v>
      </c>
    </row>
    <row r="506">
      <c r="A506" s="1" t="s">
        <v>191</v>
      </c>
      <c r="B506" s="1" t="s">
        <v>509</v>
      </c>
    </row>
    <row r="507">
      <c r="A507" s="1" t="s">
        <v>191</v>
      </c>
      <c r="B507" s="1" t="s">
        <v>510</v>
      </c>
    </row>
    <row r="508">
      <c r="A508" s="1" t="s">
        <v>191</v>
      </c>
      <c r="B508" s="1" t="s">
        <v>511</v>
      </c>
    </row>
    <row r="509">
      <c r="A509" s="1" t="s">
        <v>191</v>
      </c>
      <c r="B509" s="2" t="s">
        <v>512</v>
      </c>
    </row>
    <row r="510">
      <c r="A510" s="1" t="s">
        <v>191</v>
      </c>
      <c r="B510" s="1" t="s">
        <v>513</v>
      </c>
    </row>
    <row r="511">
      <c r="A511" s="1" t="s">
        <v>191</v>
      </c>
      <c r="B511" s="1" t="s">
        <v>514</v>
      </c>
    </row>
    <row r="512">
      <c r="A512" s="1" t="s">
        <v>191</v>
      </c>
      <c r="B512" s="2" t="s">
        <v>515</v>
      </c>
    </row>
    <row r="513">
      <c r="A513" s="1" t="s">
        <v>191</v>
      </c>
      <c r="B513" s="1" t="s">
        <v>516</v>
      </c>
    </row>
    <row r="514">
      <c r="A514" s="1" t="s">
        <v>191</v>
      </c>
      <c r="B514" s="2" t="s">
        <v>517</v>
      </c>
    </row>
    <row r="515">
      <c r="A515" s="1" t="s">
        <v>191</v>
      </c>
      <c r="B515" s="1" t="s">
        <v>518</v>
      </c>
    </row>
    <row r="516">
      <c r="A516" s="1" t="s">
        <v>191</v>
      </c>
      <c r="B516" s="2" t="s">
        <v>519</v>
      </c>
    </row>
    <row r="517">
      <c r="A517" s="1" t="s">
        <v>4</v>
      </c>
      <c r="B517" s="2" t="s">
        <v>520</v>
      </c>
    </row>
    <row r="518">
      <c r="A518" s="1" t="s">
        <v>191</v>
      </c>
      <c r="B518" s="1" t="s">
        <v>521</v>
      </c>
    </row>
    <row r="519">
      <c r="A519" s="1" t="s">
        <v>191</v>
      </c>
      <c r="B519" s="1" t="s">
        <v>522</v>
      </c>
    </row>
    <row r="520">
      <c r="A520" s="1" t="s">
        <v>191</v>
      </c>
      <c r="B520" s="2" t="s">
        <v>523</v>
      </c>
    </row>
    <row r="521">
      <c r="A521" s="1" t="s">
        <v>191</v>
      </c>
      <c r="B521" s="2" t="s">
        <v>524</v>
      </c>
    </row>
    <row r="522">
      <c r="A522" s="1" t="s">
        <v>191</v>
      </c>
      <c r="B522" s="2" t="s">
        <v>525</v>
      </c>
    </row>
    <row r="523">
      <c r="A523" s="1" t="s">
        <v>191</v>
      </c>
      <c r="B523" s="2" t="s">
        <v>526</v>
      </c>
    </row>
    <row r="524">
      <c r="A524" s="1" t="s">
        <v>191</v>
      </c>
      <c r="B524" s="2" t="s">
        <v>527</v>
      </c>
    </row>
    <row r="525">
      <c r="A525" s="1" t="s">
        <v>4</v>
      </c>
      <c r="B525" s="2" t="s">
        <v>528</v>
      </c>
    </row>
    <row r="526">
      <c r="A526" s="1" t="s">
        <v>191</v>
      </c>
      <c r="B526" s="2" t="s">
        <v>529</v>
      </c>
    </row>
    <row r="527">
      <c r="A527" s="1" t="s">
        <v>191</v>
      </c>
      <c r="B527" s="2" t="s">
        <v>530</v>
      </c>
    </row>
    <row r="528">
      <c r="A528" s="1" t="s">
        <v>191</v>
      </c>
      <c r="B528" s="1" t="s">
        <v>531</v>
      </c>
    </row>
    <row r="529">
      <c r="A529" s="1" t="s">
        <v>191</v>
      </c>
      <c r="B529" s="1" t="s">
        <v>532</v>
      </c>
    </row>
    <row r="530">
      <c r="A530" s="1" t="s">
        <v>191</v>
      </c>
      <c r="B530" s="1" t="s">
        <v>533</v>
      </c>
    </row>
    <row r="531">
      <c r="A531" s="1" t="s">
        <v>2</v>
      </c>
      <c r="B531" s="1" t="s">
        <v>534</v>
      </c>
    </row>
    <row r="532">
      <c r="A532" s="1" t="s">
        <v>191</v>
      </c>
      <c r="B532" s="1" t="s">
        <v>535</v>
      </c>
    </row>
    <row r="533">
      <c r="A533" s="1" t="s">
        <v>191</v>
      </c>
      <c r="B533" s="1" t="s">
        <v>536</v>
      </c>
    </row>
    <row r="534">
      <c r="A534" s="1" t="s">
        <v>191</v>
      </c>
      <c r="B534" s="2" t="s">
        <v>537</v>
      </c>
    </row>
    <row r="535">
      <c r="A535" s="1" t="s">
        <v>191</v>
      </c>
      <c r="B535" s="2" t="s">
        <v>538</v>
      </c>
    </row>
    <row r="536">
      <c r="A536" s="1" t="s">
        <v>191</v>
      </c>
      <c r="B536" s="1" t="s">
        <v>539</v>
      </c>
    </row>
    <row r="537">
      <c r="A537" s="1" t="s">
        <v>191</v>
      </c>
      <c r="B537" s="1" t="s">
        <v>540</v>
      </c>
    </row>
    <row r="538">
      <c r="A538" s="1" t="s">
        <v>191</v>
      </c>
      <c r="B538" s="2" t="s">
        <v>541</v>
      </c>
    </row>
    <row r="539">
      <c r="A539" s="1" t="s">
        <v>191</v>
      </c>
      <c r="B539" s="1" t="s">
        <v>542</v>
      </c>
    </row>
    <row r="540">
      <c r="A540" s="1" t="s">
        <v>191</v>
      </c>
      <c r="B540" s="2" t="s">
        <v>543</v>
      </c>
    </row>
    <row r="541">
      <c r="A541" s="1" t="s">
        <v>191</v>
      </c>
      <c r="B541" s="2" t="s">
        <v>544</v>
      </c>
    </row>
    <row r="542">
      <c r="A542" s="1" t="s">
        <v>191</v>
      </c>
      <c r="B542" s="1" t="s">
        <v>545</v>
      </c>
    </row>
    <row r="543">
      <c r="A543" s="1" t="s">
        <v>4</v>
      </c>
      <c r="B543" s="2" t="s">
        <v>546</v>
      </c>
    </row>
    <row r="544">
      <c r="A544" s="1" t="s">
        <v>191</v>
      </c>
      <c r="B544" s="1" t="s">
        <v>547</v>
      </c>
    </row>
    <row r="545">
      <c r="A545" s="1" t="s">
        <v>191</v>
      </c>
      <c r="B545" s="2" t="s">
        <v>548</v>
      </c>
    </row>
    <row r="546">
      <c r="A546" s="1" t="s">
        <v>191</v>
      </c>
      <c r="B546" s="2" t="s">
        <v>549</v>
      </c>
    </row>
    <row r="547">
      <c r="A547" s="1" t="s">
        <v>191</v>
      </c>
      <c r="B547" s="1" t="s">
        <v>550</v>
      </c>
    </row>
    <row r="548">
      <c r="A548" s="1" t="s">
        <v>191</v>
      </c>
      <c r="B548" s="2" t="s">
        <v>551</v>
      </c>
    </row>
    <row r="549">
      <c r="A549" s="1" t="s">
        <v>191</v>
      </c>
      <c r="B549" s="2" t="s">
        <v>552</v>
      </c>
    </row>
    <row r="550">
      <c r="A550" s="1" t="s">
        <v>191</v>
      </c>
      <c r="B550" s="1" t="s">
        <v>553</v>
      </c>
    </row>
    <row r="551">
      <c r="A551" s="1" t="s">
        <v>191</v>
      </c>
      <c r="B551" s="1" t="s">
        <v>554</v>
      </c>
    </row>
    <row r="552">
      <c r="A552" s="1" t="s">
        <v>191</v>
      </c>
      <c r="B552" s="1" t="s">
        <v>555</v>
      </c>
    </row>
    <row r="553">
      <c r="A553" s="1" t="s">
        <v>191</v>
      </c>
      <c r="B553" s="2" t="s">
        <v>556</v>
      </c>
    </row>
    <row r="554">
      <c r="A554" s="1" t="s">
        <v>191</v>
      </c>
      <c r="B554" s="1" t="s">
        <v>557</v>
      </c>
    </row>
    <row r="555">
      <c r="A555" s="1" t="s">
        <v>191</v>
      </c>
      <c r="B555" s="1" t="s">
        <v>558</v>
      </c>
    </row>
    <row r="556">
      <c r="A556" s="1" t="s">
        <v>4</v>
      </c>
      <c r="B556" s="1" t="s">
        <v>559</v>
      </c>
    </row>
    <row r="557">
      <c r="A557" s="1" t="s">
        <v>191</v>
      </c>
      <c r="B557" s="2" t="s">
        <v>560</v>
      </c>
    </row>
    <row r="558">
      <c r="A558" s="1" t="s">
        <v>191</v>
      </c>
      <c r="B558" s="2" t="s">
        <v>561</v>
      </c>
    </row>
    <row r="559">
      <c r="A559" s="1" t="s">
        <v>191</v>
      </c>
      <c r="B559" s="1" t="s">
        <v>562</v>
      </c>
    </row>
    <row r="560">
      <c r="A560" s="1" t="s">
        <v>191</v>
      </c>
      <c r="B560" s="1" t="s">
        <v>563</v>
      </c>
    </row>
    <row r="561">
      <c r="A561" s="1" t="s">
        <v>191</v>
      </c>
      <c r="B561" s="1" t="s">
        <v>564</v>
      </c>
    </row>
    <row r="562">
      <c r="A562" s="1" t="s">
        <v>191</v>
      </c>
      <c r="B562" s="2" t="s">
        <v>565</v>
      </c>
    </row>
    <row r="563">
      <c r="A563" s="1" t="s">
        <v>191</v>
      </c>
      <c r="B563" s="1" t="s">
        <v>566</v>
      </c>
    </row>
    <row r="564">
      <c r="A564" s="1" t="s">
        <v>191</v>
      </c>
      <c r="B564" s="2" t="s">
        <v>567</v>
      </c>
    </row>
    <row r="565">
      <c r="A565" s="1" t="s">
        <v>191</v>
      </c>
      <c r="B565" s="2" t="s">
        <v>568</v>
      </c>
    </row>
    <row r="566">
      <c r="A566" s="1" t="s">
        <v>191</v>
      </c>
      <c r="B566" s="1" t="s">
        <v>569</v>
      </c>
    </row>
    <row r="567">
      <c r="A567" s="1" t="s">
        <v>191</v>
      </c>
      <c r="B567" s="1" t="s">
        <v>570</v>
      </c>
    </row>
    <row r="568">
      <c r="A568" s="1" t="s">
        <v>191</v>
      </c>
      <c r="B568" s="2" t="s">
        <v>571</v>
      </c>
    </row>
    <row r="569">
      <c r="A569" s="1" t="s">
        <v>191</v>
      </c>
      <c r="B569" s="1" t="s">
        <v>572</v>
      </c>
    </row>
    <row r="570">
      <c r="A570" s="1" t="s">
        <v>191</v>
      </c>
      <c r="B570" s="1" t="s">
        <v>573</v>
      </c>
    </row>
    <row r="571">
      <c r="A571" s="1" t="s">
        <v>191</v>
      </c>
      <c r="B571" s="1" t="s">
        <v>574</v>
      </c>
    </row>
    <row r="572">
      <c r="A572" s="1" t="s">
        <v>191</v>
      </c>
      <c r="B572" s="1" t="s">
        <v>575</v>
      </c>
    </row>
    <row r="573">
      <c r="A573" s="1" t="s">
        <v>191</v>
      </c>
      <c r="B573" s="1" t="s">
        <v>576</v>
      </c>
    </row>
    <row r="574">
      <c r="A574" s="1" t="s">
        <v>191</v>
      </c>
      <c r="B574" s="1" t="s">
        <v>577</v>
      </c>
    </row>
    <row r="575">
      <c r="A575" s="1" t="s">
        <v>191</v>
      </c>
      <c r="B575" s="1" t="s">
        <v>578</v>
      </c>
    </row>
    <row r="576">
      <c r="A576" s="1" t="s">
        <v>2</v>
      </c>
      <c r="B576" s="2" t="s">
        <v>579</v>
      </c>
    </row>
    <row r="577">
      <c r="A577" s="1" t="s">
        <v>191</v>
      </c>
      <c r="B577" s="1" t="s">
        <v>580</v>
      </c>
    </row>
    <row r="578">
      <c r="A578" s="1" t="s">
        <v>191</v>
      </c>
      <c r="B578" s="2" t="s">
        <v>581</v>
      </c>
    </row>
    <row r="579">
      <c r="A579" s="1" t="s">
        <v>191</v>
      </c>
      <c r="B579" s="1" t="s">
        <v>582</v>
      </c>
    </row>
    <row r="580">
      <c r="A580" s="1" t="s">
        <v>191</v>
      </c>
      <c r="B580" s="2" t="s">
        <v>583</v>
      </c>
    </row>
    <row r="581">
      <c r="A581" s="1" t="s">
        <v>191</v>
      </c>
      <c r="B581" s="1" t="s">
        <v>584</v>
      </c>
    </row>
    <row r="582">
      <c r="A582" s="1" t="s">
        <v>191</v>
      </c>
      <c r="B582" s="1" t="s">
        <v>585</v>
      </c>
    </row>
    <row r="583">
      <c r="A583" s="1" t="s">
        <v>191</v>
      </c>
      <c r="B583" s="1" t="s">
        <v>586</v>
      </c>
    </row>
    <row r="584">
      <c r="A584" s="1" t="s">
        <v>191</v>
      </c>
      <c r="B584" s="2" t="s">
        <v>587</v>
      </c>
    </row>
    <row r="585">
      <c r="A585" s="1" t="s">
        <v>191</v>
      </c>
      <c r="B585" s="1" t="s">
        <v>588</v>
      </c>
    </row>
    <row r="586">
      <c r="A586" s="1" t="s">
        <v>191</v>
      </c>
      <c r="B586" s="2" t="s">
        <v>589</v>
      </c>
    </row>
    <row r="587">
      <c r="A587" s="1" t="s">
        <v>191</v>
      </c>
      <c r="B587" s="1" t="s">
        <v>590</v>
      </c>
    </row>
    <row r="588">
      <c r="A588" s="1" t="s">
        <v>191</v>
      </c>
      <c r="B588" s="1" t="s">
        <v>591</v>
      </c>
    </row>
    <row r="589">
      <c r="A589" s="1" t="s">
        <v>191</v>
      </c>
      <c r="B589" s="2" t="s">
        <v>592</v>
      </c>
    </row>
    <row r="590">
      <c r="A590" s="1" t="s">
        <v>191</v>
      </c>
      <c r="B590" s="1" t="s">
        <v>593</v>
      </c>
    </row>
    <row r="591">
      <c r="A591" s="1" t="s">
        <v>191</v>
      </c>
      <c r="B591" s="1" t="s">
        <v>594</v>
      </c>
    </row>
    <row r="592">
      <c r="A592" s="1" t="s">
        <v>191</v>
      </c>
      <c r="B592" s="1" t="s">
        <v>595</v>
      </c>
    </row>
    <row r="593">
      <c r="A593" s="1" t="s">
        <v>4</v>
      </c>
      <c r="B593" s="2" t="s">
        <v>596</v>
      </c>
    </row>
    <row r="594">
      <c r="A594" s="1" t="s">
        <v>4</v>
      </c>
      <c r="B594" s="1" t="s">
        <v>597</v>
      </c>
    </row>
    <row r="595">
      <c r="A595" s="1" t="s">
        <v>191</v>
      </c>
      <c r="B595" s="1" t="s">
        <v>598</v>
      </c>
    </row>
    <row r="596">
      <c r="A596" s="1" t="s">
        <v>191</v>
      </c>
      <c r="B596" s="1" t="s">
        <v>599</v>
      </c>
    </row>
    <row r="597">
      <c r="A597" s="1" t="s">
        <v>191</v>
      </c>
      <c r="B597" s="1" t="s">
        <v>600</v>
      </c>
    </row>
    <row r="598">
      <c r="A598" s="1" t="s">
        <v>191</v>
      </c>
      <c r="B598" s="1" t="s">
        <v>601</v>
      </c>
    </row>
    <row r="599">
      <c r="A599" s="1" t="s">
        <v>191</v>
      </c>
      <c r="B599" s="1" t="s">
        <v>602</v>
      </c>
    </row>
    <row r="600">
      <c r="A600" s="1" t="s">
        <v>191</v>
      </c>
      <c r="B600" s="1" t="s">
        <v>603</v>
      </c>
    </row>
    <row r="601">
      <c r="A601" s="1" t="s">
        <v>191</v>
      </c>
      <c r="B601" s="2" t="s">
        <v>604</v>
      </c>
    </row>
    <row r="602">
      <c r="A602" s="1" t="s">
        <v>191</v>
      </c>
      <c r="B602" s="1" t="s">
        <v>605</v>
      </c>
    </row>
    <row r="603">
      <c r="A603" s="1" t="s">
        <v>191</v>
      </c>
      <c r="B603" s="2" t="s">
        <v>606</v>
      </c>
    </row>
    <row r="604">
      <c r="A604" s="1" t="s">
        <v>191</v>
      </c>
      <c r="B604" s="2" t="s">
        <v>607</v>
      </c>
    </row>
    <row r="605">
      <c r="A605" s="1" t="s">
        <v>191</v>
      </c>
      <c r="B605" s="1" t="s">
        <v>608</v>
      </c>
    </row>
    <row r="606">
      <c r="A606" s="1" t="s">
        <v>2</v>
      </c>
      <c r="B606" s="1" t="s">
        <v>609</v>
      </c>
    </row>
    <row r="607">
      <c r="A607" s="1" t="s">
        <v>191</v>
      </c>
      <c r="B607" s="1" t="s">
        <v>610</v>
      </c>
    </row>
    <row r="608">
      <c r="A608" s="1" t="s">
        <v>191</v>
      </c>
      <c r="B608" s="1" t="s">
        <v>611</v>
      </c>
    </row>
    <row r="609">
      <c r="A609" s="1" t="s">
        <v>191</v>
      </c>
      <c r="B609" s="1" t="s">
        <v>612</v>
      </c>
    </row>
    <row r="610">
      <c r="A610" s="1" t="s">
        <v>191</v>
      </c>
      <c r="B610" s="1" t="s">
        <v>613</v>
      </c>
    </row>
    <row r="611">
      <c r="A611" s="1" t="s">
        <v>191</v>
      </c>
      <c r="B611" s="1" t="s">
        <v>614</v>
      </c>
    </row>
    <row r="612">
      <c r="A612" s="1" t="s">
        <v>191</v>
      </c>
      <c r="B612" s="1" t="s">
        <v>615</v>
      </c>
    </row>
    <row r="613">
      <c r="A613" s="1" t="s">
        <v>191</v>
      </c>
      <c r="B613" s="2" t="s">
        <v>616</v>
      </c>
    </row>
    <row r="614">
      <c r="A614" s="1" t="s">
        <v>191</v>
      </c>
      <c r="B614" s="2" t="s">
        <v>617</v>
      </c>
    </row>
    <row r="615">
      <c r="A615" s="1" t="s">
        <v>191</v>
      </c>
      <c r="B615" s="1" t="s">
        <v>618</v>
      </c>
    </row>
    <row r="616">
      <c r="A616" s="1" t="s">
        <v>4</v>
      </c>
      <c r="B616" s="1" t="s">
        <v>619</v>
      </c>
    </row>
    <row r="617">
      <c r="A617" s="1" t="s">
        <v>191</v>
      </c>
      <c r="B617" s="1" t="s">
        <v>620</v>
      </c>
    </row>
    <row r="618">
      <c r="A618" s="1" t="s">
        <v>191</v>
      </c>
      <c r="B618" s="1" t="s">
        <v>621</v>
      </c>
    </row>
    <row r="619">
      <c r="A619" s="1" t="s">
        <v>4</v>
      </c>
      <c r="B619" s="1" t="s">
        <v>622</v>
      </c>
    </row>
    <row r="620">
      <c r="A620" s="1" t="s">
        <v>191</v>
      </c>
      <c r="B620" s="2" t="s">
        <v>623</v>
      </c>
    </row>
    <row r="621">
      <c r="A621" s="1" t="s">
        <v>4</v>
      </c>
      <c r="B621" s="2" t="s">
        <v>624</v>
      </c>
    </row>
    <row r="622">
      <c r="A622" s="1" t="s">
        <v>191</v>
      </c>
      <c r="B622" s="1" t="s">
        <v>625</v>
      </c>
    </row>
    <row r="623">
      <c r="A623" s="1" t="s">
        <v>191</v>
      </c>
      <c r="B623" s="1" t="s">
        <v>626</v>
      </c>
    </row>
    <row r="624">
      <c r="A624" s="1" t="s">
        <v>191</v>
      </c>
      <c r="B624" s="2" t="s">
        <v>627</v>
      </c>
    </row>
    <row r="625">
      <c r="A625" s="1" t="s">
        <v>191</v>
      </c>
      <c r="B625" s="2" t="s">
        <v>628</v>
      </c>
    </row>
    <row r="626">
      <c r="A626" s="1" t="s">
        <v>191</v>
      </c>
      <c r="B626" s="1" t="s">
        <v>629</v>
      </c>
    </row>
    <row r="627">
      <c r="A627" s="1" t="s">
        <v>191</v>
      </c>
      <c r="B627" s="1" t="s">
        <v>630</v>
      </c>
    </row>
    <row r="628">
      <c r="A628" s="1" t="s">
        <v>191</v>
      </c>
      <c r="B628" s="1" t="s">
        <v>631</v>
      </c>
    </row>
    <row r="629">
      <c r="A629" s="1" t="s">
        <v>191</v>
      </c>
      <c r="B629" s="1" t="s">
        <v>632</v>
      </c>
    </row>
    <row r="630">
      <c r="A630" s="1" t="s">
        <v>191</v>
      </c>
      <c r="B630" s="1" t="s">
        <v>633</v>
      </c>
    </row>
    <row r="631">
      <c r="A631" s="1" t="s">
        <v>191</v>
      </c>
      <c r="B631" s="2" t="s">
        <v>634</v>
      </c>
    </row>
    <row r="632">
      <c r="A632" s="1" t="s">
        <v>191</v>
      </c>
      <c r="B632" s="1" t="s">
        <v>635</v>
      </c>
    </row>
    <row r="633">
      <c r="A633" s="1" t="s">
        <v>191</v>
      </c>
      <c r="B633" s="1" t="s">
        <v>636</v>
      </c>
    </row>
    <row r="634">
      <c r="A634" s="1" t="s">
        <v>4</v>
      </c>
      <c r="B634" s="1" t="s">
        <v>637</v>
      </c>
    </row>
    <row r="635">
      <c r="A635" s="1" t="s">
        <v>191</v>
      </c>
      <c r="B635" s="1" t="s">
        <v>638</v>
      </c>
    </row>
    <row r="636">
      <c r="A636" s="1" t="s">
        <v>191</v>
      </c>
      <c r="B636" s="1" t="s">
        <v>639</v>
      </c>
    </row>
    <row r="637">
      <c r="A637" s="1" t="s">
        <v>191</v>
      </c>
      <c r="B637" s="1" t="s">
        <v>640</v>
      </c>
    </row>
    <row r="638">
      <c r="A638" s="1" t="s">
        <v>191</v>
      </c>
      <c r="B638" s="1" t="s">
        <v>641</v>
      </c>
    </row>
    <row r="639">
      <c r="A639" s="1" t="s">
        <v>191</v>
      </c>
      <c r="B639" s="1" t="s">
        <v>642</v>
      </c>
    </row>
    <row r="640">
      <c r="A640" s="1" t="s">
        <v>191</v>
      </c>
      <c r="B640" s="1" t="s">
        <v>643</v>
      </c>
    </row>
    <row r="641">
      <c r="A641" s="1" t="s">
        <v>191</v>
      </c>
      <c r="B641" s="1" t="s">
        <v>644</v>
      </c>
    </row>
    <row r="642">
      <c r="A642" s="1" t="s">
        <v>191</v>
      </c>
      <c r="B642" s="1" t="s">
        <v>645</v>
      </c>
    </row>
    <row r="643">
      <c r="A643" s="1" t="s">
        <v>191</v>
      </c>
      <c r="B643" s="1" t="s">
        <v>646</v>
      </c>
    </row>
    <row r="644">
      <c r="A644" s="1" t="s">
        <v>191</v>
      </c>
      <c r="B644" s="1" t="s">
        <v>647</v>
      </c>
    </row>
    <row r="645">
      <c r="A645" s="1" t="s">
        <v>191</v>
      </c>
      <c r="B645" s="2" t="s">
        <v>648</v>
      </c>
    </row>
    <row r="646">
      <c r="A646" s="1" t="s">
        <v>191</v>
      </c>
      <c r="B646" s="1" t="s">
        <v>649</v>
      </c>
    </row>
    <row r="647">
      <c r="A647" s="1" t="s">
        <v>191</v>
      </c>
      <c r="B647" s="2" t="s">
        <v>650</v>
      </c>
    </row>
    <row r="648">
      <c r="A648" s="1" t="s">
        <v>191</v>
      </c>
      <c r="B648" s="1" t="s">
        <v>651</v>
      </c>
    </row>
    <row r="649">
      <c r="A649" s="1" t="s">
        <v>191</v>
      </c>
      <c r="B649" s="1" t="s">
        <v>652</v>
      </c>
    </row>
    <row r="650">
      <c r="A650" s="1" t="s">
        <v>191</v>
      </c>
      <c r="B650" s="2" t="s">
        <v>653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19.0"/>
    <col customWidth="1" min="3" max="3" width="19.13"/>
    <col customWidth="1" min="4" max="4" width="21.25"/>
    <col customWidth="1" min="5" max="5" width="24.13"/>
    <col customWidth="1" min="6" max="6" width="24.38"/>
    <col customWidth="1" min="7" max="7" width="28.5"/>
    <col customWidth="1" min="8" max="8" width="24.0"/>
  </cols>
  <sheetData>
    <row r="1">
      <c r="A1" s="3" t="s">
        <v>654</v>
      </c>
      <c r="B1" s="4"/>
    </row>
    <row r="2">
      <c r="A2" s="5" t="s">
        <v>655</v>
      </c>
      <c r="B2" s="4"/>
    </row>
    <row r="3">
      <c r="A3" s="6" t="s">
        <v>656</v>
      </c>
      <c r="B3" s="7"/>
    </row>
    <row r="4">
      <c r="A4" s="5" t="s">
        <v>657</v>
      </c>
      <c r="B4" s="4"/>
    </row>
    <row r="5">
      <c r="A5" s="5" t="s">
        <v>658</v>
      </c>
      <c r="B5" s="4"/>
    </row>
    <row r="6">
      <c r="A6" s="8" t="s">
        <v>659</v>
      </c>
      <c r="B6" s="4"/>
    </row>
    <row r="7">
      <c r="A7" s="9" t="s">
        <v>660</v>
      </c>
      <c r="B7" s="4"/>
    </row>
    <row r="8">
      <c r="A8" s="10"/>
      <c r="B8" s="4"/>
    </row>
    <row r="9">
      <c r="A9" s="11" t="s">
        <v>1</v>
      </c>
      <c r="B9" s="12" t="s">
        <v>661</v>
      </c>
      <c r="C9" s="13" t="s">
        <v>662</v>
      </c>
      <c r="D9" s="13" t="s">
        <v>663</v>
      </c>
      <c r="E9" s="13" t="s">
        <v>664</v>
      </c>
      <c r="F9" s="14" t="s">
        <v>665</v>
      </c>
      <c r="G9" s="13" t="s">
        <v>666</v>
      </c>
      <c r="H9" s="15" t="s">
        <v>667</v>
      </c>
    </row>
    <row r="10">
      <c r="A10" s="16" t="s">
        <v>3</v>
      </c>
      <c r="B10" s="17" t="str">
        <f>IFERROR(__xludf.DUMMYFUNCTION("REGEXREPLACE(A10,$A$2, )"),"Sekedar mengingatkan.. Bagi teman² yang juga menggunakan aplikasi cek bansos yang jaringannya error setiap x masuk, coba lagi sekarang, saya sudah coba masuk hampir 1 bulan tetap error tapi alhamdulillah kemarin sudah bisa masuk dan memilih... Selamat men"&amp;"coba para pejuang bansos...!!")</f>
        <v>Sekedar mengingatkan.. Bagi teman² yang juga menggunakan aplikasi cek bansos yang jaringannya error setiap x masuk, coba lagi sekarang, saya sudah coba masuk hampir 1 bulan tetap error tapi alhamdulillah kemarin sudah bisa masuk dan memilih... Selamat mencoba para pejuang bansos...!!</v>
      </c>
      <c r="C10" s="17" t="str">
        <f>IFERROR(__xludf.DUMMYFUNCTION("REGEXREPLACE(B10,$A$3, )"),"Sekedar mengingatkan.. Bagi teman² yang juga menggunakan aplikasi cek bansos yang jaringannya error setiap x masuk, coba lagi sekarang, saya sudah coba masuk hampir 1 bulan tetap error tapi alhamdulillah kemarin sudah bisa masuk dan memilih... Selamat men"&amp;"coba para pejuang bansos...!!")</f>
        <v>Sekedar mengingatkan.. Bagi teman² yang juga menggunakan aplikasi cek bansos yang jaringannya error setiap x masuk, coba lagi sekarang, saya sudah coba masuk hampir 1 bulan tetap error tapi alhamdulillah kemarin sudah bisa masuk dan memilih... Selamat mencoba para pejuang bansos...!!</v>
      </c>
      <c r="D10" s="17" t="str">
        <f>IFERROR(__xludf.DUMMYFUNCTION("REGEXREPLACE(C10,$A$4, )"),"Sekedar mengingatkan.. Bagi teman² yang juga menggunakan aplikasi cek bansos yang jaringannya error setiap x masuk, coba lagi sekarang, saya sudah coba masuk hampir 1 bulan tetap error tapi alhamdulillah kemarin sudah bisa masuk dan memilih... Selamat men"&amp;"coba para pejuang bansos...!!")</f>
        <v>Sekedar mengingatkan.. Bagi teman² yang juga menggunakan aplikasi cek bansos yang jaringannya error setiap x masuk, coba lagi sekarang, saya sudah coba masuk hampir 1 bulan tetap error tapi alhamdulillah kemarin sudah bisa masuk dan memilih... Selamat mencoba para pejuang bansos...!!</v>
      </c>
      <c r="E10" s="17" t="str">
        <f>IFERROR(__xludf.DUMMYFUNCTION("REGEXREPLACE(D10,$A$5, )"),"Sekedar mengingatkan.. Bagi teman² yang juga menggunakan aplikasi cek bansos yang jaringannya error setiap x masuk, coba lagi sekarang, saya sudah coba masuk hampir  bulan tetap error tapi alhamdulillah kemarin sudah bisa masuk dan memilih... Selamat menc"&amp;"oba para pejuang bansos...!!")</f>
        <v>Sekedar mengingatkan.. Bagi teman² yang juga menggunakan aplikasi cek bansos yang jaringannya error setiap x masuk, coba lagi sekarang, saya sudah coba masuk hampir  bulan tetap error tapi alhamdulillah kemarin sudah bisa masuk dan memilih... Selamat mencoba para pejuang bansos...!!</v>
      </c>
      <c r="F10" s="17" t="str">
        <f>IFERROR(__xludf.DUMMYFUNCTION("REGEXREPLACE(E10,$A$6, )"),"Sekedar mengingatkan Bagi teman² yang juga menggunakan aplikasi cek bansos yang jaringannya error setiap x masuk coba lagi sekarang saya sudah coba masuk hampir  bulan tetap error tapi alhamdulillah kemarin sudah bisa masuk dan memilih Selamat mencoba par"&amp;"a pejuang bansos")</f>
        <v>Sekedar mengingatkan Bagi teman² yang juga menggunakan aplikasi cek bansos yang jaringannya error setiap x masuk coba lagi sekarang saya sudah coba masuk hampir  bulan tetap error tapi alhamdulillah kemarin sudah bisa masuk dan memilih Selamat mencoba para pejuang bansos</v>
      </c>
      <c r="G10" s="18" t="str">
        <f>IFERROR(__xludf.DUMMYFUNCTION("REGEXREPLACE(F10,$A$7, )"),"Sekedar mengingatkan Bagi teman² yang juga menggunakan aplikasi cek bansos yang jaringannya error setiap x masuk coba lagi sekarang saya sudah coba masuk hampir  bulan tetap error tapi alhamdulillah kemarin sudah bisa masuk dan memilih Selamat mencoba par"&amp;"a pejuang bansos")</f>
        <v>Sekedar mengingatkan Bagi teman² yang juga menggunakan aplikasi cek bansos yang jaringannya error setiap x masuk coba lagi sekarang saya sudah coba masuk hampir  bulan tetap error tapi alhamdulillah kemarin sudah bisa masuk dan memilih Selamat mencoba para pejuang bansos</v>
      </c>
      <c r="H10" s="17" t="str">
        <f t="shared" ref="H10:H658" si="1">LOWER(G10)</f>
        <v>sekedar mengingatkan bagi teman² yang juga menggunakan aplikasi cek bansos yang jaringannya error setiap x masuk coba lagi sekarang saya sudah coba masuk hampir  bulan tetap error tapi alhamdulillah kemarin sudah bisa masuk dan memilih selamat mencoba para pejuang bansos</v>
      </c>
    </row>
    <row r="11">
      <c r="A11" s="16" t="s">
        <v>5</v>
      </c>
      <c r="B11" s="17" t="str">
        <f>IFERROR(__xludf.DUMMYFUNCTION("REGEXREPLACE(A11,$A$2, )"),"App sudah berfungsi dgn baik dan bagus,sbg masukan data nama yg terlihat sbaiknya tidak berdasarkn propinsi,kecamatan dan kelurahan saja tp dilengkapi dgn dusun dan Rt.saat akan melakukan penilaian kelayakan serto upload foto keadaan orngnya akan tepat da"&amp;"n tdk salah orang, krn dlm satu kelurahan ada nama yg sama jg.")</f>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c r="C11" s="17" t="str">
        <f>IFERROR(__xludf.DUMMYFUNCTION("REGEXREPLACE(B11,$A$3, )"),"App sudah berfungsi dgn baik dan bagus,sbg masukan data nama yg terlihat sbaiknya tidak berdasarkn propinsi,kecamatan dan kelurahan saja tp dilengkapi dgn dusun dan Rt.saat akan melakukan penilaian kelayakan serto upload foto keadaan orngnya akan tepat da"&amp;"n tdk salah orang, krn dlm satu kelurahan ada nama yg sama jg.")</f>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c r="D11" s="17" t="str">
        <f>IFERROR(__xludf.DUMMYFUNCTION("REGEXREPLACE(C11,$A$4, )"),"App sudah berfungsi dgn baik dan bagus,sbg masukan data nama yg terlihat sbaiknya tidak berdasarkn propinsi,kecamatan dan kelurahan saja tp dilengkapi dgn dusun dan Rt.saat akan melakukan penilaian kelayakan serto upload foto keadaan orngnya akan tepat da"&amp;"n tdk salah orang, krn dlm satu kelurahan ada nama yg sama jg.")</f>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c r="E11" s="17" t="str">
        <f>IFERROR(__xludf.DUMMYFUNCTION("REGEXREPLACE(D11,$A$5, )"),"App sudah berfungsi dgn baik dan bagus,sbg masukan data nama yg terlihat sbaiknya tidak berdasarkn propinsi,kecamatan dan kelurahan saja tp dilengkapi dgn dusun dan Rt.saat akan melakukan penilaian kelayakan serto upload foto keadaan orngnya akan tepat da"&amp;"n tdk salah orang, krn dlm satu kelurahan ada nama yg sama jg.")</f>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c r="F11" s="17" t="str">
        <f>IFERROR(__xludf.DUMMYFUNCTION("REGEXREPLACE(E11,$A$6, )"),"App sudah berfungsi dgn baik dan bagussbg masukan data nama yg terlihat sbaiknya tidak berdasarkn propinsikecamatan dan kelurahan saja tp dilengkapi dgn dusun dan Rtsaat akan melakukan penilaian kelayakan serto upload foto keadaan orngnya akan tepat dan t"&amp;"dk salah orang krn dlm satu kelurahan ada nama yg sama jg")</f>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c r="G11" s="18" t="str">
        <f>IFERROR(__xludf.DUMMYFUNCTION("REGEXREPLACE(F11,$A$7, )"),"App sudah berfungsi dgn baik dan bagussbg masukan data nama yg terlihat sbaiknya tidak berdasarkn propinsikecamatan dan kelurahan saja tp dilengkapi dgn dusun dan Rtsaat akan melakukan penilaian kelayakan serto upload foto keadaan orngnya akan tepat dan t"&amp;"dk salah orang krn dlm satu kelurahan ada nama yg sama jg")</f>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c r="H11" s="17" t="str">
        <f t="shared" si="1"/>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row>
    <row r="12">
      <c r="A12" s="16" t="s">
        <v>6</v>
      </c>
      <c r="B12" s="17" t="str">
        <f>IFERROR(__xludf.DUMMYFUNCTION("REGEXREPLACE(A12,$A$2, )"),"Gabisa login atau buat akun baru, kenapa ya.. Mohon beri keterangan dan dipermudah aplikasinya, sangat berharap kepada pemerintah tp kesulitan untuk mendaftarkan diri. Trimakasih banyak.. Semoga ada jalan terang")</f>
        <v>Gabisa login atau buat akun baru, kenapa ya.. Mohon beri keterangan dan dipermudah aplikasinya, sangat berharap kepada pemerintah tp kesulitan untuk mendaftarkan diri. Trimakasih banyak.. Semoga ada jalan terang</v>
      </c>
      <c r="C12" s="17" t="str">
        <f>IFERROR(__xludf.DUMMYFUNCTION("REGEXREPLACE(B12,$A$3, )"),"Gabisa login atau buat akun baru, kenapa ya.. Mohon beri keterangan dan dipermudah aplikasinya, sangat berharap kepada pemerintah tp kesulitan untuk mendaftarkan diri. Trimakasih banyak.. Semoga ada jalan terang")</f>
        <v>Gabisa login atau buat akun baru, kenapa ya.. Mohon beri keterangan dan dipermudah aplikasinya, sangat berharap kepada pemerintah tp kesulitan untuk mendaftarkan diri. Trimakasih banyak.. Semoga ada jalan terang</v>
      </c>
      <c r="D12" s="17" t="str">
        <f>IFERROR(__xludf.DUMMYFUNCTION("REGEXREPLACE(C12,$A$4, )"),"Gabisa login atau buat akun baru, kenapa ya.. Mohon beri keterangan dan dipermudah aplikasinya, sangat berharap kepada pemerintah tp kesulitan untuk mendaftarkan diri. Trimakasih banyak.. Semoga ada jalan terang")</f>
        <v>Gabisa login atau buat akun baru, kenapa ya.. Mohon beri keterangan dan dipermudah aplikasinya, sangat berharap kepada pemerintah tp kesulitan untuk mendaftarkan diri. Trimakasih banyak.. Semoga ada jalan terang</v>
      </c>
      <c r="E12" s="17" t="str">
        <f>IFERROR(__xludf.DUMMYFUNCTION("REGEXREPLACE(D12,$A$5, )"),"Gabisa login atau buat akun baru, kenapa ya.. Mohon beri keterangan dan dipermudah aplikasinya, sangat berharap kepada pemerintah tp kesulitan untuk mendaftarkan diri. Trimakasih banyak.. Semoga ada jalan terang")</f>
        <v>Gabisa login atau buat akun baru, kenapa ya.. Mohon beri keterangan dan dipermudah aplikasinya, sangat berharap kepada pemerintah tp kesulitan untuk mendaftarkan diri. Trimakasih banyak.. Semoga ada jalan terang</v>
      </c>
      <c r="F12" s="17" t="str">
        <f>IFERROR(__xludf.DUMMYFUNCTION("REGEXREPLACE(E12,$A$6, )"),"Gabisa login atau buat akun baru kenapa ya Mohon beri keterangan dan dipermudah aplikasinya sangat berharap kepada pemerintah tp kesulitan untuk mendaftarkan diri Trimakasih banyak Semoga ada jalan terang")</f>
        <v>Gabisa login atau buat akun baru kenapa ya Mohon beri keterangan dan dipermudah aplikasinya sangat berharap kepada pemerintah tp kesulitan untuk mendaftarkan diri Trimakasih banyak Semoga ada jalan terang</v>
      </c>
      <c r="G12" s="18" t="str">
        <f>IFERROR(__xludf.DUMMYFUNCTION("REGEXREPLACE(F12,$A$7, )"),"Gabisa login atau buat akun baru kenapa ya Mohon beri keterangan dan dipermudah aplikasinya sangat berharap kepada pemerintah tp kesulitan untuk mendaftarkan diri Trimakasih banyak Semoga ada jalan terang")</f>
        <v>Gabisa login atau buat akun baru kenapa ya Mohon beri keterangan dan dipermudah aplikasinya sangat berharap kepada pemerintah tp kesulitan untuk mendaftarkan diri Trimakasih banyak Semoga ada jalan terang</v>
      </c>
      <c r="H12" s="17" t="str">
        <f t="shared" si="1"/>
        <v>gabisa login atau buat akun baru kenapa ya mohon beri keterangan dan dipermudah aplikasinya sangat berharap kepada pemerintah tp kesulitan untuk mendaftarkan diri trimakasih banyak semoga ada jalan terang</v>
      </c>
    </row>
    <row r="13">
      <c r="A13" s="16" t="s">
        <v>7</v>
      </c>
      <c r="B13" s="17" t="str">
        <f>IFERROR(__xludf.DUMMYFUNCTION("REGEXREPLACE(A13,$A$2, )"),"Saya gak pernah dapat bantuan apa apa. Cuma bisa lihat tetangga yg dapat. Yg ekonominya lebih baik dr saya dn kluarga. Mau bansos pkh atau apalah.. saya kira aplikasi ini membantu ternyata cuma php. Setiap membuat usulan selalu erorr...")</f>
        <v>Saya gak pernah dapat bantuan apa apa. Cuma bisa lihat tetangga yg dapat. Yg ekonominya lebih baik dr saya dn kluarga. Mau bansos pkh atau apalah.. saya kira aplikasi ini membantu ternyata cuma php. Setiap membuat usulan selalu erorr...</v>
      </c>
      <c r="C13" s="17" t="str">
        <f>IFERROR(__xludf.DUMMYFUNCTION("REGEXREPLACE(B13,$A$3, )"),"Saya gak pernah dapat bantuan apa apa. Cuma bisa lihat tetangga yg dapat. Yg ekonominya lebih baik dr saya dn kluarga. Mau bansos pkh atau apalah.. saya kira aplikasi ini membantu ternyata cuma php. Setiap membuat usulan selalu erorr...")</f>
        <v>Saya gak pernah dapat bantuan apa apa. Cuma bisa lihat tetangga yg dapat. Yg ekonominya lebih baik dr saya dn kluarga. Mau bansos pkh atau apalah.. saya kira aplikasi ini membantu ternyata cuma php. Setiap membuat usulan selalu erorr...</v>
      </c>
      <c r="D13" s="17" t="str">
        <f>IFERROR(__xludf.DUMMYFUNCTION("REGEXREPLACE(C13,$A$4, )"),"Saya gak pernah dapat bantuan apa apa. Cuma bisa lihat tetangga yg dapat. Yg ekonominya lebih baik dr saya dn kluarga. Mau bansos pkh atau apalah.. saya kira aplikasi ini membantu ternyata cuma php. Setiap membuat usulan selalu erorr...")</f>
        <v>Saya gak pernah dapat bantuan apa apa. Cuma bisa lihat tetangga yg dapat. Yg ekonominya lebih baik dr saya dn kluarga. Mau bansos pkh atau apalah.. saya kira aplikasi ini membantu ternyata cuma php. Setiap membuat usulan selalu erorr...</v>
      </c>
      <c r="E13" s="17" t="str">
        <f>IFERROR(__xludf.DUMMYFUNCTION("REGEXREPLACE(D13,$A$5, )"),"Saya gak pernah dapat bantuan apa apa. Cuma bisa lihat tetangga yg dapat. Yg ekonominya lebih baik dr saya dn kluarga. Mau bansos pkh atau apalah.. saya kira aplikasi ini membantu ternyata cuma php. Setiap membuat usulan selalu erorr...")</f>
        <v>Saya gak pernah dapat bantuan apa apa. Cuma bisa lihat tetangga yg dapat. Yg ekonominya lebih baik dr saya dn kluarga. Mau bansos pkh atau apalah.. saya kira aplikasi ini membantu ternyata cuma php. Setiap membuat usulan selalu erorr...</v>
      </c>
      <c r="F13" s="17" t="str">
        <f>IFERROR(__xludf.DUMMYFUNCTION("REGEXREPLACE(E13,$A$6, )"),"Saya gak pernah dapat bantuan apa apa Cuma bisa lihat tetangga yg dapat Yg ekonominya lebih baik dr saya dn kluarga Mau bansos pkh atau apalah saya kira aplikasi ini membantu ternyata cuma php Setiap membuat usulan selalu erorr")</f>
        <v>Saya gak pernah dapat bantuan apa apa Cuma bisa lihat tetangga yg dapat Yg ekonominya lebih baik dr saya dn kluarga Mau bansos pkh atau apalah saya kira aplikasi ini membantu ternyata cuma php Setiap membuat usulan selalu erorr</v>
      </c>
      <c r="G13" s="18" t="str">
        <f>IFERROR(__xludf.DUMMYFUNCTION("REGEXREPLACE(F13,$A$7, )"),"Saya gak pernah dapat bantuan apa apa Cuma bisa lihat tetangga yg dapat Yg ekonominya lebih baik dr saya dn kluarga Mau bansos pkh atau apalah saya kira aplikasi ini membantu ternyata cuma php Setiap membuat usulan selalu erorr")</f>
        <v>Saya gak pernah dapat bantuan apa apa Cuma bisa lihat tetangga yg dapat Yg ekonominya lebih baik dr saya dn kluarga Mau bansos pkh atau apalah saya kira aplikasi ini membantu ternyata cuma php Setiap membuat usulan selalu erorr</v>
      </c>
      <c r="H13" s="17" t="str">
        <f t="shared" si="1"/>
        <v>saya gak pernah dapat bantuan apa apa cuma bisa lihat tetangga yg dapat yg ekonominya lebih baik dr saya dn kluarga mau bansos pkh atau apalah saya kira aplikasi ini membantu ternyata cuma php setiap membuat usulan selalu erorr</v>
      </c>
    </row>
    <row r="14">
      <c r="A14" s="16" t="s">
        <v>8</v>
      </c>
      <c r="B14" s="17" t="str">
        <f>IFERROR(__xludf.DUMMYFUNCTION("REGEXREPLACE(A14,$A$2, )"),"alhamdulillah setelah berhari hari gk bisa login ,tapi setelah di update sekarang udah bisa login,dan udah bisa di buka aplikasinya,ada satu lagi ,setelah bisa login ,tapi mau masukan usulan data ,error jasn, tapi sekarang mau usul bansos stts belum cek t"&amp;"erus dari 3 bln yg lalu")</f>
        <v>alhamdulillah setelah berhari hari gk bisa login ,tapi setelah di update sekarang udah bisa login,dan udah bisa di buka aplikasinya,ada satu lagi ,setelah bisa login ,tapi mau masukan usulan data ,error jasn, tapi sekarang mau usul bansos stts belum cek terus dari 3 bln yg lalu</v>
      </c>
      <c r="C14" s="17" t="str">
        <f>IFERROR(__xludf.DUMMYFUNCTION("REGEXREPLACE(B14,$A$3, )"),"alhamdulillah setelah berhari hari gk bisa login ,tapi setelah di update sekarang udah bisa login,dan udah bisa di buka aplikasinya,ada satu lagi ,setelah bisa login ,tapi mau masukan usulan data ,error jasn, tapi sekarang mau usul bansos stts belum cek t"&amp;"erus dari 3 bln yg lalu")</f>
        <v>alhamdulillah setelah berhari hari gk bisa login ,tapi setelah di update sekarang udah bisa login,dan udah bisa di buka aplikasinya,ada satu lagi ,setelah bisa login ,tapi mau masukan usulan data ,error jasn, tapi sekarang mau usul bansos stts belum cek terus dari 3 bln yg lalu</v>
      </c>
      <c r="D14" s="17" t="str">
        <f>IFERROR(__xludf.DUMMYFUNCTION("REGEXREPLACE(C14,$A$4, )"),"alhamdulillah setelah berhari hari gk bisa login ,tapi setelah di update sekarang udah bisa login,dan udah bisa di buka aplikasinya,ada satu lagi ,setelah bisa login ,tapi mau masukan usulan data ,error jasn, tapi sekarang mau usul bansos stts belum cek t"&amp;"erus dari 3 bln yg lalu")</f>
        <v>alhamdulillah setelah berhari hari gk bisa login ,tapi setelah di update sekarang udah bisa login,dan udah bisa di buka aplikasinya,ada satu lagi ,setelah bisa login ,tapi mau masukan usulan data ,error jasn, tapi sekarang mau usul bansos stts belum cek terus dari 3 bln yg lalu</v>
      </c>
      <c r="E14" s="17" t="str">
        <f>IFERROR(__xludf.DUMMYFUNCTION("REGEXREPLACE(D14,$A$5, )"),"alhamdulillah setelah berhari hari gk bisa login ,tapi setelah di update sekarang udah bisa login,dan udah bisa di buka aplikasinya,ada satu lagi ,setelah bisa login ,tapi mau masukan usulan data ,error jasn, tapi sekarang mau usul bansos stts belum cek t"&amp;"erus dari  bln yg lalu")</f>
        <v>alhamdulillah setelah berhari hari gk bisa login ,tapi setelah di update sekarang udah bisa login,dan udah bisa di buka aplikasinya,ada satu lagi ,setelah bisa login ,tapi mau masukan usulan data ,error jasn, tapi sekarang mau usul bansos stts belum cek terus dari  bln yg lalu</v>
      </c>
      <c r="F14" s="17" t="str">
        <f>IFERROR(__xludf.DUMMYFUNCTION("REGEXREPLACE(E14,$A$6, )"),"alhamdulillah setelah berhari hari gk bisa login tapi setelah di update sekarang udah bisa logindan udah bisa di buka aplikasinyaada satu lagi setelah bisa login tapi mau masukan usulan data error jasn tapi sekarang mau usul bansos stts belum cek terus da"&amp;"ri  bln yg lalu")</f>
        <v>alhamdulillah setelah berhari hari gk bisa login tapi setelah di update sekarang udah bisa logindan udah bisa di buka aplikasinyaada satu lagi setelah bisa login tapi mau masukan usulan data error jasn tapi sekarang mau usul bansos stts belum cek terus dari  bln yg lalu</v>
      </c>
      <c r="G14" s="18" t="str">
        <f>IFERROR(__xludf.DUMMYFUNCTION("REGEXREPLACE(F14,$A$7, )"),"alhamdulillah setelah berhari hari gk bisa login tapi setelah di update sekarang udah bisa logindan udah bisa di buka aplikasinyaada satu lagi setelah bisa login tapi mau masukan usulan data error jasn tapi sekarang mau usul bansos stts belum cek terus da"&amp;"ri  bln yg lalu")</f>
        <v>alhamdulillah setelah berhari hari gk bisa login tapi setelah di update sekarang udah bisa logindan udah bisa di buka aplikasinyaada satu lagi setelah bisa login tapi mau masukan usulan data error jasn tapi sekarang mau usul bansos stts belum cek terus dari  bln yg lalu</v>
      </c>
      <c r="H14" s="17" t="str">
        <f t="shared" si="1"/>
        <v>alhamdulillah setelah berhari hari gk bisa login tapi setelah di update sekarang udah bisa logindan udah bisa di buka aplikasinyaada satu lagi setelah bisa login tapi mau masukan usulan data error jasn tapi sekarang mau usul bansos stts belum cek terus dari  bln yg lalu</v>
      </c>
    </row>
    <row r="15">
      <c r="A15" s="16" t="s">
        <v>9</v>
      </c>
      <c r="B15" s="17" t="str">
        <f>IFERROR(__xludf.DUMMYFUNCTION("REGEXREPLACE(A15,$A$2, )"),"Aplikasi nya susah diakses, reset paswor selalu eror dan hubungi admin sedangkan tiDak ada form pengaduan ,atau call center di aplikasinya ,seharusnya kalau ingin diakses secara online banyak kemudahan ,dan fitur yang ada bisa di gunakan ,kalau memang ada"&amp;" penjadwalan misal hanya waktu kerja atau tanggal tanggal tertentu untuk login atau daftar ada penjelasannya di dashboard aplikasi cek bansos. Kalau aplikasi sulit diakses oleh masyarakat awam ini saya , gmn mau daftar bansos ?")</f>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 gmn mau daftar bansos ?</v>
      </c>
      <c r="C15" s="17" t="str">
        <f>IFERROR(__xludf.DUMMYFUNCTION("REGEXREPLACE(B15,$A$3, )"),"Aplikasi nya susah diakses, reset paswor selalu eror dan hubungi admin sedangkan tiDak ada form pengaduan ,atau call center di aplikasinya ,seharusnya kalau ingin diakses secara online banyak kemudahan ,dan fitur yang ada bisa di gunakan ,kalau memang ada"&amp;" penjadwalan misal hanya waktu kerja atau tanggal tanggal tertentu untuk login atau daftar ada penjelasannya di dashboard aplikasi cek bansos. Kalau aplikasi sulit diakses oleh masyarakat awam ini saya , gmn mau daftar bansos ?")</f>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 gmn mau daftar bansos ?</v>
      </c>
      <c r="D15" s="17" t="str">
        <f>IFERROR(__xludf.DUMMYFUNCTION("REGEXREPLACE(C15,$A$4, )"),"Aplikasi nya susah diakses, reset paswor selalu eror dan hubungi admin sedangkan tiDak ada form pengaduan ,atau call center di aplikasinya ,seharusnya kalau ingin diakses secara online banyak kemudahan ,dan fitur yang ada bisa di gunakan ,kalau memang ada"&amp;" penjadwalan misal hanya waktu kerja atau tanggal tanggal tertentu untuk login atau daftar ada penjelasannya di dashboard aplikasi cek bansos. Kalau aplikasi sulit diakses oleh masyarakat awam ini saya , gmn mau daftar bansos ?")</f>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 gmn mau daftar bansos ?</v>
      </c>
      <c r="E15" s="17" t="str">
        <f>IFERROR(__xludf.DUMMYFUNCTION("REGEXREPLACE(D15,$A$5, )"),"Aplikasi nya susah diakses, reset paswor selalu eror dan hubungi admin sedangkan tiDak ada form pengaduan ,atau call center di aplikasinya ,seharusnya kalau ingin diakses secara online banyak kemudahan ,dan fitur yang ada bisa di gunakan ,kalau memang ada"&amp;" penjadwalan misal hanya waktu kerja atau tanggal tanggal tertentu untuk login atau daftar ada penjelasannya di dashboard aplikasi cek bansos. Kalau aplikasi sulit diakses oleh masyarakat awam ini saya , gmn mau daftar bansos ?")</f>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 gmn mau daftar bansos ?</v>
      </c>
      <c r="F15" s="17" t="str">
        <f>IFERROR(__xludf.DUMMYFUNCTION("REGEXREPLACE(E15,$A$6, )"),"Aplikasi nya susah diakses reset paswor selalu eror dan hubungi admin sedangkan tiDak ada form pengaduan atau call center di aplikasinya seharusnya kalau ingin diakses secara online banyak kemudahan dan fitur yang ada bisa di gunakan kalau memang ada penj"&amp;"adwalan misal hanya waktu kerja atau tanggal tanggal tertentu untuk login atau daftar ada penjelasannya di dashboard aplikasi cek bansos Kalau aplikasi sulit diakses oleh masyarakat awam ini saya  gmn mau daftar bansos ")</f>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gmn mau daftar bansos </v>
      </c>
      <c r="G15" s="18" t="str">
        <f>IFERROR(__xludf.DUMMYFUNCTION("REGEXREPLACE(F15,$A$7, )"),"Aplikasi nya susah diakses reset paswor selalu eror dan hubungi admin sedangkan tiDak ada form pengaduan atau call center di aplikasinya seharusnya kalau ingin diakses secara online banyak kemudahan dan fitur yang ada bisa di gunakan kalau memang ada penj"&amp;"adwalan misal hanya waktu kerja atau tanggal tanggal tertentu untuk login atau daftar ada penjelasannya di dashboard aplikasi cek bansos Kalau aplikasi sulit diakses oleh masyarakat awam ini saya  gmn mau daftar bansos ")</f>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gmn mau daftar bansos </v>
      </c>
      <c r="H15" s="17" t="str">
        <f t="shared" si="1"/>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gmn mau daftar bansos </v>
      </c>
    </row>
    <row r="16">
      <c r="A16" s="16" t="s">
        <v>10</v>
      </c>
      <c r="B16" s="17" t="str">
        <f>IFERROR(__xludf.DUMMYFUNCTION("REGEXREPLACE(A16,$A$2, )"),"Tolong dong admin aplikasi cek bansos, saya sudah daftar sudah terverifikasi, tapi saat saya mau tambah usulan kenapa error terus, kadang error json parse kadang error hubungi admin.tolong dong supaya aplikasinya di tingkatkan lagi agar tidak error terus")</f>
        <v>Tolong dong admin aplikasi cek bansos, saya sudah daftar sudah terverifikasi, tapi saat saya mau tambah usulan kenapa error terus, kadang error json parse kadang error hubungi admin.tolong dong supaya aplikasinya di tingkatkan lagi agar tidak error terus</v>
      </c>
      <c r="C16" s="17" t="str">
        <f>IFERROR(__xludf.DUMMYFUNCTION("REGEXREPLACE(B16,$A$3, )"),"Tolong dong admin aplikasi cek bansos, saya sudah daftar sudah terverifikasi, tapi saat saya mau tambah usulan kenapa error terus, kadang error json parse kadang error hubungi admin.tolong dong supaya aplikasinya di tingkatkan lagi agar tidak error terus")</f>
        <v>Tolong dong admin aplikasi cek bansos, saya sudah daftar sudah terverifikasi, tapi saat saya mau tambah usulan kenapa error terus, kadang error json parse kadang error hubungi admin.tolong dong supaya aplikasinya di tingkatkan lagi agar tidak error terus</v>
      </c>
      <c r="D16" s="17" t="str">
        <f>IFERROR(__xludf.DUMMYFUNCTION("REGEXREPLACE(C16,$A$4, )"),"Tolong dong admin aplikasi cek bansos, saya sudah daftar sudah terverifikasi, tapi saat saya mau tambah usulan kenapa error terus, kadang error json parse kadang error hubungi admin.tolong dong supaya aplikasinya di tingkatkan lagi agar tidak error terus")</f>
        <v>Tolong dong admin aplikasi cek bansos, saya sudah daftar sudah terverifikasi, tapi saat saya mau tambah usulan kenapa error terus, kadang error json parse kadang error hubungi admin.tolong dong supaya aplikasinya di tingkatkan lagi agar tidak error terus</v>
      </c>
      <c r="E16" s="17" t="str">
        <f>IFERROR(__xludf.DUMMYFUNCTION("REGEXREPLACE(D16,$A$5, )"),"Tolong dong admin aplikasi cek bansos, saya sudah daftar sudah terverifikasi, tapi saat saya mau tambah usulan kenapa error terus, kadang error json parse kadang error hubungi admin.tolong dong supaya aplikasinya di tingkatkan lagi agar tidak error terus")</f>
        <v>Tolong dong admin aplikasi cek bansos, saya sudah daftar sudah terverifikasi, tapi saat saya mau tambah usulan kenapa error terus, kadang error json parse kadang error hubungi admin.tolong dong supaya aplikasinya di tingkatkan lagi agar tidak error terus</v>
      </c>
      <c r="F16" s="17" t="str">
        <f>IFERROR(__xludf.DUMMYFUNCTION("REGEXREPLACE(E16,$A$6, )"),"Tolong dong admin aplikasi cek bansos saya sudah daftar sudah terverifikasi tapi saat saya mau tambah usulan kenapa error terus kadang error json parse kadang error hubungi admintolong dong supaya aplikasinya di tingkatkan lagi agar tidak error terus")</f>
        <v>Tolong dong admin aplikasi cek bansos saya sudah daftar sudah terverifikasi tapi saat saya mau tambah usulan kenapa error terus kadang error json parse kadang error hubungi admintolong dong supaya aplikasinya di tingkatkan lagi agar tidak error terus</v>
      </c>
      <c r="G16" s="18" t="str">
        <f>IFERROR(__xludf.DUMMYFUNCTION("REGEXREPLACE(F16,$A$7, )"),"Tolong dong admin aplikasi cek bansos saya sudah daftar sudah terverifikasi tapi saat saya mau tambah usulan kenapa error terus kadang error json parse kadang error hubungi admintolong dong supaya aplikasinya di tingkatkan lagi agar tidak error terus")</f>
        <v>Tolong dong admin aplikasi cek bansos saya sudah daftar sudah terverifikasi tapi saat saya mau tambah usulan kenapa error terus kadang error json parse kadang error hubungi admintolong dong supaya aplikasinya di tingkatkan lagi agar tidak error terus</v>
      </c>
      <c r="H16" s="17" t="str">
        <f t="shared" si="1"/>
        <v>tolong dong admin aplikasi cek bansos saya sudah daftar sudah terverifikasi tapi saat saya mau tambah usulan kenapa error terus kadang error json parse kadang error hubungi admintolong dong supaya aplikasinya di tingkatkan lagi agar tidak error terus</v>
      </c>
    </row>
    <row r="17">
      <c r="A17" s="16" t="s">
        <v>11</v>
      </c>
      <c r="B17" s="17" t="str">
        <f>IFERROR(__xludf.DUMMYFUNCTION("REGEXREPLACE(A17,$A$2, )"),"Banyak yang bilang kalo apk ini error lah dll, Alhamdulillah gua sih lancar² aja. Mulai dari daftar, login dan tambah usulan Alhamdulillah lancar. Tapi gak tau gimana ke depannya, di terima gak data kita sama kemensos. Itu aja sih yang penting hahaha 😅")</f>
        <v>Banyak yang bilang kalo apk ini error lah dll, Alhamdulillah gua sih lancar² aja. Mulai dari daftar, login dan tambah usulan Alhamdulillah lancar. Tapi gak tau gimana ke depannya, di terima gak data kita sama kemensos. Itu aja sih yang penting hahaha 😅</v>
      </c>
      <c r="C17" s="17" t="str">
        <f>IFERROR(__xludf.DUMMYFUNCTION("REGEXREPLACE(B17,$A$3, )"),"Banyak yang bilang kalo apk ini error lah dll, Alhamdulillah gua sih lancar² aja. Mulai dari daftar, login dan tambah usulan Alhamdulillah lancar. Tapi gak tau gimana ke depannya, di terima gak data kita sama kemensos. Itu aja sih yang penting hahaha 😅")</f>
        <v>Banyak yang bilang kalo apk ini error lah dll, Alhamdulillah gua sih lancar² aja. Mulai dari daftar, login dan tambah usulan Alhamdulillah lancar. Tapi gak tau gimana ke depannya, di terima gak data kita sama kemensos. Itu aja sih yang penting hahaha 😅</v>
      </c>
      <c r="D17" s="17" t="str">
        <f>IFERROR(__xludf.DUMMYFUNCTION("REGEXREPLACE(C17,$A$4, )"),"Banyak yang bilang kalo apk ini error lah dll, Alhamdulillah gua sih lancar² aja. Mulai dari daftar, login dan tambah usulan Alhamdulillah lancar. Tapi gak tau gimana ke depannya, di terima gak data kita sama kemensos. Itu aja sih yang penting hahaha 😅")</f>
        <v>Banyak yang bilang kalo apk ini error lah dll, Alhamdulillah gua sih lancar² aja. Mulai dari daftar, login dan tambah usulan Alhamdulillah lancar. Tapi gak tau gimana ke depannya, di terima gak data kita sama kemensos. Itu aja sih yang penting hahaha 😅</v>
      </c>
      <c r="E17" s="17" t="str">
        <f>IFERROR(__xludf.DUMMYFUNCTION("REGEXREPLACE(D17,$A$5, )"),"Banyak yang bilang kalo apk ini error lah dll, Alhamdulillah gua sih lancar² aja. Mulai dari daftar, login dan tambah usulan Alhamdulillah lancar. Tapi gak tau gimana ke depannya, di terima gak data kita sama kemensos. Itu aja sih yang penting hahaha 😅")</f>
        <v>Banyak yang bilang kalo apk ini error lah dll, Alhamdulillah gua sih lancar² aja. Mulai dari daftar, login dan tambah usulan Alhamdulillah lancar. Tapi gak tau gimana ke depannya, di terima gak data kita sama kemensos. Itu aja sih yang penting hahaha 😅</v>
      </c>
      <c r="F17" s="17" t="str">
        <f>IFERROR(__xludf.DUMMYFUNCTION("REGEXREPLACE(E17,$A$6, )"),"Banyak yang bilang kalo apk ini error lah dll Alhamdulillah gua sih lancar² aja Mulai dari daftar login dan tambah usulan Alhamdulillah lancar Tapi gak tau gimana ke depannya di terima gak data kita sama kemensos Itu aja sih yang penting hahaha 😅")</f>
        <v>Banyak yang bilang kalo apk ini error lah dll Alhamdulillah gua sih lancar² aja Mulai dari daftar login dan tambah usulan Alhamdulillah lancar Tapi gak tau gimana ke depannya di terima gak data kita sama kemensos Itu aja sih yang penting hahaha 😅</v>
      </c>
      <c r="G17" s="18" t="str">
        <f>IFERROR(__xludf.DUMMYFUNCTION("REGEXREPLACE(F17,$A$7, )"),"Banyak yang bilang kalo apk ini error lah dll Alhamdulillah gua sih lancar² aja Mulai dari daftar login dan tambah usulan Alhamdulillah lancar Tapi gak tau gimana ke depannya di terima gak data kita sama kemensos Itu aja sih yang penting hahaha ")</f>
        <v>Banyak yang bilang kalo apk ini error lah dll Alhamdulillah gua sih lancar² aja Mulai dari daftar login dan tambah usulan Alhamdulillah lancar Tapi gak tau gimana ke depannya di terima gak data kita sama kemensos Itu aja sih yang penting hahaha </v>
      </c>
      <c r="H17" s="17" t="str">
        <f t="shared" si="1"/>
        <v>banyak yang bilang kalo apk ini error lah dll alhamdulillah gua sih lancar² aja mulai dari daftar login dan tambah usulan alhamdulillah lancar tapi gak tau gimana ke depannya di terima gak data kita sama kemensos itu aja sih yang penting hahaha </v>
      </c>
    </row>
    <row r="18">
      <c r="A18" s="16" t="s">
        <v>12</v>
      </c>
      <c r="B18" s="17" t="str">
        <f>IFERROR(__xludf.DUMMYFUNCTION("REGEXREPLACE(A18,$A$2, )"),"Saya beri nilai segini karna amat sangat kecewa....bukan masalah apk ya,tapi kenapa saya selalu tida dapat menerima bantuan bansos,pkh/semacamnya padahal saya orang kurang mampu!!! Dan aneh ya di tempat saya orang yg termasuk berada malah dapet bantuan!!!"&amp;"...mohon untuk bisa di dengar untuk semuanya,mungkin dari kalian juga ada yg merasakan yg sama...saya curhat disini karna apk ya juga eror jadi saya mengajukan aduan disini!!...mohon untuk turun kelapangan saja agar bantuan bisa tepat sasaran!!!")</f>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c r="C18" s="17" t="str">
        <f>IFERROR(__xludf.DUMMYFUNCTION("REGEXREPLACE(B18,$A$3, )"),"Saya beri nilai segini karna amat sangat kecewa....bukan masalah apk ya,tapi kenapa saya selalu tida dapat menerima bantuan bansos,pkh/semacamnya padahal saya orang kurang mampu!!! Dan aneh ya di tempat saya orang yg termasuk berada malah dapet bantuan!!!"&amp;"...mohon untuk bisa di dengar untuk semuanya,mungkin dari kalian juga ada yg merasakan yg sama...saya curhat disini karna apk ya juga eror jadi saya mengajukan aduan disini!!...mohon untuk turun kelapangan saja agar bantuan bisa tepat sasaran!!!")</f>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c r="D18" s="17" t="str">
        <f>IFERROR(__xludf.DUMMYFUNCTION("REGEXREPLACE(C18,$A$4, )"),"Saya beri nilai segini karna amat sangat kecewa....bukan masalah apk ya,tapi kenapa saya selalu tida dapat menerima bantuan bansos,pkh/semacamnya padahal saya orang kurang mampu!!! Dan aneh ya di tempat saya orang yg termasuk berada malah dapet bantuan!!!"&amp;"...mohon untuk bisa di dengar untuk semuanya,mungkin dari kalian juga ada yg merasakan yg sama...saya curhat disini karna apk ya juga eror jadi saya mengajukan aduan disini!!...mohon untuk turun kelapangan saja agar bantuan bisa tepat sasaran!!!")</f>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c r="E18" s="17" t="str">
        <f>IFERROR(__xludf.DUMMYFUNCTION("REGEXREPLACE(D18,$A$5, )"),"Saya beri nilai segini karna amat sangat kecewa....bukan masalah apk ya,tapi kenapa saya selalu tida dapat menerima bantuan bansos,pkh/semacamnya padahal saya orang kurang mampu!!! Dan aneh ya di tempat saya orang yg termasuk berada malah dapet bantuan!!!"&amp;"...mohon untuk bisa di dengar untuk semuanya,mungkin dari kalian juga ada yg merasakan yg sama...saya curhat disini karna apk ya juga eror jadi saya mengajukan aduan disini!!...mohon untuk turun kelapangan saja agar bantuan bisa tepat sasaran!!!")</f>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c r="F18" s="17" t="str">
        <f>IFERROR(__xludf.DUMMYFUNCTION("REGEXREPLACE(E18,$A$6, )"),"Saya beri nilai segini karna amat sangat kecewabukan masalah apk yatapi kenapa saya selalu tida dapat menerima bantuan bansospkhsemacamnya padahal saya orang kurang mampu Dan aneh ya di tempat saya orang yg termasuk berada malah dapet bantuanmohon untuk b"&amp;"isa di dengar untuk semuanyamungkin dari kalian juga ada yg merasakan yg samasaya curhat disini karna apk ya juga eror jadi saya mengajukan aduan disinimohon untuk turun kelapangan saja agar bantuan bisa tepat sasaran")</f>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c r="G18" s="18" t="str">
        <f>IFERROR(__xludf.DUMMYFUNCTION("REGEXREPLACE(F18,$A$7, )"),"Saya beri nilai segini karna amat sangat kecewabukan masalah apk yatapi kenapa saya selalu tida dapat menerima bantuan bansospkhsemacamnya padahal saya orang kurang mampu Dan aneh ya di tempat saya orang yg termasuk berada malah dapet bantuanmohon untuk b"&amp;"isa di dengar untuk semuanyamungkin dari kalian juga ada yg merasakan yg samasaya curhat disini karna apk ya juga eror jadi saya mengajukan aduan disinimohon untuk turun kelapangan saja agar bantuan bisa tepat sasaran")</f>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c r="H18" s="17" t="str">
        <f t="shared" si="1"/>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row>
    <row r="19">
      <c r="A19" s="16" t="s">
        <v>13</v>
      </c>
      <c r="B19" s="17" t="str">
        <f>IFERROR(__xludf.DUMMYFUNCTION("REGEXREPLACE(A19,$A$2, )"),"Komennya banyak yg gak bagus,tp krn sy sangat membutuhkan sy coba download juga,hidup2 untung2an,tp ternyata gak bisa login,semua sudah benar,email/nmr Hp tp yg keluar pasword/email salah,sy coba ganti pasword jawabannya tidak ditemukan,tolonglah...kami r"&amp;"akyat gk mampu,setelah corona kena PHK..jgn dipersulit,,")</f>
        <v>Komennya banyak yg gak bagus,tp krn sy sangat membutuhkan sy coba download juga,hidup2 untung2an,tp ternyata gak bisa login,semua sudah benar,email/nmr Hp tp yg keluar pasword/email salah,sy coba ganti pasword jawabannya tidak ditemukan,tolonglah...kami rakyat gk mampu,setelah corona kena PHK..jgn dipersulit,,</v>
      </c>
      <c r="C19" s="17" t="str">
        <f>IFERROR(__xludf.DUMMYFUNCTION("REGEXREPLACE(B19,$A$3, )"),"Komennya banyak yg gak bagus,tp krn sy sangat membutuhkan sy coba download juga,hidup2 untung2an,tp ternyata gak bisa login,semua sudah benar,email/nmr Hp tp yg keluar pasword/email salah,sy coba ganti pasword jawabannya tidak ditemukan,tolonglah...kami r"&amp;"akyat gk mampu,setelah corona kena PHK..jgn dipersulit,,")</f>
        <v>Komennya banyak yg gak bagus,tp krn sy sangat membutuhkan sy coba download juga,hidup2 untung2an,tp ternyata gak bisa login,semua sudah benar,email/nmr Hp tp yg keluar pasword/email salah,sy coba ganti pasword jawabannya tidak ditemukan,tolonglah...kami rakyat gk mampu,setelah corona kena PHK..jgn dipersulit,,</v>
      </c>
      <c r="D19" s="17" t="str">
        <f>IFERROR(__xludf.DUMMYFUNCTION("REGEXREPLACE(C19,$A$4, )"),"Komennya banyak yg gak bagus,tp krn sy sangat membutuhkan sy coba download juga,hidup2 untung2an,tp ternyata gak bisa login,semua sudah benar,email/nmr Hp tp yg keluar pasword/email salah,sy coba ganti pasword jawabannya tidak ditemukan,tolonglah...kami r"&amp;"akyat gk mampu,setelah corona kena PHK..jgn dipersulit,,")</f>
        <v>Komennya banyak yg gak bagus,tp krn sy sangat membutuhkan sy coba download juga,hidup2 untung2an,tp ternyata gak bisa login,semua sudah benar,email/nmr Hp tp yg keluar pasword/email salah,sy coba ganti pasword jawabannya tidak ditemukan,tolonglah...kami rakyat gk mampu,setelah corona kena PHK..jgn dipersulit,,</v>
      </c>
      <c r="E19" s="17" t="str">
        <f>IFERROR(__xludf.DUMMYFUNCTION("REGEXREPLACE(D19,$A$5, )"),"Komennya banyak yg gak bagus,tp krn sy sangat membutuhkan sy coba download juga,hidup untungan,tp ternyata gak bisa login,semua sudah benar,email/nmr Hp tp yg keluar pasword/email salah,sy coba ganti pasword jawabannya tidak ditemukan,tolonglah...kami rak"&amp;"yat gk mampu,setelah corona kena PHK..jgn dipersulit,,")</f>
        <v>Komennya banyak yg gak bagus,tp krn sy sangat membutuhkan sy coba download juga,hidup untungan,tp ternyata gak bisa login,semua sudah benar,email/nmr Hp tp yg keluar pasword/email salah,sy coba ganti pasword jawabannya tidak ditemukan,tolonglah...kami rakyat gk mampu,setelah corona kena PHK..jgn dipersulit,,</v>
      </c>
      <c r="F19" s="17" t="str">
        <f>IFERROR(__xludf.DUMMYFUNCTION("REGEXREPLACE(E19,$A$6, )"),"Komennya banyak yg gak bagustp krn sy sangat membutuhkan sy coba download jugahidup untungantp ternyata gak bisa loginsemua sudah benaremailnmr Hp tp yg keluar paswordemail salahsy coba ganti pasword jawabannya tidak ditemukantolonglahkami rakyat gk mampu"&amp;"setelah corona kena PHKjgn dipersulit")</f>
        <v>Komennya banyak yg gak bagustp krn sy sangat membutuhkan sy coba download jugahidup untungantp ternyata gak bisa loginsemua sudah benaremailnmr Hp tp yg keluar paswordemail salahsy coba ganti pasword jawabannya tidak ditemukantolonglahkami rakyat gk mampusetelah corona kena PHKjgn dipersulit</v>
      </c>
      <c r="G19" s="18" t="str">
        <f>IFERROR(__xludf.DUMMYFUNCTION("REGEXREPLACE(F19,$A$7, )"),"Komennya banyak yg gak bagustp krn sy sangat membutuhkan sy coba download jugahidup untungantp ternyata gak bisa loginsemua sudah benaremailnmr Hp tp yg keluar paswordemail salahsy coba ganti pasword jawabannya tidak ditemukantolonglahkami rakyat gk mampu"&amp;"setelah corona kena PHKjgn dipersulit")</f>
        <v>Komennya banyak yg gak bagustp krn sy sangat membutuhkan sy coba download jugahidup untungantp ternyata gak bisa loginsemua sudah benaremailnmr Hp tp yg keluar paswordemail salahsy coba ganti pasword jawabannya tidak ditemukantolonglahkami rakyat gk mampusetelah corona kena PHKjgn dipersulit</v>
      </c>
      <c r="H19" s="17" t="str">
        <f t="shared" si="1"/>
        <v>komennya banyak yg gak bagustp krn sy sangat membutuhkan sy coba download jugahidup untungantp ternyata gak bisa loginsemua sudah benaremailnmr hp tp yg keluar paswordemail salahsy coba ganti pasword jawabannya tidak ditemukantolonglahkami rakyat gk mampusetelah corona kena phkjgn dipersulit</v>
      </c>
    </row>
    <row r="20">
      <c r="A20" s="16" t="s">
        <v>14</v>
      </c>
      <c r="B20" s="17" t="str">
        <f>IFERROR(__xludf.DUMMYFUNCTION("REGEXREPLACE(A20,$A$2, )"),"Sedikit masukan. Untuk menu usulan sebaiknya ditambah kolom keterangan. Krna jika hnya melihat dr ktp dan foto rumah saja tdk bsa menggambarkan kseluruhan kondisi keluarga yg diusulkan. Tetangga saya ada yg rumahnya msh tanah tp sawah nya dmna2 dpt bntuan"&amp;". Trs ada lansia yg tinggal sndri dan rumah jg pnya sodara mlh g dpt bantuan. Mohon bsa jd masukan agar dpt dikembangkan lg aplikasinya. Trims")</f>
        <v>Sedikit masukan. Untuk menu usulan sebaiknya ditambah kolom keterangan. Krna jika hnya melihat dr ktp dan foto rumah saja tdk bsa menggambarkan kseluruhan kondisi keluarga yg diusulkan. Tetangga saya ada yg rumahnya msh tanah tp sawah nya dmna2 dpt bntuan. Trs ada lansia yg tinggal sndri dan rumah jg pnya sodara mlh g dpt bantuan. Mohon bsa jd masukan agar dpt dikembangkan lg aplikasinya. Trims</v>
      </c>
      <c r="C20" s="17" t="str">
        <f>IFERROR(__xludf.DUMMYFUNCTION("REGEXREPLACE(B20,$A$3, )"),"Sedikit masukan. Untuk menu usulan sebaiknya ditambah kolom keterangan. Krna jika hnya melihat dr ktp dan foto rumah saja tdk bsa menggambarkan kseluruhan kondisi keluarga yg diusulkan. Tetangga saya ada yg rumahnya msh tanah tp sawah nya dmna2 dpt bntuan"&amp;". Trs ada lansia yg tinggal sndri dan rumah jg pnya sodara mlh g dpt bantuan. Mohon bsa jd masukan agar dpt dikembangkan lg aplikasinya. Trims")</f>
        <v>Sedikit masukan. Untuk menu usulan sebaiknya ditambah kolom keterangan. Krna jika hnya melihat dr ktp dan foto rumah saja tdk bsa menggambarkan kseluruhan kondisi keluarga yg diusulkan. Tetangga saya ada yg rumahnya msh tanah tp sawah nya dmna2 dpt bntuan. Trs ada lansia yg tinggal sndri dan rumah jg pnya sodara mlh g dpt bantuan. Mohon bsa jd masukan agar dpt dikembangkan lg aplikasinya. Trims</v>
      </c>
      <c r="D20" s="17" t="str">
        <f>IFERROR(__xludf.DUMMYFUNCTION("REGEXREPLACE(C20,$A$4, )"),"Sedikit masukan. Untuk menu usulan sebaiknya ditambah kolom keterangan. Krna jika hnya melihat dr ktp dan foto rumah saja tdk bsa menggambarkan kseluruhan kondisi keluarga yg diusulkan. Tetangga saya ada yg rumahnya msh tanah tp sawah nya dmna2 dpt bntuan"&amp;". Trs ada lansia yg tinggal sndri dan rumah jg pnya sodara mlh g dpt bantuan. Mohon bsa jd masukan agar dpt dikembangkan lg aplikasinya. Trims")</f>
        <v>Sedikit masukan. Untuk menu usulan sebaiknya ditambah kolom keterangan. Krna jika hnya melihat dr ktp dan foto rumah saja tdk bsa menggambarkan kseluruhan kondisi keluarga yg diusulkan. Tetangga saya ada yg rumahnya msh tanah tp sawah nya dmna2 dpt bntuan. Trs ada lansia yg tinggal sndri dan rumah jg pnya sodara mlh g dpt bantuan. Mohon bsa jd masukan agar dpt dikembangkan lg aplikasinya. Trims</v>
      </c>
      <c r="E20" s="17" t="str">
        <f>IFERROR(__xludf.DUMMYFUNCTION("REGEXREPLACE(D20,$A$5, )"),"Sedikit masukan. Untuk menu usulan sebaiknya ditambah kolom keterangan. Krna jika hnya melihat dr ktp dan foto rumah saja tdk bsa menggambarkan kseluruhan kondisi keluarga yg diusulkan. Tetangga saya ada yg rumahnya msh tanah tp sawah nya dmna dpt bntuan."&amp;" Trs ada lansia yg tinggal sndri dan rumah jg pnya sodara mlh g dpt bantuan. Mohon bsa jd masukan agar dpt dikembangkan lg aplikasinya. Trims")</f>
        <v>Sedikit masukan. Untuk menu usulan sebaiknya ditambah kolom keterangan. Krna jika hnya melihat dr ktp dan foto rumah saja tdk bsa menggambarkan kseluruhan kondisi keluarga yg diusulkan. Tetangga saya ada yg rumahnya msh tanah tp sawah nya dmna dpt bntuan. Trs ada lansia yg tinggal sndri dan rumah jg pnya sodara mlh g dpt bantuan. Mohon bsa jd masukan agar dpt dikembangkan lg aplikasinya. Trims</v>
      </c>
      <c r="F20" s="17" t="str">
        <f>IFERROR(__xludf.DUMMYFUNCTION("REGEXREPLACE(E20,$A$6, )"),"Sedikit masukan Untuk menu usulan sebaiknya ditambah kolom keterangan Krna jika hnya melihat dr ktp dan foto rumah saja tdk bsa menggambarkan kseluruhan kondisi keluarga yg diusulkan Tetangga saya ada yg rumahnya msh tanah tp sawah nya dmna dpt bntuan Trs"&amp;" ada lansia yg tinggal sndri dan rumah jg pnya sodara mlh g dpt bantuan Mohon bsa jd masukan agar dpt dikembangkan lg aplikasinya Trims")</f>
        <v>Sedikit masukan Untuk menu usulan sebaiknya ditambah kolom keterangan Krna jika hnya melihat dr ktp dan foto rumah saja tdk bsa menggambarkan kseluruhan kondisi keluarga yg diusulkan Tetangga saya ada yg rumahnya msh tanah tp sawah nya dmna dpt bntuan Trs ada lansia yg tinggal sndri dan rumah jg pnya sodara mlh g dpt bantuan Mohon bsa jd masukan agar dpt dikembangkan lg aplikasinya Trims</v>
      </c>
      <c r="G20" s="18" t="str">
        <f>IFERROR(__xludf.DUMMYFUNCTION("REGEXREPLACE(F20,$A$7, )"),"Sedikit masukan Untuk menu usulan sebaiknya ditambah kolom keterangan Krna jika hnya melihat dr ktp dan foto rumah saja tdk bsa menggambarkan kseluruhan kondisi keluarga yg diusulkan Tetangga saya ada yg rumahnya msh tanah tp sawah nya dmna dpt bntuan Trs"&amp;" ada lansia yg tinggal sndri dan rumah jg pnya sodara mlh g dpt bantuan Mohon bsa jd masukan agar dpt dikembangkan lg aplikasinya Trims")</f>
        <v>Sedikit masukan Untuk menu usulan sebaiknya ditambah kolom keterangan Krna jika hnya melihat dr ktp dan foto rumah saja tdk bsa menggambarkan kseluruhan kondisi keluarga yg diusulkan Tetangga saya ada yg rumahnya msh tanah tp sawah nya dmna dpt bntuan Trs ada lansia yg tinggal sndri dan rumah jg pnya sodara mlh g dpt bantuan Mohon bsa jd masukan agar dpt dikembangkan lg aplikasinya Trims</v>
      </c>
      <c r="H20" s="17" t="str">
        <f t="shared" si="1"/>
        <v>sedikit masukan untuk menu usulan sebaiknya ditambah kolom keterangan krna jika hnya melihat dr ktp dan foto rumah saja tdk bsa menggambarkan kseluruhan kondisi keluarga yg diusulkan tetangga saya ada yg rumahnya msh tanah tp sawah nya dmna dpt bntuan trs ada lansia yg tinggal sndri dan rumah jg pnya sodara mlh g dpt bantuan mohon bsa jd masukan agar dpt dikembangkan lg aplikasinya trims</v>
      </c>
    </row>
    <row r="21">
      <c r="A21" s="16" t="s">
        <v>15</v>
      </c>
      <c r="B21" s="17" t="str">
        <f>IFERROR(__xludf.DUMMYFUNCTION("REGEXREPLACE(A21,$A$2, )"),"Awalnya sempet ragu dengan aplikasi ini karena sudah registrasi tapi tidak bisa dibuka,, Ternyata harus nunggu di aktivasi terlebih dahulu, setelah mendapatkan notifikasi bahwa sudah aktiv, baru aplikasi ini bisa digunakan")</f>
        <v>Awalnya sempet ragu dengan aplikasi ini karena sudah registrasi tapi tidak bisa dibuka,, Ternyata harus nunggu di aktivasi terlebih dahulu, setelah mendapatkan notifikasi bahwa sudah aktiv, baru aplikasi ini bisa digunakan</v>
      </c>
      <c r="C21" s="17" t="str">
        <f>IFERROR(__xludf.DUMMYFUNCTION("REGEXREPLACE(B21,$A$3, )"),"Awalnya sempet ragu dengan aplikasi ini karena sudah registrasi tapi tidak bisa dibuka,, Ternyata harus nunggu di aktivasi terlebih dahulu, setelah mendapatkan notifikasi bahwa sudah aktiv, baru aplikasi ini bisa digunakan")</f>
        <v>Awalnya sempet ragu dengan aplikasi ini karena sudah registrasi tapi tidak bisa dibuka,, Ternyata harus nunggu di aktivasi terlebih dahulu, setelah mendapatkan notifikasi bahwa sudah aktiv, baru aplikasi ini bisa digunakan</v>
      </c>
      <c r="D21" s="17" t="str">
        <f>IFERROR(__xludf.DUMMYFUNCTION("REGEXREPLACE(C21,$A$4, )"),"Awalnya sempet ragu dengan aplikasi ini karena sudah registrasi tapi tidak bisa dibuka,, Ternyata harus nunggu di aktivasi terlebih dahulu, setelah mendapatkan notifikasi bahwa sudah aktiv, baru aplikasi ini bisa digunakan")</f>
        <v>Awalnya sempet ragu dengan aplikasi ini karena sudah registrasi tapi tidak bisa dibuka,, Ternyata harus nunggu di aktivasi terlebih dahulu, setelah mendapatkan notifikasi bahwa sudah aktiv, baru aplikasi ini bisa digunakan</v>
      </c>
      <c r="E21" s="17" t="str">
        <f>IFERROR(__xludf.DUMMYFUNCTION("REGEXREPLACE(D21,$A$5, )"),"Awalnya sempet ragu dengan aplikasi ini karena sudah registrasi tapi tidak bisa dibuka,, Ternyata harus nunggu di aktivasi terlebih dahulu, setelah mendapatkan notifikasi bahwa sudah aktiv, baru aplikasi ini bisa digunakan")</f>
        <v>Awalnya sempet ragu dengan aplikasi ini karena sudah registrasi tapi tidak bisa dibuka,, Ternyata harus nunggu di aktivasi terlebih dahulu, setelah mendapatkan notifikasi bahwa sudah aktiv, baru aplikasi ini bisa digunakan</v>
      </c>
      <c r="F21" s="17" t="str">
        <f>IFERROR(__xludf.DUMMYFUNCTION("REGEXREPLACE(E21,$A$6, )"),"Awalnya sempet ragu dengan aplikasi ini karena sudah registrasi tapi tidak bisa dibuka Ternyata harus nunggu di aktivasi terlebih dahulu setelah mendapatkan notifikasi bahwa sudah aktiv baru aplikasi ini bisa digunakan")</f>
        <v>Awalnya sempet ragu dengan aplikasi ini karena sudah registrasi tapi tidak bisa dibuka Ternyata harus nunggu di aktivasi terlebih dahulu setelah mendapatkan notifikasi bahwa sudah aktiv baru aplikasi ini bisa digunakan</v>
      </c>
      <c r="G21" s="18" t="str">
        <f>IFERROR(__xludf.DUMMYFUNCTION("REGEXREPLACE(F21,$A$7, )"),"Awalnya sempet ragu dengan aplikasi ini karena sudah registrasi tapi tidak bisa dibuka Ternyata harus nunggu di aktivasi terlebih dahulu setelah mendapatkan notifikasi bahwa sudah aktiv baru aplikasi ini bisa digunakan")</f>
        <v>Awalnya sempet ragu dengan aplikasi ini karena sudah registrasi tapi tidak bisa dibuka Ternyata harus nunggu di aktivasi terlebih dahulu setelah mendapatkan notifikasi bahwa sudah aktiv baru aplikasi ini bisa digunakan</v>
      </c>
      <c r="H21" s="17" t="str">
        <f t="shared" si="1"/>
        <v>awalnya sempet ragu dengan aplikasi ini karena sudah registrasi tapi tidak bisa dibuka ternyata harus nunggu di aktivasi terlebih dahulu setelah mendapatkan notifikasi bahwa sudah aktiv baru aplikasi ini bisa digunakan</v>
      </c>
    </row>
    <row r="22">
      <c r="A22" s="16" t="s">
        <v>16</v>
      </c>
      <c r="B22" s="17" t="str">
        <f>IFERROR(__xludf.DUMMYFUNCTION("REGEXREPLACE(A22,$A$2, )"),"Kalau bisa beri pilihan batal utk tanggapan kelayakan karena banyak kesama'an Nama&amp;usia dlm satu Desa/wilayah jadi jika ada yg salah meng klik Nama dalam memberikan tanggapan kelayakan bisa di cancel,terus sebisa mungkin disetiap Nama penerima manfaat dic"&amp;"antumkan Nama Dukuh/Dusunnya&amp;RT/RW nya juga krn itu sangat penting supaya tepat sasaran")</f>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c r="C22" s="17" t="str">
        <f>IFERROR(__xludf.DUMMYFUNCTION("REGEXREPLACE(B22,$A$3, )"),"Kalau bisa beri pilihan batal utk tanggapan kelayakan karena banyak kesama'an Nama&amp;usia dlm satu Desa/wilayah jadi jika ada yg salah meng klik Nama dalam memberikan tanggapan kelayakan bisa di cancel,terus sebisa mungkin disetiap Nama penerima manfaat dic"&amp;"antumkan Nama Dukuh/Dusunnya&amp;RT/RW nya juga krn itu sangat penting supaya tepat sasaran")</f>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c r="D22" s="17" t="str">
        <f>IFERROR(__xludf.DUMMYFUNCTION("REGEXREPLACE(C22,$A$4, )"),"Kalau bisa beri pilihan batal utk tanggapan kelayakan karena banyak kesama'an Nama&amp;usia dlm satu Desa/wilayah jadi jika ada yg salah meng klik Nama dalam memberikan tanggapan kelayakan bisa di cancel,terus sebisa mungkin disetiap Nama penerima manfaat dic"&amp;"antumkan Nama Dukuh/Dusunnya&amp;RT/RW nya juga krn itu sangat penting supaya tepat sasaran")</f>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c r="E22" s="17" t="str">
        <f>IFERROR(__xludf.DUMMYFUNCTION("REGEXREPLACE(D22,$A$5, )"),"Kalau bisa beri pilihan batal utk tanggapan kelayakan karena banyak kesama'an Nama&amp;usia dlm satu Desa/wilayah jadi jika ada yg salah meng klik Nama dalam memberikan tanggapan kelayakan bisa di cancel,terus sebisa mungkin disetiap Nama penerima manfaat dic"&amp;"antumkan Nama Dukuh/Dusunnya&amp;RT/RW nya juga krn itu sangat penting supaya tepat sasaran")</f>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c r="F22" s="17" t="str">
        <f>IFERROR(__xludf.DUMMYFUNCTION("REGEXREPLACE(E22,$A$6, )"),"Kalau bisa beri pilihan batal utk tanggapan kelayakan karena banyak kesamaan Nama&amp;usia dlm satu Desawilayah jadi jika ada yg salah meng klik Nama dalam memberikan tanggapan kelayakan bisa di cancelterus sebisa mungkin disetiap Nama penerima manfaat dicant"&amp;"umkan Nama DukuhDusunnya&amp;RTRW nya juga krn itu sangat penting supaya tepat sasaran")</f>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c r="G22" s="18" t="str">
        <f>IFERROR(__xludf.DUMMYFUNCTION("REGEXREPLACE(F22,$A$7, )"),"Kalau bisa beri pilihan batal utk tanggapan kelayakan karena banyak kesamaan Nama&amp;usia dlm satu Desawilayah jadi jika ada yg salah meng klik Nama dalam memberikan tanggapan kelayakan bisa di cancelterus sebisa mungkin disetiap Nama penerima manfaat dicant"&amp;"umkan Nama DukuhDusunnya&amp;RTRW nya juga krn itu sangat penting supaya tepat sasaran")</f>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c r="H22" s="17" t="str">
        <f t="shared" si="1"/>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row>
    <row r="23">
      <c r="A23" s="16" t="s">
        <v>17</v>
      </c>
      <c r="B23" s="17" t="str">
        <f>IFERROR(__xludf.DUMMYFUNCTION("REGEXREPLACE(A23,$A$2, )"),"Yg eror aplikasinya/cara mndaftarnya... Baru buat akun kok sudah terdaftar giliran login salah user/pasword...jadi bingung bantuan cair cuma bisa lihat/dengar dari jauh...")</f>
        <v>Yg eror aplikasinya/cara mndaftarnya... Baru buat akun kok sudah terdaftar giliran login salah user/pasword...jadi bingung bantuan cair cuma bisa lihat/dengar dari jauh...</v>
      </c>
      <c r="C23" s="17" t="str">
        <f>IFERROR(__xludf.DUMMYFUNCTION("REGEXREPLACE(B23,$A$3, )"),"Yg eror aplikasinya/cara mndaftarnya... Baru buat akun kok sudah terdaftar giliran login salah user/pasword...jadi bingung bantuan cair cuma bisa lihat/dengar dari jauh...")</f>
        <v>Yg eror aplikasinya/cara mndaftarnya... Baru buat akun kok sudah terdaftar giliran login salah user/pasword...jadi bingung bantuan cair cuma bisa lihat/dengar dari jauh...</v>
      </c>
      <c r="D23" s="17" t="str">
        <f>IFERROR(__xludf.DUMMYFUNCTION("REGEXREPLACE(C23,$A$4, )"),"Yg eror aplikasinya/cara mndaftarnya... Baru buat akun kok sudah terdaftar giliran login salah user/pasword...jadi bingung bantuan cair cuma bisa lihat/dengar dari jauh...")</f>
        <v>Yg eror aplikasinya/cara mndaftarnya... Baru buat akun kok sudah terdaftar giliran login salah user/pasword...jadi bingung bantuan cair cuma bisa lihat/dengar dari jauh...</v>
      </c>
      <c r="E23" s="17" t="str">
        <f>IFERROR(__xludf.DUMMYFUNCTION("REGEXREPLACE(D23,$A$5, )"),"Yg eror aplikasinya/cara mndaftarnya... Baru buat akun kok sudah terdaftar giliran login salah user/pasword...jadi bingung bantuan cair cuma bisa lihat/dengar dari jauh...")</f>
        <v>Yg eror aplikasinya/cara mndaftarnya... Baru buat akun kok sudah terdaftar giliran login salah user/pasword...jadi bingung bantuan cair cuma bisa lihat/dengar dari jauh...</v>
      </c>
      <c r="F23" s="17" t="str">
        <f>IFERROR(__xludf.DUMMYFUNCTION("REGEXREPLACE(E23,$A$6, )"),"Yg eror aplikasinyacara mndaftarnya Baru buat akun kok sudah terdaftar giliran login salah userpaswordjadi bingung bantuan cair cuma bisa lihatdengar dari jauh")</f>
        <v>Yg eror aplikasinyacara mndaftarnya Baru buat akun kok sudah terdaftar giliran login salah userpaswordjadi bingung bantuan cair cuma bisa lihatdengar dari jauh</v>
      </c>
      <c r="G23" s="18" t="str">
        <f>IFERROR(__xludf.DUMMYFUNCTION("REGEXREPLACE(F23,$A$7, )"),"Yg eror aplikasinyacara mndaftarnya Baru buat akun kok sudah terdaftar giliran login salah userpaswordjadi bingung bantuan cair cuma bisa lihatdengar dari jauh")</f>
        <v>Yg eror aplikasinyacara mndaftarnya Baru buat akun kok sudah terdaftar giliran login salah userpaswordjadi bingung bantuan cair cuma bisa lihatdengar dari jauh</v>
      </c>
      <c r="H23" s="17" t="str">
        <f t="shared" si="1"/>
        <v>yg eror aplikasinyacara mndaftarnya baru buat akun kok sudah terdaftar giliran login salah userpaswordjadi bingung bantuan cair cuma bisa lihatdengar dari jauh</v>
      </c>
    </row>
    <row r="24">
      <c r="A24" s="16" t="s">
        <v>18</v>
      </c>
      <c r="B24" s="17" t="str">
        <f>IFERROR(__xludf.DUMMYFUNCTION("REGEXREPLACE(A24,$A$2, )"),"Aplikasinya eror, tidak bisa masukan data. Di logout login lg jg gk bisa. Kenapa rata rata aplikasi punya pemerintah sering down begini?")</f>
        <v>Aplikasinya eror, tidak bisa masukan data. Di logout login lg jg gk bisa. Kenapa rata rata aplikasi punya pemerintah sering down begini?</v>
      </c>
      <c r="C24" s="17" t="str">
        <f>IFERROR(__xludf.DUMMYFUNCTION("REGEXREPLACE(B24,$A$3, )"),"Aplikasinya eror, tidak bisa masukan data. Di logout login lg jg gk bisa. Kenapa rata rata aplikasi punya pemerintah sering down begini?")</f>
        <v>Aplikasinya eror, tidak bisa masukan data. Di logout login lg jg gk bisa. Kenapa rata rata aplikasi punya pemerintah sering down begini?</v>
      </c>
      <c r="D24" s="17" t="str">
        <f>IFERROR(__xludf.DUMMYFUNCTION("REGEXREPLACE(C24,$A$4, )"),"Aplikasinya eror, tidak bisa masukan data. Di logout login lg jg gk bisa. Kenapa rata rata aplikasi punya pemerintah sering down begini?")</f>
        <v>Aplikasinya eror, tidak bisa masukan data. Di logout login lg jg gk bisa. Kenapa rata rata aplikasi punya pemerintah sering down begini?</v>
      </c>
      <c r="E24" s="17" t="str">
        <f>IFERROR(__xludf.DUMMYFUNCTION("REGEXREPLACE(D24,$A$5, )"),"Aplikasinya eror, tidak bisa masukan data. Di logout login lg jg gk bisa. Kenapa rata rata aplikasi punya pemerintah sering down begini?")</f>
        <v>Aplikasinya eror, tidak bisa masukan data. Di logout login lg jg gk bisa. Kenapa rata rata aplikasi punya pemerintah sering down begini?</v>
      </c>
      <c r="F24" s="17" t="str">
        <f>IFERROR(__xludf.DUMMYFUNCTION("REGEXREPLACE(E24,$A$6, )"),"Aplikasinya eror tidak bisa masukan data Di logout login lg jg gk bisa Kenapa rata rata aplikasi punya pemerintah sering down begini")</f>
        <v>Aplikasinya eror tidak bisa masukan data Di logout login lg jg gk bisa Kenapa rata rata aplikasi punya pemerintah sering down begini</v>
      </c>
      <c r="G24" s="18" t="str">
        <f>IFERROR(__xludf.DUMMYFUNCTION("REGEXREPLACE(F24,$A$7, )"),"Aplikasinya eror tidak bisa masukan data Di logout login lg jg gk bisa Kenapa rata rata aplikasi punya pemerintah sering down begini")</f>
        <v>Aplikasinya eror tidak bisa masukan data Di logout login lg jg gk bisa Kenapa rata rata aplikasi punya pemerintah sering down begini</v>
      </c>
      <c r="H24" s="17" t="str">
        <f t="shared" si="1"/>
        <v>aplikasinya eror tidak bisa masukan data di logout login lg jg gk bisa kenapa rata rata aplikasi punya pemerintah sering down begini</v>
      </c>
    </row>
    <row r="25">
      <c r="A25" s="16" t="s">
        <v>19</v>
      </c>
      <c r="B25" s="17" t="str">
        <f>IFERROR(__xludf.DUMMYFUNCTION("REGEXREPLACE(A25,$A$2, )"),"Saya merubah ulasan saya karna saya sudah bisa masuk di aplikasi ini. Selanjutnya saya belum mencoba semuanya dan kita lihat nanti pungsi dari aplikasi ini,apakah bintangnya bisa bertambah,tetap atau malah berkurang")</f>
        <v>Saya merubah ulasan saya karna saya sudah bisa masuk di aplikasi ini. Selanjutnya saya belum mencoba semuanya dan kita lihat nanti pungsi dari aplikasi ini,apakah bintangnya bisa bertambah,tetap atau malah berkurang</v>
      </c>
      <c r="C25" s="17" t="str">
        <f>IFERROR(__xludf.DUMMYFUNCTION("REGEXREPLACE(B25,$A$3, )"),"Saya merubah ulasan saya karna saya sudah bisa masuk di aplikasi ini. Selanjutnya saya belum mencoba semuanya dan kita lihat nanti pungsi dari aplikasi ini,apakah bintangnya bisa bertambah,tetap atau malah berkurang")</f>
        <v>Saya merubah ulasan saya karna saya sudah bisa masuk di aplikasi ini. Selanjutnya saya belum mencoba semuanya dan kita lihat nanti pungsi dari aplikasi ini,apakah bintangnya bisa bertambah,tetap atau malah berkurang</v>
      </c>
      <c r="D25" s="17" t="str">
        <f>IFERROR(__xludf.DUMMYFUNCTION("REGEXREPLACE(C25,$A$4, )"),"Saya merubah ulasan saya karna saya sudah bisa masuk di aplikasi ini. Selanjutnya saya belum mencoba semuanya dan kita lihat nanti pungsi dari aplikasi ini,apakah bintangnya bisa bertambah,tetap atau malah berkurang")</f>
        <v>Saya merubah ulasan saya karna saya sudah bisa masuk di aplikasi ini. Selanjutnya saya belum mencoba semuanya dan kita lihat nanti pungsi dari aplikasi ini,apakah bintangnya bisa bertambah,tetap atau malah berkurang</v>
      </c>
      <c r="E25" s="17" t="str">
        <f>IFERROR(__xludf.DUMMYFUNCTION("REGEXREPLACE(D25,$A$5, )"),"Saya merubah ulasan saya karna saya sudah bisa masuk di aplikasi ini. Selanjutnya saya belum mencoba semuanya dan kita lihat nanti pungsi dari aplikasi ini,apakah bintangnya bisa bertambah,tetap atau malah berkurang")</f>
        <v>Saya merubah ulasan saya karna saya sudah bisa masuk di aplikasi ini. Selanjutnya saya belum mencoba semuanya dan kita lihat nanti pungsi dari aplikasi ini,apakah bintangnya bisa bertambah,tetap atau malah berkurang</v>
      </c>
      <c r="F25" s="17" t="str">
        <f>IFERROR(__xludf.DUMMYFUNCTION("REGEXREPLACE(E25,$A$6, )"),"Saya merubah ulasan saya karna saya sudah bisa masuk di aplikasi ini Selanjutnya saya belum mencoba semuanya dan kita lihat nanti pungsi dari aplikasi iniapakah bintangnya bisa bertambahtetap atau malah berkurang")</f>
        <v>Saya merubah ulasan saya karna saya sudah bisa masuk di aplikasi ini Selanjutnya saya belum mencoba semuanya dan kita lihat nanti pungsi dari aplikasi iniapakah bintangnya bisa bertambahtetap atau malah berkurang</v>
      </c>
      <c r="G25" s="18" t="str">
        <f>IFERROR(__xludf.DUMMYFUNCTION("REGEXREPLACE(F25,$A$7, )"),"Saya merubah ulasan saya karna saya sudah bisa masuk di aplikasi ini Selanjutnya saya belum mencoba semuanya dan kita lihat nanti pungsi dari aplikasi iniapakah bintangnya bisa bertambahtetap atau malah berkurang")</f>
        <v>Saya merubah ulasan saya karna saya sudah bisa masuk di aplikasi ini Selanjutnya saya belum mencoba semuanya dan kita lihat nanti pungsi dari aplikasi iniapakah bintangnya bisa bertambahtetap atau malah berkurang</v>
      </c>
      <c r="H25" s="17" t="str">
        <f t="shared" si="1"/>
        <v>saya merubah ulasan saya karna saya sudah bisa masuk di aplikasi ini selanjutnya saya belum mencoba semuanya dan kita lihat nanti pungsi dari aplikasi iniapakah bintangnya bisa bertambahtetap atau malah berkurang</v>
      </c>
    </row>
    <row r="26">
      <c r="A26" s="16" t="s">
        <v>20</v>
      </c>
      <c r="B26" s="17" t="str">
        <f>IFERROR(__xludf.DUMMYFUNCTION("REGEXREPLACE(A26,$A$2, )"),"Aplikasi dan program yang sangat membantu masyarakat menengah(miskin) atau rentan miskin.. sangat bermanfaat untuk penerima... LANJUTKAN.....!!")</f>
        <v>Aplikasi dan program yang sangat membantu masyarakat menengah(miskin) atau rentan miskin.. sangat bermanfaat untuk penerima... LANJUTKAN.....!!</v>
      </c>
      <c r="C26" s="17" t="str">
        <f>IFERROR(__xludf.DUMMYFUNCTION("REGEXREPLACE(B26,$A$3, )"),"Aplikasi dan program yang sangat membantu masyarakat menengah(miskin) atau rentan miskin.. sangat bermanfaat untuk penerima... LANJUTKAN.....!!")</f>
        <v>Aplikasi dan program yang sangat membantu masyarakat menengah(miskin) atau rentan miskin.. sangat bermanfaat untuk penerima... LANJUTKAN.....!!</v>
      </c>
      <c r="D26" s="17" t="str">
        <f>IFERROR(__xludf.DUMMYFUNCTION("REGEXREPLACE(C26,$A$4, )"),"Aplikasi dan program yang sangat membantu masyarakat menengah(miskin) atau rentan miskin.. sangat bermanfaat untuk penerima... LANJUTKAN.....!!")</f>
        <v>Aplikasi dan program yang sangat membantu masyarakat menengah(miskin) atau rentan miskin.. sangat bermanfaat untuk penerima... LANJUTKAN.....!!</v>
      </c>
      <c r="E26" s="17" t="str">
        <f>IFERROR(__xludf.DUMMYFUNCTION("REGEXREPLACE(D26,$A$5, )"),"Aplikasi dan program yang sangat membantu masyarakat menengah(miskin) atau rentan miskin.. sangat bermanfaat untuk penerima... LANJUTKAN.....!!")</f>
        <v>Aplikasi dan program yang sangat membantu masyarakat menengah(miskin) atau rentan miskin.. sangat bermanfaat untuk penerima... LANJUTKAN.....!!</v>
      </c>
      <c r="F26" s="17" t="str">
        <f>IFERROR(__xludf.DUMMYFUNCTION("REGEXREPLACE(E26,$A$6, )"),"Aplikasi dan program yang sangat membantu masyarakat menengahmiskin atau rentan miskin sangat bermanfaat untuk penerima LANJUTKAN")</f>
        <v>Aplikasi dan program yang sangat membantu masyarakat menengahmiskin atau rentan miskin sangat bermanfaat untuk penerima LANJUTKAN</v>
      </c>
      <c r="G26" s="18" t="str">
        <f>IFERROR(__xludf.DUMMYFUNCTION("REGEXREPLACE(F26,$A$7, )"),"Aplikasi dan program yang sangat membantu masyarakat menengahmiskin atau rentan miskin sangat bermanfaat untuk penerima LANJUTKAN")</f>
        <v>Aplikasi dan program yang sangat membantu masyarakat menengahmiskin atau rentan miskin sangat bermanfaat untuk penerima LANJUTKAN</v>
      </c>
      <c r="H26" s="17" t="str">
        <f t="shared" si="1"/>
        <v>aplikasi dan program yang sangat membantu masyarakat menengahmiskin atau rentan miskin sangat bermanfaat untuk penerima lanjutkan</v>
      </c>
    </row>
    <row r="27">
      <c r="A27" s="16" t="s">
        <v>21</v>
      </c>
      <c r="B27" s="17" t="str">
        <f>IFERROR(__xludf.DUMMYFUNCTION("REGEXREPLACE(A27,$A$2, )"),"Saya kasi 5 bintang bentuk apresiasi untuk pemerintah untuk go digital.. tapi saya mau bertanya, kenapa situs2 pemerintahan sangat lambat loading, dan kontak cs.nya gak ada yang respon jika dihubungi.. sedangkan kami ini, yang pemula didunia digital denga"&amp;"n modal uang jajan, bisa dapat server yg bagus, walaupun diakses dengan koneksi internet seadanya.. HERAN! dan lagi-lagi situs2 pemerintahan isinya 'kurang menarik' mohon maaf🙏🙏")</f>
        <v>Saya kasi 5 bintang bentuk apresiasi untuk pemerintah untuk go digital.. tapi saya mau bertanya, kenapa situs2 pemerintahan sangat lambat loading, dan kontak cs.nya gak ada yang respon jika dihubungi.. sedangkan kami ini, yang pemula didunia digital dengan modal uang jajan, bisa dapat server yg bagus, walaupun diakses dengan koneksi internet seadanya.. HERAN! dan lagi-lagi situs2 pemerintahan isinya 'kurang menarik' mohon maaf🙏🙏</v>
      </c>
      <c r="C27" s="17" t="str">
        <f>IFERROR(__xludf.DUMMYFUNCTION("REGEXREPLACE(B27,$A$3, )"),"Saya kasi 5 bintang bentuk apresiasi untuk pemerintah untuk go digital.. tapi saya mau bertanya, kenapa situs2 pemerintahan sangat lambat loading, dan kontak cs.nya gak ada yang respon jika dihubungi.. sedangkan kami ini, yang pemula didunia digital denga"&amp;"n modal uang jajan, bisa dapat server yg bagus, walaupun diakses dengan koneksi internet seadanya.. HERAN! dan lagi-lagi situs2 pemerintahan isinya 'kurang menarik' mohon maaf🙏🙏")</f>
        <v>Saya kasi 5 bintang bentuk apresiasi untuk pemerintah untuk go digital.. tapi saya mau bertanya, kenapa situs2 pemerintahan sangat lambat loading, dan kontak cs.nya gak ada yang respon jika dihubungi.. sedangkan kami ini, yang pemula didunia digital dengan modal uang jajan, bisa dapat server yg bagus, walaupun diakses dengan koneksi internet seadanya.. HERAN! dan lagi-lagi situs2 pemerintahan isinya 'kurang menarik' mohon maaf🙏🙏</v>
      </c>
      <c r="D27" s="17" t="str">
        <f>IFERROR(__xludf.DUMMYFUNCTION("REGEXREPLACE(C27,$A$4, )"),"Saya kasi 5 bintang bentuk apresiasi untuk pemerintah untuk go digital.. tapi saya mau bertanya, kenapa situs2 pemerintahan sangat lambat loading, dan kontak cs.nya gak ada yang respon jika dihubungi.. sedangkan kami ini, yang pemula didunia digital denga"&amp;"n modal uang jajan, bisa dapat server yg bagus, walaupun diakses dengan koneksi internet seadanya.. HERAN! dan lagi-lagi situs2 pemerintahan isinya 'kurang menarik' mohon maaf🙏🙏")</f>
        <v>Saya kasi 5 bintang bentuk apresiasi untuk pemerintah untuk go digital.. tapi saya mau bertanya, kenapa situs2 pemerintahan sangat lambat loading, dan kontak cs.nya gak ada yang respon jika dihubungi.. sedangkan kami ini, yang pemula didunia digital dengan modal uang jajan, bisa dapat server yg bagus, walaupun diakses dengan koneksi internet seadanya.. HERAN! dan lagi-lagi situs2 pemerintahan isinya 'kurang menarik' mohon maaf🙏🙏</v>
      </c>
      <c r="E27" s="17" t="str">
        <f>IFERROR(__xludf.DUMMYFUNCTION("REGEXREPLACE(D27,$A$5, )"),"Saya kasi  bintang bentuk apresiasi untuk pemerintah untuk go digital.. tapi saya mau bertanya, kenapa situs pemerintahan sangat lambat loading, dan kontak cs.nya gak ada yang respon jika dihubungi.. sedangkan kami ini, yang pemula didunia digital dengan "&amp;"modal uang jajan, bisa dapat server yg bagus, walaupun diakses dengan koneksi internet seadanya.. HERAN! dan lagi-lagi situs pemerintahan isinya 'kurang menarik' mohon maaf🙏🙏")</f>
        <v>Saya kasi  bintang bentuk apresiasi untuk pemerintah untuk go digital.. tapi saya mau bertanya, kenapa situs pemerintahan sangat lambat loading, dan kontak cs.nya gak ada yang respon jika dihubungi.. sedangkan kami ini, yang pemula didunia digital dengan modal uang jajan, bisa dapat server yg bagus, walaupun diakses dengan koneksi internet seadanya.. HERAN! dan lagi-lagi situs pemerintahan isinya 'kurang menarik' mohon maaf🙏🙏</v>
      </c>
      <c r="F27" s="17" t="str">
        <f>IFERROR(__xludf.DUMMYFUNCTION("REGEXREPLACE(E27,$A$6, )"),"Saya kasi  bintang bentuk apresiasi untuk pemerintah untuk go digital tapi saya mau bertanya kenapa situs pemerintahan sangat lambat loading dan kontak csnya gak ada yang respon jika dihubungi sedangkan kami ini yang pemula didunia digital dengan modal ua"&amp;"ng jajan bisa dapat server yg bagus walaupun diakses dengan koneksi internet seadanya HERAN dan lagilagi situs pemerintahan isinya kurang menarik mohon maaf🙏🙏")</f>
        <v>Saya kasi  bintang bentuk apresiasi untuk pemerintah untuk go digital tapi saya mau bertanya kenapa situs pemerintahan sangat lambat loading dan kontak csnya gak ada yang respon jika dihubungi sedangkan kami ini yang pemula didunia digital dengan modal uang jajan bisa dapat server yg bagus walaupun diakses dengan koneksi internet seadanya HERAN dan lagilagi situs pemerintahan isinya kurang menarik mohon maaf🙏🙏</v>
      </c>
      <c r="G27" s="18" t="str">
        <f>IFERROR(__xludf.DUMMYFUNCTION("REGEXREPLACE(F27,$A$7, )"),"Saya kasi  bintang bentuk apresiasi untuk pemerintah untuk go digital tapi saya mau bertanya kenapa situs pemerintahan sangat lambat loading dan kontak csnya gak ada yang respon jika dihubungi sedangkan kami ini yang pemula didunia digital dengan modal ua"&amp;"ng jajan bisa dapat server yg bagus walaupun diakses dengan koneksi internet seadanya HERAN dan lagilagi situs pemerintahan isinya kurang menarik mohon maaf")</f>
        <v>Saya kasi  bintang bentuk apresiasi untuk pemerintah untuk go digital tapi saya mau bertanya kenapa situs pemerintahan sangat lambat loading dan kontak csnya gak ada yang respon jika dihubungi sedangkan kami ini yang pemula didunia digital dengan modal uang jajan bisa dapat server yg bagus walaupun diakses dengan koneksi internet seadanya HERAN dan lagilagi situs pemerintahan isinya kurang menarik mohon maaf</v>
      </c>
      <c r="H27" s="17" t="str">
        <f t="shared" si="1"/>
        <v>saya kasi  bintang bentuk apresiasi untuk pemerintah untuk go digital tapi saya mau bertanya kenapa situs pemerintahan sangat lambat loading dan kontak csnya gak ada yang respon jika dihubungi sedangkan kami ini yang pemula didunia digital dengan modal uang jajan bisa dapat server yg bagus walaupun diakses dengan koneksi internet seadanya heran dan lagilagi situs pemerintahan isinya kurang menarik mohon maaf</v>
      </c>
    </row>
    <row r="28">
      <c r="A28" s="16" t="s">
        <v>22</v>
      </c>
      <c r="B28" s="17" t="str">
        <f>IFERROR(__xludf.DUMMYFUNCTION("REGEXREPLACE(A28,$A$2, )"),"Aplikasinya tidak bisa buat akun baru. Padahal semua data sudah terisi dan lengkap. Saat tekan buat akun akun muncul eror")</f>
        <v>Aplikasinya tidak bisa buat akun baru. Padahal semua data sudah terisi dan lengkap. Saat tekan buat akun akun muncul eror</v>
      </c>
      <c r="C28" s="17" t="str">
        <f>IFERROR(__xludf.DUMMYFUNCTION("REGEXREPLACE(B28,$A$3, )"),"Aplikasinya tidak bisa buat akun baru. Padahal semua data sudah terisi dan lengkap. Saat tekan buat akun akun muncul eror")</f>
        <v>Aplikasinya tidak bisa buat akun baru. Padahal semua data sudah terisi dan lengkap. Saat tekan buat akun akun muncul eror</v>
      </c>
      <c r="D28" s="17" t="str">
        <f>IFERROR(__xludf.DUMMYFUNCTION("REGEXREPLACE(C28,$A$4, )"),"Aplikasinya tidak bisa buat akun baru. Padahal semua data sudah terisi dan lengkap. Saat tekan buat akun akun muncul eror")</f>
        <v>Aplikasinya tidak bisa buat akun baru. Padahal semua data sudah terisi dan lengkap. Saat tekan buat akun akun muncul eror</v>
      </c>
      <c r="E28" s="17" t="str">
        <f>IFERROR(__xludf.DUMMYFUNCTION("REGEXREPLACE(D28,$A$5, )"),"Aplikasinya tidak bisa buat akun baru. Padahal semua data sudah terisi dan lengkap. Saat tekan buat akun akun muncul eror")</f>
        <v>Aplikasinya tidak bisa buat akun baru. Padahal semua data sudah terisi dan lengkap. Saat tekan buat akun akun muncul eror</v>
      </c>
      <c r="F28" s="17" t="str">
        <f>IFERROR(__xludf.DUMMYFUNCTION("REGEXREPLACE(E28,$A$6, )"),"Aplikasinya tidak bisa buat akun baru Padahal semua data sudah terisi dan lengkap Saat tekan buat akun akun muncul eror")</f>
        <v>Aplikasinya tidak bisa buat akun baru Padahal semua data sudah terisi dan lengkap Saat tekan buat akun akun muncul eror</v>
      </c>
      <c r="G28" s="18" t="str">
        <f>IFERROR(__xludf.DUMMYFUNCTION("REGEXREPLACE(F28,$A$7, )"),"Aplikasinya tidak bisa buat akun baru Padahal semua data sudah terisi dan lengkap Saat tekan buat akun akun muncul eror")</f>
        <v>Aplikasinya tidak bisa buat akun baru Padahal semua data sudah terisi dan lengkap Saat tekan buat akun akun muncul eror</v>
      </c>
      <c r="H28" s="17" t="str">
        <f t="shared" si="1"/>
        <v>aplikasinya tidak bisa buat akun baru padahal semua data sudah terisi dan lengkap saat tekan buat akun akun muncul eror</v>
      </c>
    </row>
    <row r="29">
      <c r="A29" s="16" t="s">
        <v>23</v>
      </c>
      <c r="B29" s="17" t="str">
        <f>IFERROR(__xludf.DUMMYFUNCTION("REGEXREPLACE(A29,$A$2, )"),"Ini gimna yaa caranya setiap mau login selalu ada gangguan koneksi truss .. padahal saya uda terima email ke 2 dri kemensos tinggal login aja, tp selalu gak bisa di login. Tolonh balas donk kasi solusi nya")</f>
        <v>Ini gimna yaa caranya setiap mau login selalu ada gangguan koneksi truss .. padahal saya uda terima email ke 2 dri kemensos tinggal login aja, tp selalu gak bisa di login. Tolonh balas donk kasi solusi nya</v>
      </c>
      <c r="C29" s="17" t="str">
        <f>IFERROR(__xludf.DUMMYFUNCTION("REGEXREPLACE(B29,$A$3, )"),"Ini gimna yaa caranya setiap mau login selalu ada gangguan koneksi truss .. padahal saya uda terima email ke 2 dri kemensos tinggal login aja, tp selalu gak bisa di login. Tolonh balas donk kasi solusi nya")</f>
        <v>Ini gimna yaa caranya setiap mau login selalu ada gangguan koneksi truss .. padahal saya uda terima email ke 2 dri kemensos tinggal login aja, tp selalu gak bisa di login. Tolonh balas donk kasi solusi nya</v>
      </c>
      <c r="D29" s="17" t="str">
        <f>IFERROR(__xludf.DUMMYFUNCTION("REGEXREPLACE(C29,$A$4, )"),"Ini gimna yaa caranya setiap mau login selalu ada gangguan koneksi truss .. padahal saya uda terima email ke 2 dri kemensos tinggal login aja, tp selalu gak bisa di login. Tolonh balas donk kasi solusi nya")</f>
        <v>Ini gimna yaa caranya setiap mau login selalu ada gangguan koneksi truss .. padahal saya uda terima email ke 2 dri kemensos tinggal login aja, tp selalu gak bisa di login. Tolonh balas donk kasi solusi nya</v>
      </c>
      <c r="E29" s="17" t="str">
        <f>IFERROR(__xludf.DUMMYFUNCTION("REGEXREPLACE(D29,$A$5, )"),"Ini gimna yaa caranya setiap mau login selalu ada gangguan koneksi truss .. padahal saya uda terima email ke  dri kemensos tinggal login aja, tp selalu gak bisa di login. Tolonh balas donk kasi solusi nya")</f>
        <v>Ini gimna yaa caranya setiap mau login selalu ada gangguan koneksi truss .. padahal saya uda terima email ke  dri kemensos tinggal login aja, tp selalu gak bisa di login. Tolonh balas donk kasi solusi nya</v>
      </c>
      <c r="F29" s="17" t="str">
        <f>IFERROR(__xludf.DUMMYFUNCTION("REGEXREPLACE(E29,$A$6, )"),"Ini gimna yaa caranya setiap mau login selalu ada gangguan koneksi truss  padahal saya uda terima email ke  dri kemensos tinggal login aja tp selalu gak bisa di login Tolonh balas donk kasi solusi nya")</f>
        <v>Ini gimna yaa caranya setiap mau login selalu ada gangguan koneksi truss  padahal saya uda terima email ke  dri kemensos tinggal login aja tp selalu gak bisa di login Tolonh balas donk kasi solusi nya</v>
      </c>
      <c r="G29" s="18" t="str">
        <f>IFERROR(__xludf.DUMMYFUNCTION("REGEXREPLACE(F29,$A$7, )"),"Ini gimna yaa caranya setiap mau login selalu ada gangguan koneksi truss  padahal saya uda terima email ke  dri kemensos tinggal login aja tp selalu gak bisa di login Tolonh balas donk kasi solusi nya")</f>
        <v>Ini gimna yaa caranya setiap mau login selalu ada gangguan koneksi truss  padahal saya uda terima email ke  dri kemensos tinggal login aja tp selalu gak bisa di login Tolonh balas donk kasi solusi nya</v>
      </c>
      <c r="H29" s="17" t="str">
        <f t="shared" si="1"/>
        <v>ini gimna yaa caranya setiap mau login selalu ada gangguan koneksi truss  padahal saya uda terima email ke  dri kemensos tinggal login aja tp selalu gak bisa di login tolonh balas donk kasi solusi nya</v>
      </c>
    </row>
    <row r="30">
      <c r="A30" s="16" t="s">
        <v>24</v>
      </c>
      <c r="B30" s="17" t="str">
        <f>IFERROR(__xludf.DUMMYFUNCTION("REGEXREPLACE(A30,$A$2, )"),"Kenapa tiap login mau tambah usulan selalu ada tulisan Error Json Parse. Mohon bantuannya tolong diperbaiki lagi Aplikasinya. Kalau Error mulu gimana caranya mau daftar nih. Admin yang baik hati tolong dong benerin aplikasinya. Terima kasih")</f>
        <v>Kenapa tiap login mau tambah usulan selalu ada tulisan Error Json Parse. Mohon bantuannya tolong diperbaiki lagi Aplikasinya. Kalau Error mulu gimana caranya mau daftar nih. Admin yang baik hati tolong dong benerin aplikasinya. Terima kasih</v>
      </c>
      <c r="C30" s="17" t="str">
        <f>IFERROR(__xludf.DUMMYFUNCTION("REGEXREPLACE(B30,$A$3, )"),"Kenapa tiap login mau tambah usulan selalu ada tulisan Error Json Parse. Mohon bantuannya tolong diperbaiki lagi Aplikasinya. Kalau Error mulu gimana caranya mau daftar nih. Admin yang baik hati tolong dong benerin aplikasinya. Terima kasih")</f>
        <v>Kenapa tiap login mau tambah usulan selalu ada tulisan Error Json Parse. Mohon bantuannya tolong diperbaiki lagi Aplikasinya. Kalau Error mulu gimana caranya mau daftar nih. Admin yang baik hati tolong dong benerin aplikasinya. Terima kasih</v>
      </c>
      <c r="D30" s="17" t="str">
        <f>IFERROR(__xludf.DUMMYFUNCTION("REGEXREPLACE(C30,$A$4, )"),"Kenapa tiap login mau tambah usulan selalu ada tulisan Error Json Parse. Mohon bantuannya tolong diperbaiki lagi Aplikasinya. Kalau Error mulu gimana caranya mau daftar nih. Admin yang baik hati tolong dong benerin aplikasinya. Terima kasih")</f>
        <v>Kenapa tiap login mau tambah usulan selalu ada tulisan Error Json Parse. Mohon bantuannya tolong diperbaiki lagi Aplikasinya. Kalau Error mulu gimana caranya mau daftar nih. Admin yang baik hati tolong dong benerin aplikasinya. Terima kasih</v>
      </c>
      <c r="E30" s="17" t="str">
        <f>IFERROR(__xludf.DUMMYFUNCTION("REGEXREPLACE(D30,$A$5, )"),"Kenapa tiap login mau tambah usulan selalu ada tulisan Error Json Parse. Mohon bantuannya tolong diperbaiki lagi Aplikasinya. Kalau Error mulu gimana caranya mau daftar nih. Admin yang baik hati tolong dong benerin aplikasinya. Terima kasih")</f>
        <v>Kenapa tiap login mau tambah usulan selalu ada tulisan Error Json Parse. Mohon bantuannya tolong diperbaiki lagi Aplikasinya. Kalau Error mulu gimana caranya mau daftar nih. Admin yang baik hati tolong dong benerin aplikasinya. Terima kasih</v>
      </c>
      <c r="F30" s="17" t="str">
        <f>IFERROR(__xludf.DUMMYFUNCTION("REGEXREPLACE(E30,$A$6, )"),"Kenapa tiap login mau tambah usulan selalu ada tulisan Error Json Parse Mohon bantuannya tolong diperbaiki lagi Aplikasinya Kalau Error mulu gimana caranya mau daftar nih Admin yang baik hati tolong dong benerin aplikasinya Terima kasih")</f>
        <v>Kenapa tiap login mau tambah usulan selalu ada tulisan Error Json Parse Mohon bantuannya tolong diperbaiki lagi Aplikasinya Kalau Error mulu gimana caranya mau daftar nih Admin yang baik hati tolong dong benerin aplikasinya Terima kasih</v>
      </c>
      <c r="G30" s="18" t="str">
        <f>IFERROR(__xludf.DUMMYFUNCTION("REGEXREPLACE(F30,$A$7, )"),"Kenapa tiap login mau tambah usulan selalu ada tulisan Error Json Parse Mohon bantuannya tolong diperbaiki lagi Aplikasinya Kalau Error mulu gimana caranya mau daftar nih Admin yang baik hati tolong dong benerin aplikasinya Terima kasih")</f>
        <v>Kenapa tiap login mau tambah usulan selalu ada tulisan Error Json Parse Mohon bantuannya tolong diperbaiki lagi Aplikasinya Kalau Error mulu gimana caranya mau daftar nih Admin yang baik hati tolong dong benerin aplikasinya Terima kasih</v>
      </c>
      <c r="H30" s="17" t="str">
        <f t="shared" si="1"/>
        <v>kenapa tiap login mau tambah usulan selalu ada tulisan error json parse mohon bantuannya tolong diperbaiki lagi aplikasinya kalau error mulu gimana caranya mau daftar nih admin yang baik hati tolong dong benerin aplikasinya terima kasih</v>
      </c>
    </row>
    <row r="31">
      <c r="A31" s="16" t="s">
        <v>25</v>
      </c>
      <c r="B31" s="17" t="str">
        <f>IFERROR(__xludf.DUMMYFUNCTION("REGEXREPLACE(A31,$A$2, )"),"Ubah jadi bintang 3 dulu, karena aplikasi bisa berfungsi baik setelah update, tinggal nunggu hasil dari usulan masyarakat yg di ajukan mandiri, bisa berfungsi tidak.")</f>
        <v>Ubah jadi bintang 3 dulu, karena aplikasi bisa berfungsi baik setelah update, tinggal nunggu hasil dari usulan masyarakat yg di ajukan mandiri, bisa berfungsi tidak.</v>
      </c>
      <c r="C31" s="17" t="str">
        <f>IFERROR(__xludf.DUMMYFUNCTION("REGEXREPLACE(B31,$A$3, )"),"Ubah jadi bintang 3 dulu, karena aplikasi bisa berfungsi baik setelah update, tinggal nunggu hasil dari usulan masyarakat yg di ajukan mandiri, bisa berfungsi tidak.")</f>
        <v>Ubah jadi bintang 3 dulu, karena aplikasi bisa berfungsi baik setelah update, tinggal nunggu hasil dari usulan masyarakat yg di ajukan mandiri, bisa berfungsi tidak.</v>
      </c>
      <c r="D31" s="17" t="str">
        <f>IFERROR(__xludf.DUMMYFUNCTION("REGEXREPLACE(C31,$A$4, )"),"Ubah jadi bintang 3 dulu, karena aplikasi bisa berfungsi baik setelah update, tinggal nunggu hasil dari usulan masyarakat yg di ajukan mandiri, bisa berfungsi tidak.")</f>
        <v>Ubah jadi bintang 3 dulu, karena aplikasi bisa berfungsi baik setelah update, tinggal nunggu hasil dari usulan masyarakat yg di ajukan mandiri, bisa berfungsi tidak.</v>
      </c>
      <c r="E31" s="17" t="str">
        <f>IFERROR(__xludf.DUMMYFUNCTION("REGEXREPLACE(D31,$A$5, )"),"Ubah jadi bintang  dulu, karena aplikasi bisa berfungsi baik setelah update, tinggal nunggu hasil dari usulan masyarakat yg di ajukan mandiri, bisa berfungsi tidak.")</f>
        <v>Ubah jadi bintang  dulu, karena aplikasi bisa berfungsi baik setelah update, tinggal nunggu hasil dari usulan masyarakat yg di ajukan mandiri, bisa berfungsi tidak.</v>
      </c>
      <c r="F31" s="17" t="str">
        <f>IFERROR(__xludf.DUMMYFUNCTION("REGEXREPLACE(E31,$A$6, )"),"Ubah jadi bintang  dulu karena aplikasi bisa berfungsi baik setelah update tinggal nunggu hasil dari usulan masyarakat yg di ajukan mandiri bisa berfungsi tidak")</f>
        <v>Ubah jadi bintang  dulu karena aplikasi bisa berfungsi baik setelah update tinggal nunggu hasil dari usulan masyarakat yg di ajukan mandiri bisa berfungsi tidak</v>
      </c>
      <c r="G31" s="18" t="str">
        <f>IFERROR(__xludf.DUMMYFUNCTION("REGEXREPLACE(F31,$A$7, )"),"Ubah jadi bintang  dulu karena aplikasi bisa berfungsi baik setelah update tinggal nunggu hasil dari usulan masyarakat yg di ajukan mandiri bisa berfungsi tidak")</f>
        <v>Ubah jadi bintang  dulu karena aplikasi bisa berfungsi baik setelah update tinggal nunggu hasil dari usulan masyarakat yg di ajukan mandiri bisa berfungsi tidak</v>
      </c>
      <c r="H31" s="17" t="str">
        <f t="shared" si="1"/>
        <v>ubah jadi bintang  dulu karena aplikasi bisa berfungsi baik setelah update tinggal nunggu hasil dari usulan masyarakat yg di ajukan mandiri bisa berfungsi tidak</v>
      </c>
    </row>
    <row r="32">
      <c r="A32" s="16" t="s">
        <v>26</v>
      </c>
      <c r="B32" s="17" t="str">
        <f>IFERROR(__xludf.DUMMYFUNCTION("REGEXREPLACE(A32,$A$2, )"),"Daftar akun baru karna gak punya akun dicek bansos, sudah isi data sesuai KTP tetap saja gagal, katanya(Terjadi Error Aplikasi, Silahkan Hubungi Admin),tujuan daftar mau ngusulkan lansia yang layak menerima bansos, namun tidak dapat bansos, hanya dapat be"&amp;"ritannya saja. Sedang mereka sangat membutuhkan.")</f>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c r="C32" s="17" t="str">
        <f>IFERROR(__xludf.DUMMYFUNCTION("REGEXREPLACE(B32,$A$3, )"),"Daftar akun baru karna gak punya akun dicek bansos, sudah isi data sesuai KTP tetap saja gagal, katanya(Terjadi Error Aplikasi, Silahkan Hubungi Admin),tujuan daftar mau ngusulkan lansia yang layak menerima bansos, namun tidak dapat bansos, hanya dapat be"&amp;"ritannya saja. Sedang mereka sangat membutuhkan.")</f>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c r="D32" s="17" t="str">
        <f>IFERROR(__xludf.DUMMYFUNCTION("REGEXREPLACE(C32,$A$4, )"),"Daftar akun baru karna gak punya akun dicek bansos, sudah isi data sesuai KTP tetap saja gagal, katanya(Terjadi Error Aplikasi, Silahkan Hubungi Admin),tujuan daftar mau ngusulkan lansia yang layak menerima bansos, namun tidak dapat bansos, hanya dapat be"&amp;"ritannya saja. Sedang mereka sangat membutuhkan.")</f>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c r="E32" s="17" t="str">
        <f>IFERROR(__xludf.DUMMYFUNCTION("REGEXREPLACE(D32,$A$5, )"),"Daftar akun baru karna gak punya akun dicek bansos, sudah isi data sesuai KTP tetap saja gagal, katanya(Terjadi Error Aplikasi, Silahkan Hubungi Admin),tujuan daftar mau ngusulkan lansia yang layak menerima bansos, namun tidak dapat bansos, hanya dapat be"&amp;"ritannya saja. Sedang mereka sangat membutuhkan.")</f>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c r="F32" s="17" t="str">
        <f>IFERROR(__xludf.DUMMYFUNCTION("REGEXREPLACE(E32,$A$6, )"),"Daftar akun baru karna gak punya akun dicek bansos sudah isi data sesuai KTP tetap saja gagal katanyaTerjadi Error Aplikasi Silahkan Hubungi Admintujuan daftar mau ngusulkan lansia yang layak menerima bansos namun tidak dapat bansos hanya dapat beritannya"&amp;" saja Sedang mereka sangat membutuhkan")</f>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c r="G32" s="18" t="str">
        <f>IFERROR(__xludf.DUMMYFUNCTION("REGEXREPLACE(F32,$A$7, )"),"Daftar akun baru karna gak punya akun dicek bansos sudah isi data sesuai KTP tetap saja gagal katanyaTerjadi Error Aplikasi Silahkan Hubungi Admintujuan daftar mau ngusulkan lansia yang layak menerima bansos namun tidak dapat bansos hanya dapat beritannya"&amp;" saja Sedang mereka sangat membutuhkan")</f>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c r="H32" s="17" t="str">
        <f t="shared" si="1"/>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row>
    <row r="33">
      <c r="A33" s="16" t="s">
        <v>27</v>
      </c>
      <c r="B33" s="17" t="str">
        <f>IFERROR(__xludf.DUMMYFUNCTION("REGEXREPLACE(A33,$A$2, )"),"Mohon ditingkatkan lagi admin, karna di desa saya belum ada jaringan untuk mengupload setelah foto ktp dan foto rumah, kalau bisa ada mode save nya agar ketika sudah dapat jaringan bisa di lanjutkan untuk pengaplotan usulan, Terimakasih! Salam Desa awiu K"&amp;"oltim Aere")</f>
        <v>Mohon ditingkatkan lagi admin, karna di desa saya belum ada jaringan untuk mengupload setelah foto ktp dan foto rumah, kalau bisa ada mode save nya agar ketika sudah dapat jaringan bisa di lanjutkan untuk pengaplotan usulan, Terimakasih! Salam Desa awiu Koltim Aere</v>
      </c>
      <c r="C33" s="17" t="str">
        <f>IFERROR(__xludf.DUMMYFUNCTION("REGEXREPLACE(B33,$A$3, )"),"Mohon ditingkatkan lagi admin, karna di desa saya belum ada jaringan untuk mengupload setelah foto ktp dan foto rumah, kalau bisa ada mode save nya agar ketika sudah dapat jaringan bisa di lanjutkan untuk pengaplotan usulan, Terimakasih! Salam Desa awiu K"&amp;"oltim Aere")</f>
        <v>Mohon ditingkatkan lagi admin, karna di desa saya belum ada jaringan untuk mengupload setelah foto ktp dan foto rumah, kalau bisa ada mode save nya agar ketika sudah dapat jaringan bisa di lanjutkan untuk pengaplotan usulan, Terimakasih! Salam Desa awiu Koltim Aere</v>
      </c>
      <c r="D33" s="17" t="str">
        <f>IFERROR(__xludf.DUMMYFUNCTION("REGEXREPLACE(C33,$A$4, )"),"Mohon ditingkatkan lagi admin, karna di desa saya belum ada jaringan untuk mengupload setelah foto ktp dan foto rumah, kalau bisa ada mode save nya agar ketika sudah dapat jaringan bisa di lanjutkan untuk pengaplotan usulan, Terimakasih! Salam Desa awiu K"&amp;"oltim Aere")</f>
        <v>Mohon ditingkatkan lagi admin, karna di desa saya belum ada jaringan untuk mengupload setelah foto ktp dan foto rumah, kalau bisa ada mode save nya agar ketika sudah dapat jaringan bisa di lanjutkan untuk pengaplotan usulan, Terimakasih! Salam Desa awiu Koltim Aere</v>
      </c>
      <c r="E33" s="17" t="str">
        <f>IFERROR(__xludf.DUMMYFUNCTION("REGEXREPLACE(D33,$A$5, )"),"Mohon ditingkatkan lagi admin, karna di desa saya belum ada jaringan untuk mengupload setelah foto ktp dan foto rumah, kalau bisa ada mode save nya agar ketika sudah dapat jaringan bisa di lanjutkan untuk pengaplotan usulan, Terimakasih! Salam Desa awiu K"&amp;"oltim Aere")</f>
        <v>Mohon ditingkatkan lagi admin, karna di desa saya belum ada jaringan untuk mengupload setelah foto ktp dan foto rumah, kalau bisa ada mode save nya agar ketika sudah dapat jaringan bisa di lanjutkan untuk pengaplotan usulan, Terimakasih! Salam Desa awiu Koltim Aere</v>
      </c>
      <c r="F33" s="17" t="str">
        <f>IFERROR(__xludf.DUMMYFUNCTION("REGEXREPLACE(E33,$A$6, )"),"Mohon ditingkatkan lagi admin karna di desa saya belum ada jaringan untuk mengupload setelah foto ktp dan foto rumah kalau bisa ada mode save nya agar ketika sudah dapat jaringan bisa di lanjutkan untuk pengaplotan usulan Terimakasih Salam Desa awiu Kolti"&amp;"m Aere")</f>
        <v>Mohon ditingkatkan lagi admin karna di desa saya belum ada jaringan untuk mengupload setelah foto ktp dan foto rumah kalau bisa ada mode save nya agar ketika sudah dapat jaringan bisa di lanjutkan untuk pengaplotan usulan Terimakasih Salam Desa awiu Koltim Aere</v>
      </c>
      <c r="G33" s="18" t="str">
        <f>IFERROR(__xludf.DUMMYFUNCTION("REGEXREPLACE(F33,$A$7, )"),"Mohon ditingkatkan lagi admin karna di desa saya belum ada jaringan untuk mengupload setelah foto ktp dan foto rumah kalau bisa ada mode save nya agar ketika sudah dapat jaringan bisa di lanjutkan untuk pengaplotan usulan Terimakasih Salam Desa awiu Kolti"&amp;"m Aere")</f>
        <v>Mohon ditingkatkan lagi admin karna di desa saya belum ada jaringan untuk mengupload setelah foto ktp dan foto rumah kalau bisa ada mode save nya agar ketika sudah dapat jaringan bisa di lanjutkan untuk pengaplotan usulan Terimakasih Salam Desa awiu Koltim Aere</v>
      </c>
      <c r="H33" s="17" t="str">
        <f t="shared" si="1"/>
        <v>mohon ditingkatkan lagi admin karna di desa saya belum ada jaringan untuk mengupload setelah foto ktp dan foto rumah kalau bisa ada mode save nya agar ketika sudah dapat jaringan bisa di lanjutkan untuk pengaplotan usulan terimakasih salam desa awiu koltim aere</v>
      </c>
    </row>
    <row r="34">
      <c r="A34" s="16" t="s">
        <v>28</v>
      </c>
      <c r="B34" s="17" t="str">
        <f>IFERROR(__xludf.DUMMYFUNCTION("REGEXREPLACE(A34,$A$2, )"),"Bg yg msh sulit login,coba langkah login dibawah(dr pengalaman sy) : 1. Apdate aplikasi 2, hapus cache 3, sinyal bagus 4, akun sdh aktif(aktivasi akun berhasil) 4, login pake username yg dikirim melalui email 5, ""mohon bersabar 'ini ujian..'""😉👍")</f>
        <v>Bg yg msh sulit login,coba langkah login dibawah(dr pengalaman sy) : 1. Apdate aplikasi 2, hapus cache 3, sinyal bagus 4, akun sdh aktif(aktivasi akun berhasil) 4, login pake username yg dikirim melalui email 5, "mohon bersabar 'ini ujian..'"😉👍</v>
      </c>
      <c r="C34" s="17" t="str">
        <f>IFERROR(__xludf.DUMMYFUNCTION("REGEXREPLACE(B34,$A$3, )"),"Bg yg msh sulit login,coba langkah login dibawah(dr pengalaman sy) : 1. Apdate aplikasi 2, hapus cache 3, sinyal bagus 4, akun sdh aktif(aktivasi akun berhasil) 4, login pake username yg dikirim melalui email 5, ""mohon bersabar 'ini ujian..'""😉👍")</f>
        <v>Bg yg msh sulit login,coba langkah login dibawah(dr pengalaman sy) : 1. Apdate aplikasi 2, hapus cache 3, sinyal bagus 4, akun sdh aktif(aktivasi akun berhasil) 4, login pake username yg dikirim melalui email 5, "mohon bersabar 'ini ujian..'"😉👍</v>
      </c>
      <c r="D34" s="17" t="str">
        <f>IFERROR(__xludf.DUMMYFUNCTION("REGEXREPLACE(C34,$A$4, )"),"Bg yg msh sulit login,coba langkah login dibawah(dr pengalaman sy) : 1. Apdate aplikasi 2, hapus cache 3, sinyal bagus 4, akun sdh aktif(aktivasi akun berhasil) 4, login pake username yg dikirim melalui email 5, ""mohon bersabar 'ini ujian..'""😉👍")</f>
        <v>Bg yg msh sulit login,coba langkah login dibawah(dr pengalaman sy) : 1. Apdate aplikasi 2, hapus cache 3, sinyal bagus 4, akun sdh aktif(aktivasi akun berhasil) 4, login pake username yg dikirim melalui email 5, "mohon bersabar 'ini ujian..'"😉👍</v>
      </c>
      <c r="E34" s="17" t="str">
        <f>IFERROR(__xludf.DUMMYFUNCTION("REGEXREPLACE(D34,$A$5, )"),"Bg yg msh sulit login,coba langkah login dibawah(dr pengalaman sy) : . Apdate aplikasi , hapus cache , sinyal bagus , akun sdh aktif(aktivasi akun berhasil) , login pake username yg dikirim melalui email , ""mohon bersabar 'ini ujian..'""😉👍")</f>
        <v>Bg yg msh sulit login,coba langkah login dibawah(dr pengalaman sy) : . Apdate aplikasi , hapus cache , sinyal bagus , akun sdh aktif(aktivasi akun berhasil) , login pake username yg dikirim melalui email , "mohon bersabar 'ini ujian..'"😉👍</v>
      </c>
      <c r="F34" s="17" t="str">
        <f>IFERROR(__xludf.DUMMYFUNCTION("REGEXREPLACE(E34,$A$6, )"),"Bg yg msh sulit logincoba langkah login dibawahdr pengalaman sy   Apdate aplikasi  hapus cache  sinyal bagus  akun sdh aktifaktivasi akun berhasil  login pake username yg dikirim melalui email  mohon bersabar ini ujian😉👍")</f>
        <v>Bg yg msh sulit logincoba langkah login dibawahdr pengalaman sy   Apdate aplikasi  hapus cache  sinyal bagus  akun sdh aktifaktivasi akun berhasil  login pake username yg dikirim melalui email  mohon bersabar ini ujian😉👍</v>
      </c>
      <c r="G34" s="18" t="str">
        <f>IFERROR(__xludf.DUMMYFUNCTION("REGEXREPLACE(F34,$A$7, )"),"Bg yg msh sulit logincoba langkah login dibawahdr pengalaman sy   Apdate aplikasi  hapus cache  sinyal bagus  akun sdh aktifaktivasi akun berhasil  login pake username yg dikirim melalui email  mohon bersabar ini ujian")</f>
        <v>Bg yg msh sulit logincoba langkah login dibawahdr pengalaman sy   Apdate aplikasi  hapus cache  sinyal bagus  akun sdh aktifaktivasi akun berhasil  login pake username yg dikirim melalui email  mohon bersabar ini ujian</v>
      </c>
      <c r="H34" s="17" t="str">
        <f t="shared" si="1"/>
        <v>bg yg msh sulit logincoba langkah login dibawahdr pengalaman sy   apdate aplikasi  hapus cache  sinyal bagus  akun sdh aktifaktivasi akun berhasil  login pake username yg dikirim melalui email  mohon bersabar ini ujian</v>
      </c>
    </row>
    <row r="35">
      <c r="A35" s="16" t="s">
        <v>29</v>
      </c>
      <c r="B35" s="17" t="str">
        <f>IFERROR(__xludf.DUMMYFUNCTION("REGEXREPLACE(A35,$A$2, )"),"Aplikasinya sulit login. Sdh 2 bln gak masuk data dtks. Harus berjuang bagi pasien gagal ginjal. Boro"" Dpt sembako. Biaya berobat aja (pbi) kaga dapat. Mana org dinsos yang datang.? Dpt email verifikasi tapi belum di cek oleh dinsos nya.")</f>
        <v>Aplikasinya sulit login. Sdh 2 bln gak masuk data dtks. Harus berjuang bagi pasien gagal ginjal. Boro" Dpt sembako. Biaya berobat aja (pbi) kaga dapat. Mana org dinsos yang datang.? Dpt email verifikasi tapi belum di cek oleh dinsos nya.</v>
      </c>
      <c r="C35" s="17" t="str">
        <f>IFERROR(__xludf.DUMMYFUNCTION("REGEXREPLACE(B35,$A$3, )"),"Aplikasinya sulit login. Sdh 2 bln gak masuk data dtks. Harus berjuang bagi pasien gagal ginjal. Boro"" Dpt sembako. Biaya berobat aja (pbi) kaga dapat. Mana org dinsos yang datang.? Dpt email verifikasi tapi belum di cek oleh dinsos nya.")</f>
        <v>Aplikasinya sulit login. Sdh 2 bln gak masuk data dtks. Harus berjuang bagi pasien gagal ginjal. Boro" Dpt sembako. Biaya berobat aja (pbi) kaga dapat. Mana org dinsos yang datang.? Dpt email verifikasi tapi belum di cek oleh dinsos nya.</v>
      </c>
      <c r="D35" s="17" t="str">
        <f>IFERROR(__xludf.DUMMYFUNCTION("REGEXREPLACE(C35,$A$4, )"),"Aplikasinya sulit login. Sdh 2 bln gak masuk data dtks. Harus berjuang bagi pasien gagal ginjal. Boro"" Dpt sembako. Biaya berobat aja (pbi) kaga dapat. Mana org dinsos yang datang.? Dpt email verifikasi tapi belum di cek oleh dinsos nya.")</f>
        <v>Aplikasinya sulit login. Sdh 2 bln gak masuk data dtks. Harus berjuang bagi pasien gagal ginjal. Boro" Dpt sembako. Biaya berobat aja (pbi) kaga dapat. Mana org dinsos yang datang.? Dpt email verifikasi tapi belum di cek oleh dinsos nya.</v>
      </c>
      <c r="E35" s="17" t="str">
        <f>IFERROR(__xludf.DUMMYFUNCTION("REGEXREPLACE(D35,$A$5, )"),"Aplikasinya sulit login. Sdh  bln gak masuk data dtks. Harus berjuang bagi pasien gagal ginjal. Boro"" Dpt sembako. Biaya berobat aja (pbi) kaga dapat. Mana org dinsos yang datang.? Dpt email verifikasi tapi belum di cek oleh dinsos nya.")</f>
        <v>Aplikasinya sulit login. Sdh  bln gak masuk data dtks. Harus berjuang bagi pasien gagal ginjal. Boro" Dpt sembako. Biaya berobat aja (pbi) kaga dapat. Mana org dinsos yang datang.? Dpt email verifikasi tapi belum di cek oleh dinsos nya.</v>
      </c>
      <c r="F35" s="17" t="str">
        <f>IFERROR(__xludf.DUMMYFUNCTION("REGEXREPLACE(E35,$A$6, )"),"Aplikasinya sulit login Sdh  bln gak masuk data dtks Harus berjuang bagi pasien gagal ginjal Boro Dpt sembako Biaya berobat aja pbi kaga dapat Mana org dinsos yang datang Dpt email verifikasi tapi belum di cek oleh dinsos nya")</f>
        <v>Aplikasinya sulit login Sdh  bln gak masuk data dtks Harus berjuang bagi pasien gagal ginjal Boro Dpt sembako Biaya berobat aja pbi kaga dapat Mana org dinsos yang datang Dpt email verifikasi tapi belum di cek oleh dinsos nya</v>
      </c>
      <c r="G35" s="18" t="str">
        <f>IFERROR(__xludf.DUMMYFUNCTION("REGEXREPLACE(F35,$A$7, )"),"Aplikasinya sulit login Sdh  bln gak masuk data dtks Harus berjuang bagi pasien gagal ginjal Boro Dpt sembako Biaya berobat aja pbi kaga dapat Mana org dinsos yang datang Dpt email verifikasi tapi belum di cek oleh dinsos nya")</f>
        <v>Aplikasinya sulit login Sdh  bln gak masuk data dtks Harus berjuang bagi pasien gagal ginjal Boro Dpt sembako Biaya berobat aja pbi kaga dapat Mana org dinsos yang datang Dpt email verifikasi tapi belum di cek oleh dinsos nya</v>
      </c>
      <c r="H35" s="17" t="str">
        <f t="shared" si="1"/>
        <v>aplikasinya sulit login sdh  bln gak masuk data dtks harus berjuang bagi pasien gagal ginjal boro dpt sembako biaya berobat aja pbi kaga dapat mana org dinsos yang datang dpt email verifikasi tapi belum di cek oleh dinsos nya</v>
      </c>
    </row>
    <row r="36">
      <c r="A36" s="16" t="s">
        <v>30</v>
      </c>
      <c r="B36" s="17" t="str">
        <f>IFERROR(__xludf.DUMMYFUNCTION("REGEXREPLACE(A36,$A$2, )"),"Aduh ada yang tau cara merubah data nya gak ya...... Karena kurang teliti saya data nya ada yang salah..... Tolong kasih tau donk cara merubah data Dah saya uninstall download berkali² tetap aja")</f>
        <v>Aduh ada yang tau cara merubah data nya gak ya...... Karena kurang teliti saya data nya ada yang salah..... Tolong kasih tau donk cara merubah data Dah saya uninstall download berkali² tetap aja</v>
      </c>
      <c r="C36" s="17" t="str">
        <f>IFERROR(__xludf.DUMMYFUNCTION("REGEXREPLACE(B36,$A$3, )"),"Aduh ada yang tau cara merubah data nya gak ya...... Karena kurang teliti saya data nya ada yang salah..... Tolong kasih tau donk cara merubah data Dah saya uninstall download berkali² tetap aja")</f>
        <v>Aduh ada yang tau cara merubah data nya gak ya...... Karena kurang teliti saya data nya ada yang salah..... Tolong kasih tau donk cara merubah data Dah saya uninstall download berkali² tetap aja</v>
      </c>
      <c r="D36" s="17" t="str">
        <f>IFERROR(__xludf.DUMMYFUNCTION("REGEXREPLACE(C36,$A$4, )"),"Aduh ada yang tau cara merubah data nya gak ya...... Karena kurang teliti saya data nya ada yang salah..... Tolong kasih tau donk cara merubah data Dah saya uninstall download berkali² tetap aja")</f>
        <v>Aduh ada yang tau cara merubah data nya gak ya...... Karena kurang teliti saya data nya ada yang salah..... Tolong kasih tau donk cara merubah data Dah saya uninstall download berkali² tetap aja</v>
      </c>
      <c r="E36" s="17" t="str">
        <f>IFERROR(__xludf.DUMMYFUNCTION("REGEXREPLACE(D36,$A$5, )"),"Aduh ada yang tau cara merubah data nya gak ya...... Karena kurang teliti saya data nya ada yang salah..... Tolong kasih tau donk cara merubah data Dah saya uninstall download berkali² tetap aja")</f>
        <v>Aduh ada yang tau cara merubah data nya gak ya...... Karena kurang teliti saya data nya ada yang salah..... Tolong kasih tau donk cara merubah data Dah saya uninstall download berkali² tetap aja</v>
      </c>
      <c r="F36" s="17" t="str">
        <f>IFERROR(__xludf.DUMMYFUNCTION("REGEXREPLACE(E36,$A$6, )"),"Aduh ada yang tau cara merubah data nya gak ya Karena kurang teliti saya data nya ada yang salah Tolong kasih tau donk cara merubah data Dah saya uninstall download berkali² tetap aja")</f>
        <v>Aduh ada yang tau cara merubah data nya gak ya Karena kurang teliti saya data nya ada yang salah Tolong kasih tau donk cara merubah data Dah saya uninstall download berkali² tetap aja</v>
      </c>
      <c r="G36" s="18" t="str">
        <f>IFERROR(__xludf.DUMMYFUNCTION("REGEXREPLACE(F36,$A$7, )"),"Aduh ada yang tau cara merubah data nya gak ya Karena kurang teliti saya data nya ada yang salah Tolong kasih tau donk cara merubah data Dah saya uninstall download berkali² tetap aja")</f>
        <v>Aduh ada yang tau cara merubah data nya gak ya Karena kurang teliti saya data nya ada yang salah Tolong kasih tau donk cara merubah data Dah saya uninstall download berkali² tetap aja</v>
      </c>
      <c r="H36" s="17" t="str">
        <f t="shared" si="1"/>
        <v>aduh ada yang tau cara merubah data nya gak ya karena kurang teliti saya data nya ada yang salah tolong kasih tau donk cara merubah data dah saya uninstall download berkali² tetap aja</v>
      </c>
    </row>
    <row r="37">
      <c r="A37" s="16" t="s">
        <v>31</v>
      </c>
      <c r="B37" s="17" t="str">
        <f>IFERROR(__xludf.DUMMYFUNCTION("REGEXREPLACE(A37,$A$2, )"),"Sengaja saya kasih bintang 5 biar di tanggapi cepat. Kenapa waktu penambahan usulan mandiri tidak bisa di upload dngen keterangan ""Error Json Parse"" setiap kali mau upload selalu muncul keterangan seperti itu...tolong jelaskan masalah nya dan solusi nya"&amp;" bagaimana")</f>
        <v>Sengaja saya kasih bintang 5 biar di tanggapi cepat. Kenapa waktu penambahan usulan mandiri tidak bisa di upload dngen keterangan "Error Json Parse" setiap kali mau upload selalu muncul keterangan seperti itu...tolong jelaskan masalah nya dan solusi nya bagaimana</v>
      </c>
      <c r="C37" s="17" t="str">
        <f>IFERROR(__xludf.DUMMYFUNCTION("REGEXREPLACE(B37,$A$3, )"),"Sengaja saya kasih bintang 5 biar di tanggapi cepat. Kenapa waktu penambahan usulan mandiri tidak bisa di upload dngen keterangan ""Error Json Parse"" setiap kali mau upload selalu muncul keterangan seperti itu...tolong jelaskan masalah nya dan solusi nya"&amp;" bagaimana")</f>
        <v>Sengaja saya kasih bintang 5 biar di tanggapi cepat. Kenapa waktu penambahan usulan mandiri tidak bisa di upload dngen keterangan "Error Json Parse" setiap kali mau upload selalu muncul keterangan seperti itu...tolong jelaskan masalah nya dan solusi nya bagaimana</v>
      </c>
      <c r="D37" s="17" t="str">
        <f>IFERROR(__xludf.DUMMYFUNCTION("REGEXREPLACE(C37,$A$4, )"),"Sengaja saya kasih bintang 5 biar di tanggapi cepat. Kenapa waktu penambahan usulan mandiri tidak bisa di upload dngen keterangan ""Error Json Parse"" setiap kali mau upload selalu muncul keterangan seperti itu...tolong jelaskan masalah nya dan solusi nya"&amp;" bagaimana")</f>
        <v>Sengaja saya kasih bintang 5 biar di tanggapi cepat. Kenapa waktu penambahan usulan mandiri tidak bisa di upload dngen keterangan "Error Json Parse" setiap kali mau upload selalu muncul keterangan seperti itu...tolong jelaskan masalah nya dan solusi nya bagaimana</v>
      </c>
      <c r="E37" s="17" t="str">
        <f>IFERROR(__xludf.DUMMYFUNCTION("REGEXREPLACE(D37,$A$5, )"),"Sengaja saya kasih bintang  biar di tanggapi cepat. Kenapa waktu penambahan usulan mandiri tidak bisa di upload dngen keterangan ""Error Json Parse"" setiap kali mau upload selalu muncul keterangan seperti itu...tolong jelaskan masalah nya dan solusi nya "&amp;"bagaimana")</f>
        <v>Sengaja saya kasih bintang  biar di tanggapi cepat. Kenapa waktu penambahan usulan mandiri tidak bisa di upload dngen keterangan "Error Json Parse" setiap kali mau upload selalu muncul keterangan seperti itu...tolong jelaskan masalah nya dan solusi nya bagaimana</v>
      </c>
      <c r="F37" s="17" t="str">
        <f>IFERROR(__xludf.DUMMYFUNCTION("REGEXREPLACE(E37,$A$6, )"),"Sengaja saya kasih bintang  biar di tanggapi cepat Kenapa waktu penambahan usulan mandiri tidak bisa di upload dngen keterangan Error Json Parse setiap kali mau upload selalu muncul keterangan seperti itutolong jelaskan masalah nya dan solusi nya bagaiman"&amp;"a")</f>
        <v>Sengaja saya kasih bintang  biar di tanggapi cepat Kenapa waktu penambahan usulan mandiri tidak bisa di upload dngen keterangan Error Json Parse setiap kali mau upload selalu muncul keterangan seperti itutolong jelaskan masalah nya dan solusi nya bagaimana</v>
      </c>
      <c r="G37" s="18" t="str">
        <f>IFERROR(__xludf.DUMMYFUNCTION("REGEXREPLACE(F37,$A$7, )"),"Sengaja saya kasih bintang  biar di tanggapi cepat Kenapa waktu penambahan usulan mandiri tidak bisa di upload dngen keterangan Error Json Parse setiap kali mau upload selalu muncul keterangan seperti itutolong jelaskan masalah nya dan solusi nya bagaiman"&amp;"a")</f>
        <v>Sengaja saya kasih bintang  biar di tanggapi cepat Kenapa waktu penambahan usulan mandiri tidak bisa di upload dngen keterangan Error Json Parse setiap kali mau upload selalu muncul keterangan seperti itutolong jelaskan masalah nya dan solusi nya bagaimana</v>
      </c>
      <c r="H37" s="17" t="str">
        <f t="shared" si="1"/>
        <v>sengaja saya kasih bintang  biar di tanggapi cepat kenapa waktu penambahan usulan mandiri tidak bisa di upload dngen keterangan error json parse setiap kali mau upload selalu muncul keterangan seperti itutolong jelaskan masalah nya dan solusi nya bagaimana</v>
      </c>
    </row>
    <row r="38">
      <c r="A38" s="16" t="s">
        <v>32</v>
      </c>
      <c r="B38" s="17" t="str">
        <f>IFERROR(__xludf.DUMMYFUNCTION("REGEXREPLACE(A38,$A$2, )"),"Sangat tidak membantu. Benar² sdh buat akun baru dgn teliti dan ketika mau masuk...kacau tidak bisa dibuka. Tolong solusinya utk aplikasi cek bansos nya")</f>
        <v>Sangat tidak membantu. Benar² sdh buat akun baru dgn teliti dan ketika mau masuk...kacau tidak bisa dibuka. Tolong solusinya utk aplikasi cek bansos nya</v>
      </c>
      <c r="C38" s="17" t="str">
        <f>IFERROR(__xludf.DUMMYFUNCTION("REGEXREPLACE(B38,$A$3, )"),"Sangat tidak membantu. Benar² sdh buat akun baru dgn teliti dan ketika mau masuk...kacau tidak bisa dibuka. Tolong solusinya utk aplikasi cek bansos nya")</f>
        <v>Sangat tidak membantu. Benar² sdh buat akun baru dgn teliti dan ketika mau masuk...kacau tidak bisa dibuka. Tolong solusinya utk aplikasi cek bansos nya</v>
      </c>
      <c r="D38" s="17" t="str">
        <f>IFERROR(__xludf.DUMMYFUNCTION("REGEXREPLACE(C38,$A$4, )"),"Sangat tidak membantu. Benar² sdh buat akun baru dgn teliti dan ketika mau masuk...kacau tidak bisa dibuka. Tolong solusinya utk aplikasi cek bansos nya")</f>
        <v>Sangat tidak membantu. Benar² sdh buat akun baru dgn teliti dan ketika mau masuk...kacau tidak bisa dibuka. Tolong solusinya utk aplikasi cek bansos nya</v>
      </c>
      <c r="E38" s="17" t="str">
        <f>IFERROR(__xludf.DUMMYFUNCTION("REGEXREPLACE(D38,$A$5, )"),"Sangat tidak membantu. Benar² sdh buat akun baru dgn teliti dan ketika mau masuk...kacau tidak bisa dibuka. Tolong solusinya utk aplikasi cek bansos nya")</f>
        <v>Sangat tidak membantu. Benar² sdh buat akun baru dgn teliti dan ketika mau masuk...kacau tidak bisa dibuka. Tolong solusinya utk aplikasi cek bansos nya</v>
      </c>
      <c r="F38" s="17" t="str">
        <f>IFERROR(__xludf.DUMMYFUNCTION("REGEXREPLACE(E38,$A$6, )"),"Sangat tidak membantu Benar² sdh buat akun baru dgn teliti dan ketika mau masukkacau tidak bisa dibuka Tolong solusinya utk aplikasi cek bansos nya")</f>
        <v>Sangat tidak membantu Benar² sdh buat akun baru dgn teliti dan ketika mau masukkacau tidak bisa dibuka Tolong solusinya utk aplikasi cek bansos nya</v>
      </c>
      <c r="G38" s="18" t="str">
        <f>IFERROR(__xludf.DUMMYFUNCTION("REGEXREPLACE(F38,$A$7, )"),"Sangat tidak membantu Benar² sdh buat akun baru dgn teliti dan ketika mau masukkacau tidak bisa dibuka Tolong solusinya utk aplikasi cek bansos nya")</f>
        <v>Sangat tidak membantu Benar² sdh buat akun baru dgn teliti dan ketika mau masukkacau tidak bisa dibuka Tolong solusinya utk aplikasi cek bansos nya</v>
      </c>
      <c r="H38" s="17" t="str">
        <f t="shared" si="1"/>
        <v>sangat tidak membantu benar² sdh buat akun baru dgn teliti dan ketika mau masukkacau tidak bisa dibuka tolong solusinya utk aplikasi cek bansos nya</v>
      </c>
    </row>
    <row r="39">
      <c r="A39" s="16" t="s">
        <v>33</v>
      </c>
      <c r="B39" s="17" t="str">
        <f>IFERROR(__xludf.DUMMYFUNCTION("REGEXREPLACE(A39,$A$2, )"),"Ini kenapa yaa, ga bisa login padahal username nya udh bener, ... Tapi tetep ga bisa login keterangannya username/password salah , .. Mohon info nya Terima kasihh")</f>
        <v>Ini kenapa yaa, ga bisa login padahal username nya udh bener, ... Tapi tetep ga bisa login keterangannya username/password salah , .. Mohon info nya Terima kasihh</v>
      </c>
      <c r="C39" s="17" t="str">
        <f>IFERROR(__xludf.DUMMYFUNCTION("REGEXREPLACE(B39,$A$3, )"),"Ini kenapa yaa, ga bisa login padahal username nya udh bener, ... Tapi tetep ga bisa login keterangannya username/password salah , .. Mohon info nya Terima kasihh")</f>
        <v>Ini kenapa yaa, ga bisa login padahal username nya udh bener, ... Tapi tetep ga bisa login keterangannya username/password salah , .. Mohon info nya Terima kasihh</v>
      </c>
      <c r="D39" s="17" t="str">
        <f>IFERROR(__xludf.DUMMYFUNCTION("REGEXREPLACE(C39,$A$4, )"),"Ini kenapa yaa, ga bisa login padahal username nya udh bener, ... Tapi tetep ga bisa login keterangannya username/password salah , .. Mohon info nya Terima kasihh")</f>
        <v>Ini kenapa yaa, ga bisa login padahal username nya udh bener, ... Tapi tetep ga bisa login keterangannya username/password salah , .. Mohon info nya Terima kasihh</v>
      </c>
      <c r="E39" s="17" t="str">
        <f>IFERROR(__xludf.DUMMYFUNCTION("REGEXREPLACE(D39,$A$5, )"),"Ini kenapa yaa, ga bisa login padahal username nya udh bener, ... Tapi tetep ga bisa login keterangannya username/password salah , .. Mohon info nya Terima kasihh")</f>
        <v>Ini kenapa yaa, ga bisa login padahal username nya udh bener, ... Tapi tetep ga bisa login keterangannya username/password salah , .. Mohon info nya Terima kasihh</v>
      </c>
      <c r="F39" s="17" t="str">
        <f>IFERROR(__xludf.DUMMYFUNCTION("REGEXREPLACE(E39,$A$6, )"),"Ini kenapa yaa ga bisa login padahal username nya udh bener  Tapi tetep ga bisa login keterangannya usernamepassword salah   Mohon info nya Terima kasihh")</f>
        <v>Ini kenapa yaa ga bisa login padahal username nya udh bener  Tapi tetep ga bisa login keterangannya usernamepassword salah   Mohon info nya Terima kasihh</v>
      </c>
      <c r="G39" s="18" t="str">
        <f>IFERROR(__xludf.DUMMYFUNCTION("REGEXREPLACE(F39,$A$7, )"),"Ini kenapa yaa ga bisa login padahal username nya udh bener  Tapi tetep ga bisa login keterangannya usernamepassword salah   Mohon info nya Terima kasihh")</f>
        <v>Ini kenapa yaa ga bisa login padahal username nya udh bener  Tapi tetep ga bisa login keterangannya usernamepassword salah   Mohon info nya Terima kasihh</v>
      </c>
      <c r="H39" s="17" t="str">
        <f t="shared" si="1"/>
        <v>ini kenapa yaa ga bisa login padahal username nya udh bener  tapi tetep ga bisa login keterangannya usernamepassword salah   mohon info nya terima kasihh</v>
      </c>
    </row>
    <row r="40">
      <c r="A40" s="16" t="s">
        <v>34</v>
      </c>
      <c r="B40" s="17" t="str">
        <f>IFERROR(__xludf.DUMMYFUNCTION("REGEXREPLACE(A40,$A$2, )"),"Biar di baca sama yang buat apk saya udah daftar dan udah verivukasi ke email, trus masuk pakek user name tulisannya belum terdaftar trus buat lagi tapi tulisannya sudah terdaftar udah gua coba berapa kali tetep AE sama")</f>
        <v>Biar di baca sama yang buat apk saya udah daftar dan udah verivukasi ke email, trus masuk pakek user name tulisannya belum terdaftar trus buat lagi tapi tulisannya sudah terdaftar udah gua coba berapa kali tetep AE sama</v>
      </c>
      <c r="C40" s="17" t="str">
        <f>IFERROR(__xludf.DUMMYFUNCTION("REGEXREPLACE(B40,$A$3, )"),"Biar di baca sama yang buat apk saya udah daftar dan udah verivukasi ke email, trus masuk pakek user name tulisannya belum terdaftar trus buat lagi tapi tulisannya sudah terdaftar udah gua coba berapa kali tetep AE sama")</f>
        <v>Biar di baca sama yang buat apk saya udah daftar dan udah verivukasi ke email, trus masuk pakek user name tulisannya belum terdaftar trus buat lagi tapi tulisannya sudah terdaftar udah gua coba berapa kali tetep AE sama</v>
      </c>
      <c r="D40" s="17" t="str">
        <f>IFERROR(__xludf.DUMMYFUNCTION("REGEXREPLACE(C40,$A$4, )"),"Biar di baca sama yang buat apk saya udah daftar dan udah verivukasi ke email, trus masuk pakek user name tulisannya belum terdaftar trus buat lagi tapi tulisannya sudah terdaftar udah gua coba berapa kali tetep AE sama")</f>
        <v>Biar di baca sama yang buat apk saya udah daftar dan udah verivukasi ke email, trus masuk pakek user name tulisannya belum terdaftar trus buat lagi tapi tulisannya sudah terdaftar udah gua coba berapa kali tetep AE sama</v>
      </c>
      <c r="E40" s="17" t="str">
        <f>IFERROR(__xludf.DUMMYFUNCTION("REGEXREPLACE(D40,$A$5, )"),"Biar di baca sama yang buat apk saya udah daftar dan udah verivukasi ke email, trus masuk pakek user name tulisannya belum terdaftar trus buat lagi tapi tulisannya sudah terdaftar udah gua coba berapa kali tetep AE sama")</f>
        <v>Biar di baca sama yang buat apk saya udah daftar dan udah verivukasi ke email, trus masuk pakek user name tulisannya belum terdaftar trus buat lagi tapi tulisannya sudah terdaftar udah gua coba berapa kali tetep AE sama</v>
      </c>
      <c r="F40" s="17" t="str">
        <f>IFERROR(__xludf.DUMMYFUNCTION("REGEXREPLACE(E40,$A$6, )"),"Biar di baca sama yang buat apk saya udah daftar dan udah verivukasi ke email trus masuk pakek user name tulisannya belum terdaftar trus buat lagi tapi tulisannya sudah terdaftar udah gua coba berapa kali tetep AE sama")</f>
        <v>Biar di baca sama yang buat apk saya udah daftar dan udah verivukasi ke email trus masuk pakek user name tulisannya belum terdaftar trus buat lagi tapi tulisannya sudah terdaftar udah gua coba berapa kali tetep AE sama</v>
      </c>
      <c r="G40" s="18" t="str">
        <f>IFERROR(__xludf.DUMMYFUNCTION("REGEXREPLACE(F40,$A$7, )"),"Biar di baca sama yang buat apk saya udah daftar dan udah verivukasi ke email trus masuk pakek user name tulisannya belum terdaftar trus buat lagi tapi tulisannya sudah terdaftar udah gua coba berapa kali tetep AE sama")</f>
        <v>Biar di baca sama yang buat apk saya udah daftar dan udah verivukasi ke email trus masuk pakek user name tulisannya belum terdaftar trus buat lagi tapi tulisannya sudah terdaftar udah gua coba berapa kali tetep AE sama</v>
      </c>
      <c r="H40" s="17" t="str">
        <f t="shared" si="1"/>
        <v>biar di baca sama yang buat apk saya udah daftar dan udah verivukasi ke email trus masuk pakek user name tulisannya belum terdaftar trus buat lagi tapi tulisannya sudah terdaftar udah gua coba berapa kali tetep ae sama</v>
      </c>
    </row>
    <row r="41">
      <c r="A41" s="16" t="s">
        <v>35</v>
      </c>
      <c r="B41" s="17" t="str">
        <f>IFERROR(__xludf.DUMMYFUNCTION("REGEXREPLACE(A41,$A$2, )"),"Uda hampir 2 bulan,Masi jg dalam perbaikan aplikasi ini,gimanah mau usulan sangga kalau aplikasi nya saja sampai skrg blm bsh d gunakan.tlg dong d percepat perbaikan sistim aplikasi nya.agar bisa dapat bantuan bbm dr pemerintah.masa yg dapat kpm2 lama.yg "&amp;"cuma dapat bantuan PBI gak dapat bantuan BBM.katanya setiap bulan selalu d aupdet kok gak sesuai ap yg d janjikan.")</f>
        <v>Uda hampir 2 bulan,Masi jg dalam perbaikan aplikasi ini,gimanah mau usulan sangga kalau aplikasi nya saja sampai skrg blm bsh d gunakan.tlg dong d percepat perbaikan sistim aplikasi nya.agar bisa dapat bantuan bbm dr pemerintah.masa yg dapat kpm2 lama.yg cuma dapat bantuan PBI gak dapat bantuan BBM.katanya setiap bulan selalu d aupdet kok gak sesuai ap yg d janjikan.</v>
      </c>
      <c r="C41" s="17" t="str">
        <f>IFERROR(__xludf.DUMMYFUNCTION("REGEXREPLACE(B41,$A$3, )"),"Uda hampir 2 bulan,Masi jg dalam perbaikan aplikasi ini,gimanah mau usulan sangga kalau aplikasi nya saja sampai skrg blm bsh d gunakan.tlg dong d percepat perbaikan sistim aplikasi nya.agar bisa dapat bantuan bbm dr pemerintah.masa yg dapat kpm2 lama.yg "&amp;"cuma dapat bantuan PBI gak dapat bantuan BBM.katanya setiap bulan selalu d aupdet kok gak sesuai ap yg d janjikan.")</f>
        <v>Uda hampir 2 bulan,Masi jg dalam perbaikan aplikasi ini,gimanah mau usulan sangga kalau aplikasi nya saja sampai skrg blm bsh d gunakan.tlg dong d percepat perbaikan sistim aplikasi nya.agar bisa dapat bantuan bbm dr pemerintah.masa yg dapat kpm2 lama.yg cuma dapat bantuan PBI gak dapat bantuan BBM.katanya setiap bulan selalu d aupdet kok gak sesuai ap yg d janjikan.</v>
      </c>
      <c r="D41" s="17" t="str">
        <f>IFERROR(__xludf.DUMMYFUNCTION("REGEXREPLACE(C41,$A$4, )"),"Uda hampir 2 bulan,Masi jg dalam perbaikan aplikasi ini,gimanah mau usulan sangga kalau aplikasi nya saja sampai skrg blm bsh d gunakan.tlg dong d percepat perbaikan sistim aplikasi nya.agar bisa dapat bantuan bbm dr pemerintah.masa yg dapat kpm2 lama.yg "&amp;"cuma dapat bantuan PBI gak dapat bantuan BBM.katanya setiap bulan selalu d aupdet kok gak sesuai ap yg d janjikan.")</f>
        <v>Uda hampir 2 bulan,Masi jg dalam perbaikan aplikasi ini,gimanah mau usulan sangga kalau aplikasi nya saja sampai skrg blm bsh d gunakan.tlg dong d percepat perbaikan sistim aplikasi nya.agar bisa dapat bantuan bbm dr pemerintah.masa yg dapat kpm2 lama.yg cuma dapat bantuan PBI gak dapat bantuan BBM.katanya setiap bulan selalu d aupdet kok gak sesuai ap yg d janjikan.</v>
      </c>
      <c r="E41" s="17" t="str">
        <f>IFERROR(__xludf.DUMMYFUNCTION("REGEXREPLACE(D41,$A$5, )"),"Uda hampir  bulan,Masi jg dalam perbaikan aplikasi ini,gimanah mau usulan sangga kalau aplikasi nya saja sampai skrg blm bsh d gunakan.tlg dong d percepat perbaikan sistim aplikasi nya.agar bisa dapat bantuan bbm dr pemerintah.masa yg dapat kpm lama.yg cu"&amp;"ma dapat bantuan PBI gak dapat bantuan BBM.katanya setiap bulan selalu d aupdet kok gak sesuai ap yg d janjikan.")</f>
        <v>Uda hampir  bulan,Masi jg dalam perbaikan aplikasi ini,gimanah mau usulan sangga kalau aplikasi nya saja sampai skrg blm bsh d gunakan.tlg dong d percepat perbaikan sistim aplikasi nya.agar bisa dapat bantuan bbm dr pemerintah.masa yg dapat kpm lama.yg cuma dapat bantuan PBI gak dapat bantuan BBM.katanya setiap bulan selalu d aupdet kok gak sesuai ap yg d janjikan.</v>
      </c>
      <c r="F41" s="17" t="str">
        <f>IFERROR(__xludf.DUMMYFUNCTION("REGEXREPLACE(E41,$A$6, )"),"Uda hampir  bulanMasi jg dalam perbaikan aplikasi inigimanah mau usulan sangga kalau aplikasi nya saja sampai skrg blm bsh d gunakantlg dong d percepat perbaikan sistim aplikasi nyaagar bisa dapat bantuan bbm dr pemerintahmasa yg dapat kpm lamayg cuma dap"&amp;"at bantuan PBI gak dapat bantuan BBMkatanya setiap bulan selalu d aupdet kok gak sesuai ap yg d janjikan")</f>
        <v>Uda hampir  bulanMasi jg dalam perbaikan aplikasi inigimanah mau usulan sangga kalau aplikasi nya saja sampai skrg blm bsh d gunakantlg dong d percepat perbaikan sistim aplikasi nyaagar bisa dapat bantuan bbm dr pemerintahmasa yg dapat kpm lamayg cuma dapat bantuan PBI gak dapat bantuan BBMkatanya setiap bulan selalu d aupdet kok gak sesuai ap yg d janjikan</v>
      </c>
      <c r="G41" s="18" t="str">
        <f>IFERROR(__xludf.DUMMYFUNCTION("REGEXREPLACE(F41,$A$7, )"),"Uda hampir  bulanMasi jg dalam perbaikan aplikasi inigimanah mau usulan sangga kalau aplikasi nya saja sampai skrg blm bsh d gunakantlg dong d percepat perbaikan sistim aplikasi nyaagar bisa dapat bantuan bbm dr pemerintahmasa yg dapat kpm lamayg cuma dap"&amp;"at bantuan PBI gak dapat bantuan BBMkatanya setiap bulan selalu d aupdet kok gak sesuai ap yg d janjikan")</f>
        <v>Uda hampir  bulanMasi jg dalam perbaikan aplikasi inigimanah mau usulan sangga kalau aplikasi nya saja sampai skrg blm bsh d gunakantlg dong d percepat perbaikan sistim aplikasi nyaagar bisa dapat bantuan bbm dr pemerintahmasa yg dapat kpm lamayg cuma dapat bantuan PBI gak dapat bantuan BBMkatanya setiap bulan selalu d aupdet kok gak sesuai ap yg d janjikan</v>
      </c>
      <c r="H41" s="17" t="str">
        <f t="shared" si="1"/>
        <v>uda hampir  bulanmasi jg dalam perbaikan aplikasi inigimanah mau usulan sangga kalau aplikasi nya saja sampai skrg blm bsh d gunakantlg dong d percepat perbaikan sistim aplikasi nyaagar bisa dapat bantuan bbm dr pemerintahmasa yg dapat kpm lamayg cuma dapat bantuan pbi gak dapat bantuan bbmkatanya setiap bulan selalu d aupdet kok gak sesuai ap yg d janjikan</v>
      </c>
    </row>
    <row r="42">
      <c r="A42" s="16" t="s">
        <v>36</v>
      </c>
      <c r="B42" s="17" t="str">
        <f>IFERROR(__xludf.DUMMYFUNCTION("REGEXREPLACE(A42,$A$2, )"),"susah banget di buka padahal udah daftar....harusnya gampang di buka setiap buka user name belum di lakukan aktivasi selalu begitu knpa ya....trus cek gmail juga nggak ada")</f>
        <v>susah banget di buka padahal udah daftar....harusnya gampang di buka setiap buka user name belum di lakukan aktivasi selalu begitu knpa ya....trus cek gmail juga nggak ada</v>
      </c>
      <c r="C42" s="17" t="str">
        <f>IFERROR(__xludf.DUMMYFUNCTION("REGEXREPLACE(B42,$A$3, )"),"susah banget di buka padahal udah daftar....harusnya gampang di buka setiap buka user name belum di lakukan aktivasi selalu begitu knpa ya....trus cek gmail juga nggak ada")</f>
        <v>susah banget di buka padahal udah daftar....harusnya gampang di buka setiap buka user name belum di lakukan aktivasi selalu begitu knpa ya....trus cek gmail juga nggak ada</v>
      </c>
      <c r="D42" s="17" t="str">
        <f>IFERROR(__xludf.DUMMYFUNCTION("REGEXREPLACE(C42,$A$4, )"),"susah banget di buka padahal udah daftar....harusnya gampang di buka setiap buka user name belum di lakukan aktivasi selalu begitu knpa ya....trus cek gmail juga nggak ada")</f>
        <v>susah banget di buka padahal udah daftar....harusnya gampang di buka setiap buka user name belum di lakukan aktivasi selalu begitu knpa ya....trus cek gmail juga nggak ada</v>
      </c>
      <c r="E42" s="17" t="str">
        <f>IFERROR(__xludf.DUMMYFUNCTION("REGEXREPLACE(D42,$A$5, )"),"susah banget di buka padahal udah daftar....harusnya gampang di buka setiap buka user name belum di lakukan aktivasi selalu begitu knpa ya....trus cek gmail juga nggak ada")</f>
        <v>susah banget di buka padahal udah daftar....harusnya gampang di buka setiap buka user name belum di lakukan aktivasi selalu begitu knpa ya....trus cek gmail juga nggak ada</v>
      </c>
      <c r="F42" s="17" t="str">
        <f>IFERROR(__xludf.DUMMYFUNCTION("REGEXREPLACE(E42,$A$6, )"),"susah banget di buka padahal udah daftarharusnya gampang di buka setiap buka user name belum di lakukan aktivasi selalu begitu knpa yatrus cek gmail juga nggak ada")</f>
        <v>susah banget di buka padahal udah daftarharusnya gampang di buka setiap buka user name belum di lakukan aktivasi selalu begitu knpa yatrus cek gmail juga nggak ada</v>
      </c>
      <c r="G42" s="18" t="str">
        <f>IFERROR(__xludf.DUMMYFUNCTION("REGEXREPLACE(F42,$A$7, )"),"susah banget di buka padahal udah daftarharusnya gampang di buka setiap buka user name belum di lakukan aktivasi selalu begitu knpa yatrus cek gmail juga nggak ada")</f>
        <v>susah banget di buka padahal udah daftarharusnya gampang di buka setiap buka user name belum di lakukan aktivasi selalu begitu knpa yatrus cek gmail juga nggak ada</v>
      </c>
      <c r="H42" s="17" t="str">
        <f t="shared" si="1"/>
        <v>susah banget di buka padahal udah daftarharusnya gampang di buka setiap buka user name belum di lakukan aktivasi selalu begitu knpa yatrus cek gmail juga nggak ada</v>
      </c>
    </row>
    <row r="43">
      <c r="A43" s="16" t="s">
        <v>37</v>
      </c>
      <c r="B43" s="17" t="str">
        <f>IFERROR(__xludf.DUMMYFUNCTION("REGEXREPLACE(A43,$A$2, )"),"Sudah bagus walau pun pengiriman data sangat down,karna server nya padat merayap seluruh indonesia,semoga dengan aplikasi ini bantuan dari pemerintah bisa tepat sasaran untuk yang membutukan.")</f>
        <v>Sudah bagus walau pun pengiriman data sangat down,karna server nya padat merayap seluruh indonesia,semoga dengan aplikasi ini bantuan dari pemerintah bisa tepat sasaran untuk yang membutukan.</v>
      </c>
      <c r="C43" s="17" t="str">
        <f>IFERROR(__xludf.DUMMYFUNCTION("REGEXREPLACE(B43,$A$3, )"),"Sudah bagus walau pun pengiriman data sangat down,karna server nya padat merayap seluruh indonesia,semoga dengan aplikasi ini bantuan dari pemerintah bisa tepat sasaran untuk yang membutukan.")</f>
        <v>Sudah bagus walau pun pengiriman data sangat down,karna server nya padat merayap seluruh indonesia,semoga dengan aplikasi ini bantuan dari pemerintah bisa tepat sasaran untuk yang membutukan.</v>
      </c>
      <c r="D43" s="17" t="str">
        <f>IFERROR(__xludf.DUMMYFUNCTION("REGEXREPLACE(C43,$A$4, )"),"Sudah bagus walau pun pengiriman data sangat down,karna server nya padat merayap seluruh indonesia,semoga dengan aplikasi ini bantuan dari pemerintah bisa tepat sasaran untuk yang membutukan.")</f>
        <v>Sudah bagus walau pun pengiriman data sangat down,karna server nya padat merayap seluruh indonesia,semoga dengan aplikasi ini bantuan dari pemerintah bisa tepat sasaran untuk yang membutukan.</v>
      </c>
      <c r="E43" s="17" t="str">
        <f>IFERROR(__xludf.DUMMYFUNCTION("REGEXREPLACE(D43,$A$5, )"),"Sudah bagus walau pun pengiriman data sangat down,karna server nya padat merayap seluruh indonesia,semoga dengan aplikasi ini bantuan dari pemerintah bisa tepat sasaran untuk yang membutukan.")</f>
        <v>Sudah bagus walau pun pengiriman data sangat down,karna server nya padat merayap seluruh indonesia,semoga dengan aplikasi ini bantuan dari pemerintah bisa tepat sasaran untuk yang membutukan.</v>
      </c>
      <c r="F43" s="17" t="str">
        <f>IFERROR(__xludf.DUMMYFUNCTION("REGEXREPLACE(E43,$A$6, )"),"Sudah bagus walau pun pengiriman data sangat downkarna server nya padat merayap seluruh indonesiasemoga dengan aplikasi ini bantuan dari pemerintah bisa tepat sasaran untuk yang membutukan")</f>
        <v>Sudah bagus walau pun pengiriman data sangat downkarna server nya padat merayap seluruh indonesiasemoga dengan aplikasi ini bantuan dari pemerintah bisa tepat sasaran untuk yang membutukan</v>
      </c>
      <c r="G43" s="18" t="str">
        <f>IFERROR(__xludf.DUMMYFUNCTION("REGEXREPLACE(F43,$A$7, )"),"Sudah bagus walau pun pengiriman data sangat downkarna server nya padat merayap seluruh indonesiasemoga dengan aplikasi ini bantuan dari pemerintah bisa tepat sasaran untuk yang membutukan")</f>
        <v>Sudah bagus walau pun pengiriman data sangat downkarna server nya padat merayap seluruh indonesiasemoga dengan aplikasi ini bantuan dari pemerintah bisa tepat sasaran untuk yang membutukan</v>
      </c>
      <c r="H43" s="17" t="str">
        <f t="shared" si="1"/>
        <v>sudah bagus walau pun pengiriman data sangat downkarna server nya padat merayap seluruh indonesiasemoga dengan aplikasi ini bantuan dari pemerintah bisa tepat sasaran untuk yang membutukan</v>
      </c>
    </row>
    <row r="44">
      <c r="A44" s="16" t="s">
        <v>38</v>
      </c>
      <c r="B44" s="17" t="str">
        <f>IFERROR(__xludf.DUMMYFUNCTION("REGEXREPLACE(A44,$A$2, )"),"ini kenapa yaa saya mau login tapi sandi selalu salah, saya coba lupa kata sandi dan sudah berhasil di kirim sandi baru. Saya cek email memang ada email masuk, tapi tidak ada sandi baru... Sudah saya cba berkali kali tetap seperti itu.... Mohon bantuan ny"&amp;"a🙏")</f>
        <v>ini kenapa yaa saya mau login tapi sandi selalu salah, saya coba lupa kata sandi dan sudah berhasil di kirim sandi baru. Saya cek email memang ada email masuk, tapi tidak ada sandi baru... Sudah saya cba berkali kali tetap seperti itu.... Mohon bantuan nya🙏</v>
      </c>
      <c r="C44" s="17" t="str">
        <f>IFERROR(__xludf.DUMMYFUNCTION("REGEXREPLACE(B44,$A$3, )"),"ini kenapa yaa saya mau login tapi sandi selalu salah, saya coba lupa kata sandi dan sudah berhasil di kirim sandi baru. Saya cek email memang ada email masuk, tapi tidak ada sandi baru... Sudah saya cba berkali kali tetap seperti itu.... Mohon bantuan ny"&amp;"a🙏")</f>
        <v>ini kenapa yaa saya mau login tapi sandi selalu salah, saya coba lupa kata sandi dan sudah berhasil di kirim sandi baru. Saya cek email memang ada email masuk, tapi tidak ada sandi baru... Sudah saya cba berkali kali tetap seperti itu.... Mohon bantuan nya🙏</v>
      </c>
      <c r="D44" s="17" t="str">
        <f>IFERROR(__xludf.DUMMYFUNCTION("REGEXREPLACE(C44,$A$4, )"),"ini kenapa yaa saya mau login tapi sandi selalu salah, saya coba lupa kata sandi dan sudah berhasil di kirim sandi baru. Saya cek email memang ada email masuk, tapi tidak ada sandi baru... Sudah saya cba berkali kali tetap seperti itu.... Mohon bantuan ny"&amp;"a🙏")</f>
        <v>ini kenapa yaa saya mau login tapi sandi selalu salah, saya coba lupa kata sandi dan sudah berhasil di kirim sandi baru. Saya cek email memang ada email masuk, tapi tidak ada sandi baru... Sudah saya cba berkali kali tetap seperti itu.... Mohon bantuan nya🙏</v>
      </c>
      <c r="E44" s="17" t="str">
        <f>IFERROR(__xludf.DUMMYFUNCTION("REGEXREPLACE(D44,$A$5, )"),"ini kenapa yaa saya mau login tapi sandi selalu salah, saya coba lupa kata sandi dan sudah berhasil di kirim sandi baru. Saya cek email memang ada email masuk, tapi tidak ada sandi baru... Sudah saya cba berkali kali tetap seperti itu.... Mohon bantuan ny"&amp;"a🙏")</f>
        <v>ini kenapa yaa saya mau login tapi sandi selalu salah, saya coba lupa kata sandi dan sudah berhasil di kirim sandi baru. Saya cek email memang ada email masuk, tapi tidak ada sandi baru... Sudah saya cba berkali kali tetap seperti itu.... Mohon bantuan nya🙏</v>
      </c>
      <c r="F44" s="17" t="str">
        <f>IFERROR(__xludf.DUMMYFUNCTION("REGEXREPLACE(E44,$A$6, )"),"ini kenapa yaa saya mau login tapi sandi selalu salah saya coba lupa kata sandi dan sudah berhasil di kirim sandi baru Saya cek email memang ada email masuk tapi tidak ada sandi baru Sudah saya cba berkali kali tetap seperti itu Mohon bantuan nya🙏")</f>
        <v>ini kenapa yaa saya mau login tapi sandi selalu salah saya coba lupa kata sandi dan sudah berhasil di kirim sandi baru Saya cek email memang ada email masuk tapi tidak ada sandi baru Sudah saya cba berkali kali tetap seperti itu Mohon bantuan nya🙏</v>
      </c>
      <c r="G44" s="18" t="str">
        <f>IFERROR(__xludf.DUMMYFUNCTION("REGEXREPLACE(F44,$A$7, )"),"ini kenapa yaa saya mau login tapi sandi selalu salah saya coba lupa kata sandi dan sudah berhasil di kirim sandi baru Saya cek email memang ada email masuk tapi tidak ada sandi baru Sudah saya cba berkali kali tetap seperti itu Mohon bantuan nya")</f>
        <v>ini kenapa yaa saya mau login tapi sandi selalu salah saya coba lupa kata sandi dan sudah berhasil di kirim sandi baru Saya cek email memang ada email masuk tapi tidak ada sandi baru Sudah saya cba berkali kali tetap seperti itu Mohon bantuan nya</v>
      </c>
      <c r="H44" s="17" t="str">
        <f t="shared" si="1"/>
        <v>ini kenapa yaa saya mau login tapi sandi selalu salah saya coba lupa kata sandi dan sudah berhasil di kirim sandi baru saya cek email memang ada email masuk tapi tidak ada sandi baru sudah saya cba berkali kali tetap seperti itu mohon bantuan nya</v>
      </c>
    </row>
    <row r="45">
      <c r="A45" s="16" t="s">
        <v>39</v>
      </c>
      <c r="B45" s="17" t="str">
        <f>IFERROR(__xludf.DUMMYFUNCTION("REGEXREPLACE(A45,$A$2, )"),"Error terus waktu mau login nya, tolong dong diperbaiki kualitas server nya...apalagi ini kan menyangkut pengajuan bantuan bagi masyarakat...")</f>
        <v>Error terus waktu mau login nya, tolong dong diperbaiki kualitas server nya...apalagi ini kan menyangkut pengajuan bantuan bagi masyarakat...</v>
      </c>
      <c r="C45" s="17" t="str">
        <f>IFERROR(__xludf.DUMMYFUNCTION("REGEXREPLACE(B45,$A$3, )"),"Error terus waktu mau login nya, tolong dong diperbaiki kualitas server nya...apalagi ini kan menyangkut pengajuan bantuan bagi masyarakat...")</f>
        <v>Error terus waktu mau login nya, tolong dong diperbaiki kualitas server nya...apalagi ini kan menyangkut pengajuan bantuan bagi masyarakat...</v>
      </c>
      <c r="D45" s="17" t="str">
        <f>IFERROR(__xludf.DUMMYFUNCTION("REGEXREPLACE(C45,$A$4, )"),"Error terus waktu mau login nya, tolong dong diperbaiki kualitas server nya...apalagi ini kan menyangkut pengajuan bantuan bagi masyarakat...")</f>
        <v>Error terus waktu mau login nya, tolong dong diperbaiki kualitas server nya...apalagi ini kan menyangkut pengajuan bantuan bagi masyarakat...</v>
      </c>
      <c r="E45" s="17" t="str">
        <f>IFERROR(__xludf.DUMMYFUNCTION("REGEXREPLACE(D45,$A$5, )"),"Error terus waktu mau login nya, tolong dong diperbaiki kualitas server nya...apalagi ini kan menyangkut pengajuan bantuan bagi masyarakat...")</f>
        <v>Error terus waktu mau login nya, tolong dong diperbaiki kualitas server nya...apalagi ini kan menyangkut pengajuan bantuan bagi masyarakat...</v>
      </c>
      <c r="F45" s="17" t="str">
        <f>IFERROR(__xludf.DUMMYFUNCTION("REGEXREPLACE(E45,$A$6, )"),"Error terus waktu mau login nya tolong dong diperbaiki kualitas server nyaapalagi ini kan menyangkut pengajuan bantuan bagi masyarakat")</f>
        <v>Error terus waktu mau login nya tolong dong diperbaiki kualitas server nyaapalagi ini kan menyangkut pengajuan bantuan bagi masyarakat</v>
      </c>
      <c r="G45" s="18" t="str">
        <f>IFERROR(__xludf.DUMMYFUNCTION("REGEXREPLACE(F45,$A$7, )"),"Error terus waktu mau login nya tolong dong diperbaiki kualitas server nyaapalagi ini kan menyangkut pengajuan bantuan bagi masyarakat")</f>
        <v>Error terus waktu mau login nya tolong dong diperbaiki kualitas server nyaapalagi ini kan menyangkut pengajuan bantuan bagi masyarakat</v>
      </c>
      <c r="H45" s="17" t="str">
        <f t="shared" si="1"/>
        <v>error terus waktu mau login nya tolong dong diperbaiki kualitas server nyaapalagi ini kan menyangkut pengajuan bantuan bagi masyarakat</v>
      </c>
    </row>
    <row r="46">
      <c r="A46" s="16" t="s">
        <v>40</v>
      </c>
      <c r="B46" s="17" t="str">
        <f>IFERROR(__xludf.DUMMYFUNCTION("REGEXREPLACE(A46,$A$2, )"),"Alhamdulillah sudah bisa aktivasi dan sudah bisa mengajukan bantuan, tinggal nunggu di setujui. Tapi saya kasih bintang 4 dulu soal nya di profil jumlah keluarga cuma 3(tiga), fakta nya jumlah keluarga saya 4 (empat): *Suami(kepala rumah tangga), *Istri l"&amp;"agi hamil, *dan anak saya 2. Yang tertera di aplikasi anak saya cuma 1 (satu). Nanti kalau data sudah akurat saya kasih bintang 5. Terima kasih")</f>
        <v>Alhamdulillah sudah bisa aktivasi dan sudah bisa mengajukan bantuan, tinggal nunggu di setujui. Tapi saya kasih bintang 4 dulu soal nya di profil jumlah keluarga cuma 3(tiga), fakta nya jumlah keluarga saya 4 (empat): *Suami(kepala rumah tangga), *Istri lagi hamil, *dan anak saya 2. Yang tertera di aplikasi anak saya cuma 1 (satu). Nanti kalau data sudah akurat saya kasih bintang 5. Terima kasih</v>
      </c>
      <c r="C46" s="17" t="str">
        <f>IFERROR(__xludf.DUMMYFUNCTION("REGEXREPLACE(B46,$A$3, )"),"Alhamdulillah sudah bisa aktivasi dan sudah bisa mengajukan bantuan, tinggal nunggu di setujui. Tapi saya kasih bintang 4 dulu soal nya di profil jumlah keluarga cuma 3(tiga), fakta nya jumlah keluarga saya 4 (empat): *Suami(kepala rumah tangga), *Istri l"&amp;"agi hamil, *dan anak saya 2. Yang tertera di aplikasi anak saya cuma 1 (satu). Nanti kalau data sudah akurat saya kasih bintang 5. Terima kasih")</f>
        <v>Alhamdulillah sudah bisa aktivasi dan sudah bisa mengajukan bantuan, tinggal nunggu di setujui. Tapi saya kasih bintang 4 dulu soal nya di profil jumlah keluarga cuma 3(tiga), fakta nya jumlah keluarga saya 4 (empat): *Suami(kepala rumah tangga), *Istri lagi hamil, *dan anak saya 2. Yang tertera di aplikasi anak saya cuma 1 (satu). Nanti kalau data sudah akurat saya kasih bintang 5. Terima kasih</v>
      </c>
      <c r="D46" s="17" t="str">
        <f>IFERROR(__xludf.DUMMYFUNCTION("REGEXREPLACE(C46,$A$4, )"),"Alhamdulillah sudah bisa aktivasi dan sudah bisa mengajukan bantuan, tinggal nunggu di setujui. Tapi saya kasih bintang 4 dulu soal nya di profil jumlah keluarga cuma 3(tiga), fakta nya jumlah keluarga saya 4 (empat): *Suami(kepala rumah tangga), *Istri l"&amp;"agi hamil, *dan anak saya 2. Yang tertera di aplikasi anak saya cuma 1 (satu). Nanti kalau data sudah akurat saya kasih bintang 5. Terima kasih")</f>
        <v>Alhamdulillah sudah bisa aktivasi dan sudah bisa mengajukan bantuan, tinggal nunggu di setujui. Tapi saya kasih bintang 4 dulu soal nya di profil jumlah keluarga cuma 3(tiga), fakta nya jumlah keluarga saya 4 (empat): *Suami(kepala rumah tangga), *Istri lagi hamil, *dan anak saya 2. Yang tertera di aplikasi anak saya cuma 1 (satu). Nanti kalau data sudah akurat saya kasih bintang 5. Terima kasih</v>
      </c>
      <c r="E46" s="17" t="str">
        <f>IFERROR(__xludf.DUMMYFUNCTION("REGEXREPLACE(D46,$A$5, )"),"Alhamdulillah sudah bisa aktivasi dan sudah bisa mengajukan bantuan, tinggal nunggu di setujui. Tapi saya kasih bintang  dulu soal nya di profil jumlah keluarga cuma (tiga), fakta nya jumlah keluarga saya  (empat): *Suami(kepala rumah tangga), *Istri lagi"&amp;" hamil, *dan anak saya . Yang tertera di aplikasi anak saya cuma  (satu). Nanti kalau data sudah akurat saya kasih bintang . Terima kasih")</f>
        <v>Alhamdulillah sudah bisa aktivasi dan sudah bisa mengajukan bantuan, tinggal nunggu di setujui. Tapi saya kasih bintang  dulu soal nya di profil jumlah keluarga cuma (tiga), fakta nya jumlah keluarga saya  (empat): *Suami(kepala rumah tangga), *Istri lagi hamil, *dan anak saya . Yang tertera di aplikasi anak saya cuma  (satu). Nanti kalau data sudah akurat saya kasih bintang . Terima kasih</v>
      </c>
      <c r="F46" s="17" t="str">
        <f>IFERROR(__xludf.DUMMYFUNCTION("REGEXREPLACE(E46,$A$6, )"),"Alhamdulillah sudah bisa aktivasi dan sudah bisa mengajukan bantuan tinggal nunggu di setujui Tapi saya kasih bintang  dulu soal nya di profil jumlah keluarga cuma tiga fakta nya jumlah keluarga saya  empat *Suamikepala rumah tangga *Istri lagi hamil *dan"&amp;" anak saya  Yang tertera di aplikasi anak saya cuma  satu Nanti kalau data sudah akurat saya kasih bintang  Terima kasih")</f>
        <v>Alhamdulillah sudah bisa aktivasi dan sudah bisa mengajukan bantuan tinggal nunggu di setujui Tapi saya kasih bintang  dulu soal nya di profil jumlah keluarga cuma tiga fakta nya jumlah keluarga saya  empat *Suamikepala rumah tangga *Istri lagi hamil *dan anak saya  Yang tertera di aplikasi anak saya cuma  satu Nanti kalau data sudah akurat saya kasih bintang  Terima kasih</v>
      </c>
      <c r="G46" s="18" t="str">
        <f>IFERROR(__xludf.DUMMYFUNCTION("REGEXREPLACE(F46,$A$7, )"),"Alhamdulillah sudah bisa aktivasi dan sudah bisa mengajukan bantuan tinggal nunggu di setujui Tapi saya kasih bintang  dulu soal nya di profil jumlah keluarga cuma tiga fakta nya jumlah keluarga saya  empat Suamikepala rumah tangga Istri lagi hamil dan an"&amp;"ak saya  Yang tertera di aplikasi anak saya cuma  satu Nanti kalau data sudah akurat saya kasih bintang  Terima kasih")</f>
        <v>Alhamdulillah sudah bisa aktivasi dan sudah bisa mengajukan bantuan tinggal nunggu di setujui Tapi saya kasih bintang  dulu soal nya di profil jumlah keluarga cuma tiga fakta nya jumlah keluarga saya  empat Suamikepala rumah tangga Istri lagi hamil dan anak saya  Yang tertera di aplikasi anak saya cuma  satu Nanti kalau data sudah akurat saya kasih bintang  Terima kasih</v>
      </c>
      <c r="H46" s="17" t="str">
        <f t="shared" si="1"/>
        <v>alhamdulillah sudah bisa aktivasi dan sudah bisa mengajukan bantuan tinggal nunggu di setujui tapi saya kasih bintang  dulu soal nya di profil jumlah keluarga cuma tiga fakta nya jumlah keluarga saya  empat suamikepala rumah tangga istri lagi hamil dan anak saya  yang tertera di aplikasi anak saya cuma  satu nanti kalau data sudah akurat saya kasih bintang  terima kasih</v>
      </c>
    </row>
    <row r="47">
      <c r="A47" s="16" t="s">
        <v>41</v>
      </c>
      <c r="B47" s="17" t="str">
        <f>IFERROR(__xludf.DUMMYFUNCTION("REGEXREPLACE(A47,$A$2, )"),"Kenapa akun yg saya daftar tidak bisa msk.yg kluar terjadi aplikasi error,dan hubungin atmin. Sdh berulang kali saya coba ttp seperti itu juga jwb y ? Knpa ?")</f>
        <v>Kenapa akun yg saya daftar tidak bisa msk.yg kluar terjadi aplikasi error,dan hubungin atmin. Sdh berulang kali saya coba ttp seperti itu juga jwb y ? Knpa ?</v>
      </c>
      <c r="C47" s="17" t="str">
        <f>IFERROR(__xludf.DUMMYFUNCTION("REGEXREPLACE(B47,$A$3, )"),"Kenapa akun yg saya daftar tidak bisa msk.yg kluar terjadi aplikasi error,dan hubungin atmin. Sdh berulang kali saya coba ttp seperti itu juga jwb y ? Knpa ?")</f>
        <v>Kenapa akun yg saya daftar tidak bisa msk.yg kluar terjadi aplikasi error,dan hubungin atmin. Sdh berulang kali saya coba ttp seperti itu juga jwb y ? Knpa ?</v>
      </c>
      <c r="D47" s="17" t="str">
        <f>IFERROR(__xludf.DUMMYFUNCTION("REGEXREPLACE(C47,$A$4, )"),"Kenapa akun yg saya daftar tidak bisa msk.yg kluar terjadi aplikasi error,dan hubungin atmin. Sdh berulang kali saya coba ttp seperti itu juga jwb y ? Knpa ?")</f>
        <v>Kenapa akun yg saya daftar tidak bisa msk.yg kluar terjadi aplikasi error,dan hubungin atmin. Sdh berulang kali saya coba ttp seperti itu juga jwb y ? Knpa ?</v>
      </c>
      <c r="E47" s="17" t="str">
        <f>IFERROR(__xludf.DUMMYFUNCTION("REGEXREPLACE(D47,$A$5, )"),"Kenapa akun yg saya daftar tidak bisa msk.yg kluar terjadi aplikasi error,dan hubungin atmin. Sdh berulang kali saya coba ttp seperti itu juga jwb y ? Knpa ?")</f>
        <v>Kenapa akun yg saya daftar tidak bisa msk.yg kluar terjadi aplikasi error,dan hubungin atmin. Sdh berulang kali saya coba ttp seperti itu juga jwb y ? Knpa ?</v>
      </c>
      <c r="F47" s="17" t="str">
        <f>IFERROR(__xludf.DUMMYFUNCTION("REGEXREPLACE(E47,$A$6, )"),"Kenapa akun yg saya daftar tidak bisa mskyg kluar terjadi aplikasi errordan hubungin atmin Sdh berulang kali saya coba ttp seperti itu juga jwb y  Knpa ")</f>
        <v>Kenapa akun yg saya daftar tidak bisa mskyg kluar terjadi aplikasi errordan hubungin atmin Sdh berulang kali saya coba ttp seperti itu juga jwb y  Knpa </v>
      </c>
      <c r="G47" s="18" t="str">
        <f>IFERROR(__xludf.DUMMYFUNCTION("REGEXREPLACE(F47,$A$7, )"),"Kenapa akun yg saya daftar tidak bisa mskyg kluar terjadi aplikasi errordan hubungin atmin Sdh berulang kali saya coba ttp seperti itu juga jwb y  Knpa ")</f>
        <v>Kenapa akun yg saya daftar tidak bisa mskyg kluar terjadi aplikasi errordan hubungin atmin Sdh berulang kali saya coba ttp seperti itu juga jwb y  Knpa </v>
      </c>
      <c r="H47" s="17" t="str">
        <f t="shared" si="1"/>
        <v>kenapa akun yg saya daftar tidak bisa mskyg kluar terjadi aplikasi errordan hubungin atmin sdh berulang kali saya coba ttp seperti itu juga jwb y  knpa </v>
      </c>
    </row>
    <row r="48">
      <c r="A48" s="16" t="s">
        <v>42</v>
      </c>
      <c r="B48" s="17" t="str">
        <f>IFERROR(__xludf.DUMMYFUNCTION("REGEXREPLACE(A48,$A$2, )"),"Assalamualaikum wr.rb, saya mau tambah di menu usulan tapi saya mau upload foto KTP sama foto depan rumah selalu,kembali ke menu utama lagi , minta tolong solusinya saya membutuhkan masuk dtks istri dan anak masuk tapi saya tidak , saya butuh harian lepas"&amp;", karena saya membutuhkan subsidi listrik")</f>
        <v>Assalamualaikum wr.rb, saya mau tambah di menu usulan tapi saya mau upload foto KTP sama foto depan rumah selalu,kembali ke menu utama lagi , minta tolong solusinya saya membutuhkan masuk dtks istri dan anak masuk tapi saya tidak , saya butuh harian lepas, karena saya membutuhkan subsidi listrik</v>
      </c>
      <c r="C48" s="17" t="str">
        <f>IFERROR(__xludf.DUMMYFUNCTION("REGEXREPLACE(B48,$A$3, )"),"Assalamualaikum wr.rb, saya mau tambah di menu usulan tapi saya mau upload foto KTP sama foto depan rumah selalu,kembali ke menu utama lagi , minta tolong solusinya saya membutuhkan masuk dtks istri dan anak masuk tapi saya tidak , saya butuh harian lepas"&amp;", karena saya membutuhkan subsidi listrik")</f>
        <v>Assalamualaikum wr.rb, saya mau tambah di menu usulan tapi saya mau upload foto KTP sama foto depan rumah selalu,kembali ke menu utama lagi , minta tolong solusinya saya membutuhkan masuk dtks istri dan anak masuk tapi saya tidak , saya butuh harian lepas, karena saya membutuhkan subsidi listrik</v>
      </c>
      <c r="D48" s="17" t="str">
        <f>IFERROR(__xludf.DUMMYFUNCTION("REGEXREPLACE(C48,$A$4, )"),"Assalamualaikum wr.rb, saya mau tambah di menu usulan tapi saya mau upload foto KTP sama foto depan rumah selalu,kembali ke menu utama lagi , minta tolong solusinya saya membutuhkan masuk dtks istri dan anak masuk tapi saya tidak , saya butuh harian lepas"&amp;", karena saya membutuhkan subsidi listrik")</f>
        <v>Assalamualaikum wr.rb, saya mau tambah di menu usulan tapi saya mau upload foto KTP sama foto depan rumah selalu,kembali ke menu utama lagi , minta tolong solusinya saya membutuhkan masuk dtks istri dan anak masuk tapi saya tidak , saya butuh harian lepas, karena saya membutuhkan subsidi listrik</v>
      </c>
      <c r="E48" s="17" t="str">
        <f>IFERROR(__xludf.DUMMYFUNCTION("REGEXREPLACE(D48,$A$5, )"),"Assalamualaikum wr.rb, saya mau tambah di menu usulan tapi saya mau upload foto KTP sama foto depan rumah selalu,kembali ke menu utama lagi , minta tolong solusinya saya membutuhkan masuk dtks istri dan anak masuk tapi saya tidak , saya butuh harian lepas"&amp;", karena saya membutuhkan subsidi listrik")</f>
        <v>Assalamualaikum wr.rb, saya mau tambah di menu usulan tapi saya mau upload foto KTP sama foto depan rumah selalu,kembali ke menu utama lagi , minta tolong solusinya saya membutuhkan masuk dtks istri dan anak masuk tapi saya tidak , saya butuh harian lepas, karena saya membutuhkan subsidi listrik</v>
      </c>
      <c r="F48" s="17" t="str">
        <f>IFERROR(__xludf.DUMMYFUNCTION("REGEXREPLACE(E48,$A$6, )"),"Assalamualaikum wrrb saya mau tambah di menu usulan tapi saya mau upload foto KTP sama foto depan rumah selalukembali ke menu utama lagi  minta tolong solusinya saya membutuhkan masuk dtks istri dan anak masuk tapi saya tidak  saya butuh harian lepas kare"&amp;"na saya membutuhkan subsidi listrik")</f>
        <v>Assalamualaikum wrrb saya mau tambah di menu usulan tapi saya mau upload foto KTP sama foto depan rumah selalukembali ke menu utama lagi  minta tolong solusinya saya membutuhkan masuk dtks istri dan anak masuk tapi saya tidak  saya butuh harian lepas karena saya membutuhkan subsidi listrik</v>
      </c>
      <c r="G48" s="18" t="str">
        <f>IFERROR(__xludf.DUMMYFUNCTION("REGEXREPLACE(F48,$A$7, )"),"Assalamualaikum wrrb saya mau tambah di menu usulan tapi saya mau upload foto KTP sama foto depan rumah selalukembali ke menu utama lagi  minta tolong solusinya saya membutuhkan masuk dtks istri dan anak masuk tapi saya tidak  saya butuh harian lepas kare"&amp;"na saya membutuhkan subsidi listrik")</f>
        <v>Assalamualaikum wrrb saya mau tambah di menu usulan tapi saya mau upload foto KTP sama foto depan rumah selalukembali ke menu utama lagi  minta tolong solusinya saya membutuhkan masuk dtks istri dan anak masuk tapi saya tidak  saya butuh harian lepas karena saya membutuhkan subsidi listrik</v>
      </c>
      <c r="H48" s="17" t="str">
        <f t="shared" si="1"/>
        <v>assalamualaikum wrrb saya mau tambah di menu usulan tapi saya mau upload foto ktp sama foto depan rumah selalukembali ke menu utama lagi  minta tolong solusinya saya membutuhkan masuk dtks istri dan anak masuk tapi saya tidak  saya butuh harian lepas karena saya membutuhkan subsidi listrik</v>
      </c>
    </row>
    <row r="49">
      <c r="A49" s="16" t="s">
        <v>43</v>
      </c>
      <c r="B49" s="17" t="str">
        <f>IFERROR(__xludf.DUMMYFUNCTION("REGEXREPLACE(A49,$A$2, )"),"Dapet email aktivasi akun, coba login ngga bisa ""terjadi masalah koneksi"" sama saya di upgrade tapi tetep aja ngga bisa masih ada tulisan ""terjadi masalah koneksi"" jadi ginana ini?")</f>
        <v>Dapet email aktivasi akun, coba login ngga bisa "terjadi masalah koneksi" sama saya di upgrade tapi tetep aja ngga bisa masih ada tulisan "terjadi masalah koneksi" jadi ginana ini?</v>
      </c>
      <c r="C49" s="17" t="str">
        <f>IFERROR(__xludf.DUMMYFUNCTION("REGEXREPLACE(B49,$A$3, )"),"Dapet email aktivasi akun, coba login ngga bisa ""terjadi masalah koneksi"" sama saya di upgrade tapi tetep aja ngga bisa masih ada tulisan ""terjadi masalah koneksi"" jadi ginana ini?")</f>
        <v>Dapet email aktivasi akun, coba login ngga bisa "terjadi masalah koneksi" sama saya di upgrade tapi tetep aja ngga bisa masih ada tulisan "terjadi masalah koneksi" jadi ginana ini?</v>
      </c>
      <c r="D49" s="17" t="str">
        <f>IFERROR(__xludf.DUMMYFUNCTION("REGEXREPLACE(C49,$A$4, )"),"Dapet email aktivasi akun, coba login ngga bisa ""terjadi masalah koneksi"" sama saya di upgrade tapi tetep aja ngga bisa masih ada tulisan ""terjadi masalah koneksi"" jadi ginana ini?")</f>
        <v>Dapet email aktivasi akun, coba login ngga bisa "terjadi masalah koneksi" sama saya di upgrade tapi tetep aja ngga bisa masih ada tulisan "terjadi masalah koneksi" jadi ginana ini?</v>
      </c>
      <c r="E49" s="17" t="str">
        <f>IFERROR(__xludf.DUMMYFUNCTION("REGEXREPLACE(D49,$A$5, )"),"Dapet email aktivasi akun, coba login ngga bisa ""terjadi masalah koneksi"" sama saya di upgrade tapi tetep aja ngga bisa masih ada tulisan ""terjadi masalah koneksi"" jadi ginana ini?")</f>
        <v>Dapet email aktivasi akun, coba login ngga bisa "terjadi masalah koneksi" sama saya di upgrade tapi tetep aja ngga bisa masih ada tulisan "terjadi masalah koneksi" jadi ginana ini?</v>
      </c>
      <c r="F49" s="17" t="str">
        <f>IFERROR(__xludf.DUMMYFUNCTION("REGEXREPLACE(E49,$A$6, )"),"Dapet email aktivasi akun coba login ngga bisa terjadi masalah koneksi sama saya di upgrade tapi tetep aja ngga bisa masih ada tulisan terjadi masalah koneksi jadi ginana ini")</f>
        <v>Dapet email aktivasi akun coba login ngga bisa terjadi masalah koneksi sama saya di upgrade tapi tetep aja ngga bisa masih ada tulisan terjadi masalah koneksi jadi ginana ini</v>
      </c>
      <c r="G49" s="18" t="str">
        <f>IFERROR(__xludf.DUMMYFUNCTION("REGEXREPLACE(F49,$A$7, )"),"Dapet email aktivasi akun coba login ngga bisa terjadi masalah koneksi sama saya di upgrade tapi tetep aja ngga bisa masih ada tulisan terjadi masalah koneksi jadi ginana ini")</f>
        <v>Dapet email aktivasi akun coba login ngga bisa terjadi masalah koneksi sama saya di upgrade tapi tetep aja ngga bisa masih ada tulisan terjadi masalah koneksi jadi ginana ini</v>
      </c>
      <c r="H49" s="17" t="str">
        <f t="shared" si="1"/>
        <v>dapet email aktivasi akun coba login ngga bisa terjadi masalah koneksi sama saya di upgrade tapi tetep aja ngga bisa masih ada tulisan terjadi masalah koneksi jadi ginana ini</v>
      </c>
    </row>
    <row r="50">
      <c r="A50" s="16" t="s">
        <v>44</v>
      </c>
      <c r="B50" s="17" t="str">
        <f>IFERROR(__xludf.DUMMYFUNCTION("REGEXREPLACE(A50,$A$2, )"),"Kata nya daftar bisa dapet set top box sudah mengusulkan tapi tidak menu pilihan stb gratis, aplikasi tidak yg bikin yang bener lah masa error terus")</f>
        <v>Kata nya daftar bisa dapet set top box sudah mengusulkan tapi tidak menu pilihan stb gratis, aplikasi tidak yg bikin yang bener lah masa error terus</v>
      </c>
      <c r="C50" s="17" t="str">
        <f>IFERROR(__xludf.DUMMYFUNCTION("REGEXREPLACE(B50,$A$3, )"),"Kata nya daftar bisa dapet set top box sudah mengusulkan tapi tidak menu pilihan stb gratis, aplikasi tidak yg bikin yang bener lah masa error terus")</f>
        <v>Kata nya daftar bisa dapet set top box sudah mengusulkan tapi tidak menu pilihan stb gratis, aplikasi tidak yg bikin yang bener lah masa error terus</v>
      </c>
      <c r="D50" s="17" t="str">
        <f>IFERROR(__xludf.DUMMYFUNCTION("REGEXREPLACE(C50,$A$4, )"),"Kata nya daftar bisa dapet set top box sudah mengusulkan tapi tidak menu pilihan stb gratis, aplikasi tidak yg bikin yang bener lah masa error terus")</f>
        <v>Kata nya daftar bisa dapet set top box sudah mengusulkan tapi tidak menu pilihan stb gratis, aplikasi tidak yg bikin yang bener lah masa error terus</v>
      </c>
      <c r="E50" s="17" t="str">
        <f>IFERROR(__xludf.DUMMYFUNCTION("REGEXREPLACE(D50,$A$5, )"),"Kata nya daftar bisa dapet set top box sudah mengusulkan tapi tidak menu pilihan stb gratis, aplikasi tidak yg bikin yang bener lah masa error terus")</f>
        <v>Kata nya daftar bisa dapet set top box sudah mengusulkan tapi tidak menu pilihan stb gratis, aplikasi tidak yg bikin yang bener lah masa error terus</v>
      </c>
      <c r="F50" s="17" t="str">
        <f>IFERROR(__xludf.DUMMYFUNCTION("REGEXREPLACE(E50,$A$6, )"),"Kata nya daftar bisa dapet set top box sudah mengusulkan tapi tidak menu pilihan stb gratis aplikasi tidak yg bikin yang bener lah masa error terus")</f>
        <v>Kata nya daftar bisa dapet set top box sudah mengusulkan tapi tidak menu pilihan stb gratis aplikasi tidak yg bikin yang bener lah masa error terus</v>
      </c>
      <c r="G50" s="18" t="str">
        <f>IFERROR(__xludf.DUMMYFUNCTION("REGEXREPLACE(F50,$A$7, )"),"Kata nya daftar bisa dapet set top box sudah mengusulkan tapi tidak menu pilihan stb gratis aplikasi tidak yg bikin yang bener lah masa error terus")</f>
        <v>Kata nya daftar bisa dapet set top box sudah mengusulkan tapi tidak menu pilihan stb gratis aplikasi tidak yg bikin yang bener lah masa error terus</v>
      </c>
      <c r="H50" s="17" t="str">
        <f t="shared" si="1"/>
        <v>kata nya daftar bisa dapet set top box sudah mengusulkan tapi tidak menu pilihan stb gratis aplikasi tidak yg bikin yang bener lah masa error terus</v>
      </c>
    </row>
    <row r="51">
      <c r="A51" s="16" t="s">
        <v>45</v>
      </c>
      <c r="B51" s="17" t="str">
        <f>IFERROR(__xludf.DUMMYFUNCTION("REGEXREPLACE(A51,$A$2, )"),"Dari semua ulasan, semuanya mengeluh TDK bisa login termasuk saya, tapi knp TDK di tindak lanjuti? Tidak ada perbaikan. Tolong dong di perbaiki!!!")</f>
        <v>Dari semua ulasan, semuanya mengeluh TDK bisa login termasuk saya, tapi knp TDK di tindak lanjuti? Tidak ada perbaikan. Tolong dong di perbaiki!!!</v>
      </c>
      <c r="C51" s="17" t="str">
        <f>IFERROR(__xludf.DUMMYFUNCTION("REGEXREPLACE(B51,$A$3, )"),"Dari semua ulasan, semuanya mengeluh TDK bisa login termasuk saya, tapi knp TDK di tindak lanjuti? Tidak ada perbaikan. Tolong dong di perbaiki!!!")</f>
        <v>Dari semua ulasan, semuanya mengeluh TDK bisa login termasuk saya, tapi knp TDK di tindak lanjuti? Tidak ada perbaikan. Tolong dong di perbaiki!!!</v>
      </c>
      <c r="D51" s="17" t="str">
        <f>IFERROR(__xludf.DUMMYFUNCTION("REGEXREPLACE(C51,$A$4, )"),"Dari semua ulasan, semuanya mengeluh TDK bisa login termasuk saya, tapi knp TDK di tindak lanjuti? Tidak ada perbaikan. Tolong dong di perbaiki!!!")</f>
        <v>Dari semua ulasan, semuanya mengeluh TDK bisa login termasuk saya, tapi knp TDK di tindak lanjuti? Tidak ada perbaikan. Tolong dong di perbaiki!!!</v>
      </c>
      <c r="E51" s="17" t="str">
        <f>IFERROR(__xludf.DUMMYFUNCTION("REGEXREPLACE(D51,$A$5, )"),"Dari semua ulasan, semuanya mengeluh TDK bisa login termasuk saya, tapi knp TDK di tindak lanjuti? Tidak ada perbaikan. Tolong dong di perbaiki!!!")</f>
        <v>Dari semua ulasan, semuanya mengeluh TDK bisa login termasuk saya, tapi knp TDK di tindak lanjuti? Tidak ada perbaikan. Tolong dong di perbaiki!!!</v>
      </c>
      <c r="F51" s="17" t="str">
        <f>IFERROR(__xludf.DUMMYFUNCTION("REGEXREPLACE(E51,$A$6, )"),"Dari semua ulasan semuanya mengeluh TDK bisa login termasuk saya tapi knp TDK di tindak lanjuti Tidak ada perbaikan Tolong dong di perbaiki")</f>
        <v>Dari semua ulasan semuanya mengeluh TDK bisa login termasuk saya tapi knp TDK di tindak lanjuti Tidak ada perbaikan Tolong dong di perbaiki</v>
      </c>
      <c r="G51" s="18" t="str">
        <f>IFERROR(__xludf.DUMMYFUNCTION("REGEXREPLACE(F51,$A$7, )"),"Dari semua ulasan semuanya mengeluh TDK bisa login termasuk saya tapi knp TDK di tindak lanjuti Tidak ada perbaikan Tolong dong di perbaiki")</f>
        <v>Dari semua ulasan semuanya mengeluh TDK bisa login termasuk saya tapi knp TDK di tindak lanjuti Tidak ada perbaikan Tolong dong di perbaiki</v>
      </c>
      <c r="H51" s="17" t="str">
        <f t="shared" si="1"/>
        <v>dari semua ulasan semuanya mengeluh tdk bisa login termasuk saya tapi knp tdk di tindak lanjuti tidak ada perbaikan tolong dong di perbaiki</v>
      </c>
    </row>
    <row r="52">
      <c r="A52" s="16" t="s">
        <v>46</v>
      </c>
      <c r="B52" s="17" t="str">
        <f>IFERROR(__xludf.DUMMYFUNCTION("REGEXREPLACE(A52,$A$2, )"),"Saat saya meregistrasi aplikasi ini cuma 1 Minggu sudah dapat pemberitahuan bahwa akun saya berhasil di Registerasi Tapi kenapa saat saya login kembali ke aplikasi nya selalu eror dengan tulisan ""Error Json Parse""")</f>
        <v>Saat saya meregistrasi aplikasi ini cuma 1 Minggu sudah dapat pemberitahuan bahwa akun saya berhasil di Registerasi Tapi kenapa saat saya login kembali ke aplikasi nya selalu eror dengan tulisan "Error Json Parse"</v>
      </c>
      <c r="C52" s="17" t="str">
        <f>IFERROR(__xludf.DUMMYFUNCTION("REGEXREPLACE(B52,$A$3, )"),"Saat saya meregistrasi aplikasi ini cuma 1 Minggu sudah dapat pemberitahuan bahwa akun saya berhasil di Registerasi Tapi kenapa saat saya login kembali ke aplikasi nya selalu eror dengan tulisan ""Error Json Parse""")</f>
        <v>Saat saya meregistrasi aplikasi ini cuma 1 Minggu sudah dapat pemberitahuan bahwa akun saya berhasil di Registerasi Tapi kenapa saat saya login kembali ke aplikasi nya selalu eror dengan tulisan "Error Json Parse"</v>
      </c>
      <c r="D52" s="17" t="str">
        <f>IFERROR(__xludf.DUMMYFUNCTION("REGEXREPLACE(C52,$A$4, )"),"Saat saya meregistrasi aplikasi ini cuma 1 Minggu sudah dapat pemberitahuan bahwa akun saya berhasil di Registerasi Tapi kenapa saat saya login kembali ke aplikasi nya selalu eror dengan tulisan ""Error Json Parse""")</f>
        <v>Saat saya meregistrasi aplikasi ini cuma 1 Minggu sudah dapat pemberitahuan bahwa akun saya berhasil di Registerasi Tapi kenapa saat saya login kembali ke aplikasi nya selalu eror dengan tulisan "Error Json Parse"</v>
      </c>
      <c r="E52" s="17" t="str">
        <f>IFERROR(__xludf.DUMMYFUNCTION("REGEXREPLACE(D52,$A$5, )"),"Saat saya meregistrasi aplikasi ini cuma  Minggu sudah dapat pemberitahuan bahwa akun saya berhasil di Registerasi Tapi kenapa saat saya login kembali ke aplikasi nya selalu eror dengan tulisan ""Error Json Parse""")</f>
        <v>Saat saya meregistrasi aplikasi ini cuma  Minggu sudah dapat pemberitahuan bahwa akun saya berhasil di Registerasi Tapi kenapa saat saya login kembali ke aplikasi nya selalu eror dengan tulisan "Error Json Parse"</v>
      </c>
      <c r="F52" s="17" t="str">
        <f>IFERROR(__xludf.DUMMYFUNCTION("REGEXREPLACE(E52,$A$6, )"),"Saat saya meregistrasi aplikasi ini cuma  Minggu sudah dapat pemberitahuan bahwa akun saya berhasil di Registerasi Tapi kenapa saat saya login kembali ke aplikasi nya selalu eror dengan tulisan Error Json Parse")</f>
        <v>Saat saya meregistrasi aplikasi ini cuma  Minggu sudah dapat pemberitahuan bahwa akun saya berhasil di Registerasi Tapi kenapa saat saya login kembali ke aplikasi nya selalu eror dengan tulisan Error Json Parse</v>
      </c>
      <c r="G52" s="18" t="str">
        <f>IFERROR(__xludf.DUMMYFUNCTION("REGEXREPLACE(F52,$A$7, )"),"Saat saya meregistrasi aplikasi ini cuma  Minggu sudah dapat pemberitahuan bahwa akun saya berhasil di Registerasi Tapi kenapa saat saya login kembali ke aplikasi nya selalu eror dengan tulisan Error Json Parse")</f>
        <v>Saat saya meregistrasi aplikasi ini cuma  Minggu sudah dapat pemberitahuan bahwa akun saya berhasil di Registerasi Tapi kenapa saat saya login kembali ke aplikasi nya selalu eror dengan tulisan Error Json Parse</v>
      </c>
      <c r="H52" s="17" t="str">
        <f t="shared" si="1"/>
        <v>saat saya meregistrasi aplikasi ini cuma  minggu sudah dapat pemberitahuan bahwa akun saya berhasil di registerasi tapi kenapa saat saya login kembali ke aplikasi nya selalu eror dengan tulisan error json parse</v>
      </c>
    </row>
    <row r="53">
      <c r="A53" s="16" t="s">
        <v>47</v>
      </c>
      <c r="B53" s="17" t="str">
        <f>IFERROR(__xludf.DUMMYFUNCTION("REGEXREPLACE(A53,$A$2, )"),"Aplikasinya bagus sangat membantu bagi yang sudah menerima bantuan dari pemerintah,buat yang belum dapat BSU buat pekerja yang aktif bayar BPJS TK,tapi masih belum terima aplikasi ini tidak berguna &amp; mengecewakan.")</f>
        <v>Aplikasinya bagus sangat membantu bagi yang sudah menerima bantuan dari pemerintah,buat yang belum dapat BSU buat pekerja yang aktif bayar BPJS TK,tapi masih belum terima aplikasi ini tidak berguna &amp; mengecewakan.</v>
      </c>
      <c r="C53" s="17" t="str">
        <f>IFERROR(__xludf.DUMMYFUNCTION("REGEXREPLACE(B53,$A$3, )"),"Aplikasinya bagus sangat membantu bagi yang sudah menerima bantuan dari pemerintah,buat yang belum dapat BSU buat pekerja yang aktif bayar BPJS TK,tapi masih belum terima aplikasi ini tidak berguna &amp; mengecewakan.")</f>
        <v>Aplikasinya bagus sangat membantu bagi yang sudah menerima bantuan dari pemerintah,buat yang belum dapat BSU buat pekerja yang aktif bayar BPJS TK,tapi masih belum terima aplikasi ini tidak berguna &amp; mengecewakan.</v>
      </c>
      <c r="D53" s="17" t="str">
        <f>IFERROR(__xludf.DUMMYFUNCTION("REGEXREPLACE(C53,$A$4, )"),"Aplikasinya bagus sangat membantu bagi yang sudah menerima bantuan dari pemerintah,buat yang belum dapat BSU buat pekerja yang aktif bayar BPJS TK,tapi masih belum terima aplikasi ini tidak berguna &amp; mengecewakan.")</f>
        <v>Aplikasinya bagus sangat membantu bagi yang sudah menerima bantuan dari pemerintah,buat yang belum dapat BSU buat pekerja yang aktif bayar BPJS TK,tapi masih belum terima aplikasi ini tidak berguna &amp; mengecewakan.</v>
      </c>
      <c r="E53" s="17" t="str">
        <f>IFERROR(__xludf.DUMMYFUNCTION("REGEXREPLACE(D53,$A$5, )"),"Aplikasinya bagus sangat membantu bagi yang sudah menerima bantuan dari pemerintah,buat yang belum dapat BSU buat pekerja yang aktif bayar BPJS TK,tapi masih belum terima aplikasi ini tidak berguna &amp; mengecewakan.")</f>
        <v>Aplikasinya bagus sangat membantu bagi yang sudah menerima bantuan dari pemerintah,buat yang belum dapat BSU buat pekerja yang aktif bayar BPJS TK,tapi masih belum terima aplikasi ini tidak berguna &amp; mengecewakan.</v>
      </c>
      <c r="F53" s="17" t="str">
        <f>IFERROR(__xludf.DUMMYFUNCTION("REGEXREPLACE(E53,$A$6, )"),"Aplikasinya bagus sangat membantu bagi yang sudah menerima bantuan dari pemerintahbuat yang belum dapat BSU buat pekerja yang aktif bayar BPJS TKtapi masih belum terima aplikasi ini tidak berguna &amp; mengecewakan")</f>
        <v>Aplikasinya bagus sangat membantu bagi yang sudah menerima bantuan dari pemerintahbuat yang belum dapat BSU buat pekerja yang aktif bayar BPJS TKtapi masih belum terima aplikasi ini tidak berguna &amp; mengecewakan</v>
      </c>
      <c r="G53" s="18" t="str">
        <f>IFERROR(__xludf.DUMMYFUNCTION("REGEXREPLACE(F53,$A$7, )"),"Aplikasinya bagus sangat membantu bagi yang sudah menerima bantuan dari pemerintahbuat yang belum dapat BSU buat pekerja yang aktif bayar BPJS TKtapi masih belum terima aplikasi ini tidak berguna &amp; mengecewakan")</f>
        <v>Aplikasinya bagus sangat membantu bagi yang sudah menerima bantuan dari pemerintahbuat yang belum dapat BSU buat pekerja yang aktif bayar BPJS TKtapi masih belum terima aplikasi ini tidak berguna &amp; mengecewakan</v>
      </c>
      <c r="H53" s="17" t="str">
        <f t="shared" si="1"/>
        <v>aplikasinya bagus sangat membantu bagi yang sudah menerima bantuan dari pemerintahbuat yang belum dapat bsu buat pekerja yang aktif bayar bpjs tktapi masih belum terima aplikasi ini tidak berguna &amp; mengecewakan</v>
      </c>
    </row>
    <row r="54">
      <c r="A54" s="16" t="s">
        <v>48</v>
      </c>
      <c r="B54" s="17" t="str">
        <f>IFERROR(__xludf.DUMMYFUNCTION("REGEXREPLACE(A54,$A$2, )"),"Akhirnya bisa juga selama 1 bulan lebih trus mencoba walaupun error trs tetap berusaha dan akhirnya alhamdulillah berhasil tambah usulan😇😉")</f>
        <v>Akhirnya bisa juga selama 1 bulan lebih trus mencoba walaupun error trs tetap berusaha dan akhirnya alhamdulillah berhasil tambah usulan😇😉</v>
      </c>
      <c r="C54" s="17" t="str">
        <f>IFERROR(__xludf.DUMMYFUNCTION("REGEXREPLACE(B54,$A$3, )"),"Akhirnya bisa juga selama 1 bulan lebih trus mencoba walaupun error trs tetap berusaha dan akhirnya alhamdulillah berhasil tambah usulan😇😉")</f>
        <v>Akhirnya bisa juga selama 1 bulan lebih trus mencoba walaupun error trs tetap berusaha dan akhirnya alhamdulillah berhasil tambah usulan😇😉</v>
      </c>
      <c r="D54" s="17" t="str">
        <f>IFERROR(__xludf.DUMMYFUNCTION("REGEXREPLACE(C54,$A$4, )"),"Akhirnya bisa juga selama 1 bulan lebih trus mencoba walaupun error trs tetap berusaha dan akhirnya alhamdulillah berhasil tambah usulan😇😉")</f>
        <v>Akhirnya bisa juga selama 1 bulan lebih trus mencoba walaupun error trs tetap berusaha dan akhirnya alhamdulillah berhasil tambah usulan😇😉</v>
      </c>
      <c r="E54" s="17" t="str">
        <f>IFERROR(__xludf.DUMMYFUNCTION("REGEXREPLACE(D54,$A$5, )"),"Akhirnya bisa juga selama  bulan lebih trus mencoba walaupun error trs tetap berusaha dan akhirnya alhamdulillah berhasil tambah usulan😇😉")</f>
        <v>Akhirnya bisa juga selama  bulan lebih trus mencoba walaupun error trs tetap berusaha dan akhirnya alhamdulillah berhasil tambah usulan😇😉</v>
      </c>
      <c r="F54" s="17" t="str">
        <f>IFERROR(__xludf.DUMMYFUNCTION("REGEXREPLACE(E54,$A$6, )"),"Akhirnya bisa juga selama  bulan lebih trus mencoba walaupun error trs tetap berusaha dan akhirnya alhamdulillah berhasil tambah usulan😇😉")</f>
        <v>Akhirnya bisa juga selama  bulan lebih trus mencoba walaupun error trs tetap berusaha dan akhirnya alhamdulillah berhasil tambah usulan😇😉</v>
      </c>
      <c r="G54" s="18" t="str">
        <f>IFERROR(__xludf.DUMMYFUNCTION("REGEXREPLACE(F54,$A$7, )"),"Akhirnya bisa juga selama  bulan lebih trus mencoba walaupun error trs tetap berusaha dan akhirnya alhamdulillah berhasil tambah usulan")</f>
        <v>Akhirnya bisa juga selama  bulan lebih trus mencoba walaupun error trs tetap berusaha dan akhirnya alhamdulillah berhasil tambah usulan</v>
      </c>
      <c r="H54" s="17" t="str">
        <f t="shared" si="1"/>
        <v>akhirnya bisa juga selama  bulan lebih trus mencoba walaupun error trs tetap berusaha dan akhirnya alhamdulillah berhasil tambah usulan</v>
      </c>
    </row>
    <row r="55">
      <c r="A55" s="16" t="s">
        <v>49</v>
      </c>
      <c r="B55" s="17" t="str">
        <f>IFERROR(__xludf.DUMMYFUNCTION("REGEXREPLACE(A55,$A$2, )"),"Setiap mau login tidak bisa katanya akun belom terverivikasi , padahal udah lama terverivikasi. Gimana mu dipake ini aplikasi")</f>
        <v>Setiap mau login tidak bisa katanya akun belom terverivikasi , padahal udah lama terverivikasi. Gimana mu dipake ini aplikasi</v>
      </c>
      <c r="C55" s="17" t="str">
        <f>IFERROR(__xludf.DUMMYFUNCTION("REGEXREPLACE(B55,$A$3, )"),"Setiap mau login tidak bisa katanya akun belom terverivikasi , padahal udah lama terverivikasi. Gimana mu dipake ini aplikasi")</f>
        <v>Setiap mau login tidak bisa katanya akun belom terverivikasi , padahal udah lama terverivikasi. Gimana mu dipake ini aplikasi</v>
      </c>
      <c r="D55" s="17" t="str">
        <f>IFERROR(__xludf.DUMMYFUNCTION("REGEXREPLACE(C55,$A$4, )"),"Setiap mau login tidak bisa katanya akun belom terverivikasi , padahal udah lama terverivikasi. Gimana mu dipake ini aplikasi")</f>
        <v>Setiap mau login tidak bisa katanya akun belom terverivikasi , padahal udah lama terverivikasi. Gimana mu dipake ini aplikasi</v>
      </c>
      <c r="E55" s="17" t="str">
        <f>IFERROR(__xludf.DUMMYFUNCTION("REGEXREPLACE(D55,$A$5, )"),"Setiap mau login tidak bisa katanya akun belom terverivikasi , padahal udah lama terverivikasi. Gimana mu dipake ini aplikasi")</f>
        <v>Setiap mau login tidak bisa katanya akun belom terverivikasi , padahal udah lama terverivikasi. Gimana mu dipake ini aplikasi</v>
      </c>
      <c r="F55" s="17" t="str">
        <f>IFERROR(__xludf.DUMMYFUNCTION("REGEXREPLACE(E55,$A$6, )"),"Setiap mau login tidak bisa katanya akun belom terverivikasi  padahal udah lama terverivikasi Gimana mu dipake ini aplikasi")</f>
        <v>Setiap mau login tidak bisa katanya akun belom terverivikasi  padahal udah lama terverivikasi Gimana mu dipake ini aplikasi</v>
      </c>
      <c r="G55" s="18" t="str">
        <f>IFERROR(__xludf.DUMMYFUNCTION("REGEXREPLACE(F55,$A$7, )"),"Setiap mau login tidak bisa katanya akun belom terverivikasi  padahal udah lama terverivikasi Gimana mu dipake ini aplikasi")</f>
        <v>Setiap mau login tidak bisa katanya akun belom terverivikasi  padahal udah lama terverivikasi Gimana mu dipake ini aplikasi</v>
      </c>
      <c r="H55" s="17" t="str">
        <f t="shared" si="1"/>
        <v>setiap mau login tidak bisa katanya akun belom terverivikasi  padahal udah lama terverivikasi gimana mu dipake ini aplikasi</v>
      </c>
    </row>
    <row r="56">
      <c r="A56" s="16" t="s">
        <v>50</v>
      </c>
      <c r="B56" s="17" t="str">
        <f>IFERROR(__xludf.DUMMYFUNCTION("REGEXREPLACE(A56,$A$2, )"),"Kasih bintang lima, walau sudah terverifikasi dan disetujui itu pun harus menunggu 1 bulan lebih , tapi tetap tidak bisa masuk dalam aplikasi, mantap...mantap....tidak menyesal saya mendownload aplikasi ini, tapi kenapa harus di pertemukan dengan aplikasi"&amp;" seperti ini 😢😭😭😭😭😭😭")</f>
        <v>Kasih bintang lima, walau sudah terverifikasi dan disetujui itu pun harus menunggu 1 bulan lebih , tapi tetap tidak bisa masuk dalam aplikasi, mantap...mantap....tidak menyesal saya mendownload aplikasi ini, tapi kenapa harus di pertemukan dengan aplikasi seperti ini 😢😭😭😭😭😭😭</v>
      </c>
      <c r="C56" s="17" t="str">
        <f>IFERROR(__xludf.DUMMYFUNCTION("REGEXREPLACE(B56,$A$3, )"),"Kasih bintang lima, walau sudah terverifikasi dan disetujui itu pun harus menunggu 1 bulan lebih , tapi tetap tidak bisa masuk dalam aplikasi, mantap...mantap....tidak menyesal saya mendownload aplikasi ini, tapi kenapa harus di pertemukan dengan aplikasi"&amp;" seperti ini 😢😭😭😭😭😭😭")</f>
        <v>Kasih bintang lima, walau sudah terverifikasi dan disetujui itu pun harus menunggu 1 bulan lebih , tapi tetap tidak bisa masuk dalam aplikasi, mantap...mantap....tidak menyesal saya mendownload aplikasi ini, tapi kenapa harus di pertemukan dengan aplikasi seperti ini 😢😭😭😭😭😭😭</v>
      </c>
      <c r="D56" s="17" t="str">
        <f>IFERROR(__xludf.DUMMYFUNCTION("REGEXREPLACE(C56,$A$4, )"),"Kasih bintang lima, walau sudah terverifikasi dan disetujui itu pun harus menunggu 1 bulan lebih , tapi tetap tidak bisa masuk dalam aplikasi, mantap...mantap....tidak menyesal saya mendownload aplikasi ini, tapi kenapa harus di pertemukan dengan aplikasi"&amp;" seperti ini 😢😭😭😭😭😭😭")</f>
        <v>Kasih bintang lima, walau sudah terverifikasi dan disetujui itu pun harus menunggu 1 bulan lebih , tapi tetap tidak bisa masuk dalam aplikasi, mantap...mantap....tidak menyesal saya mendownload aplikasi ini, tapi kenapa harus di pertemukan dengan aplikasi seperti ini 😢😭😭😭😭😭😭</v>
      </c>
      <c r="E56" s="17" t="str">
        <f>IFERROR(__xludf.DUMMYFUNCTION("REGEXREPLACE(D56,$A$5, )"),"Kasih bintang lima, walau sudah terverifikasi dan disetujui itu pun harus menunggu  bulan lebih , tapi tetap tidak bisa masuk dalam aplikasi, mantap...mantap....tidak menyesal saya mendownload aplikasi ini, tapi kenapa harus di pertemukan dengan aplikasi "&amp;"seperti ini 😢😭😭😭😭😭😭")</f>
        <v>Kasih bintang lima, walau sudah terverifikasi dan disetujui itu pun harus menunggu  bulan lebih , tapi tetap tidak bisa masuk dalam aplikasi, mantap...mantap....tidak menyesal saya mendownload aplikasi ini, tapi kenapa harus di pertemukan dengan aplikasi seperti ini 😢😭😭😭😭😭😭</v>
      </c>
      <c r="F56" s="17" t="str">
        <f>IFERROR(__xludf.DUMMYFUNCTION("REGEXREPLACE(E56,$A$6, )"),"Kasih bintang lima walau sudah terverifikasi dan disetujui itu pun harus menunggu  bulan lebih  tapi tetap tidak bisa masuk dalam aplikasi mantapmantaptidak menyesal saya mendownload aplikasi ini tapi kenapa harus di pertemukan dengan aplikasi seperti ini"&amp;" 😢😭😭😭😭😭😭")</f>
        <v>Kasih bintang lima walau sudah terverifikasi dan disetujui itu pun harus menunggu  bulan lebih  tapi tetap tidak bisa masuk dalam aplikasi mantapmantaptidak menyesal saya mendownload aplikasi ini tapi kenapa harus di pertemukan dengan aplikasi seperti ini 😢😭😭😭😭😭😭</v>
      </c>
      <c r="G56" s="18" t="str">
        <f>IFERROR(__xludf.DUMMYFUNCTION("REGEXREPLACE(F56,$A$7, )"),"Kasih bintang lima walau sudah terverifikasi dan disetujui itu pun harus menunggu  bulan lebih  tapi tetap tidak bisa masuk dalam aplikasi mantapmantaptidak menyesal saya mendownload aplikasi ini tapi kenapa harus di pertemukan dengan aplikasi seperti ini"&amp;" ")</f>
        <v>Kasih bintang lima walau sudah terverifikasi dan disetujui itu pun harus menunggu  bulan lebih  tapi tetap tidak bisa masuk dalam aplikasi mantapmantaptidak menyesal saya mendownload aplikasi ini tapi kenapa harus di pertemukan dengan aplikasi seperti ini </v>
      </c>
      <c r="H56" s="17" t="str">
        <f t="shared" si="1"/>
        <v>kasih bintang lima walau sudah terverifikasi dan disetujui itu pun harus menunggu  bulan lebih  tapi tetap tidak bisa masuk dalam aplikasi mantapmantaptidak menyesal saya mendownload aplikasi ini tapi kenapa harus di pertemukan dengan aplikasi seperti ini </v>
      </c>
    </row>
    <row r="57">
      <c r="A57" s="16" t="s">
        <v>51</v>
      </c>
      <c r="B57" s="17" t="str">
        <f>IFERROR(__xludf.DUMMYFUNCTION("REGEXREPLACE(A57,$A$2, )"),"ini gimana ya saya sudah daftar pas login kok ga bisa masuk padahal nama dan pasword sudah benar jelasin dengan detil aktivasi sebenarnya gimana")</f>
        <v>ini gimana ya saya sudah daftar pas login kok ga bisa masuk padahal nama dan pasword sudah benar jelasin dengan detil aktivasi sebenarnya gimana</v>
      </c>
      <c r="C57" s="17" t="str">
        <f>IFERROR(__xludf.DUMMYFUNCTION("REGEXREPLACE(B57,$A$3, )"),"ini gimana ya saya sudah daftar pas login kok ga bisa masuk padahal nama dan pasword sudah benar jelasin dengan detil aktivasi sebenarnya gimana")</f>
        <v>ini gimana ya saya sudah daftar pas login kok ga bisa masuk padahal nama dan pasword sudah benar jelasin dengan detil aktivasi sebenarnya gimana</v>
      </c>
      <c r="D57" s="17" t="str">
        <f>IFERROR(__xludf.DUMMYFUNCTION("REGEXREPLACE(C57,$A$4, )"),"ini gimana ya saya sudah daftar pas login kok ga bisa masuk padahal nama dan pasword sudah benar jelasin dengan detil aktivasi sebenarnya gimana")</f>
        <v>ini gimana ya saya sudah daftar pas login kok ga bisa masuk padahal nama dan pasword sudah benar jelasin dengan detil aktivasi sebenarnya gimana</v>
      </c>
      <c r="E57" s="17" t="str">
        <f>IFERROR(__xludf.DUMMYFUNCTION("REGEXREPLACE(D57,$A$5, )"),"ini gimana ya saya sudah daftar pas login kok ga bisa masuk padahal nama dan pasword sudah benar jelasin dengan detil aktivasi sebenarnya gimana")</f>
        <v>ini gimana ya saya sudah daftar pas login kok ga bisa masuk padahal nama dan pasword sudah benar jelasin dengan detil aktivasi sebenarnya gimana</v>
      </c>
      <c r="F57" s="17" t="str">
        <f>IFERROR(__xludf.DUMMYFUNCTION("REGEXREPLACE(E57,$A$6, )"),"ini gimana ya saya sudah daftar pas login kok ga bisa masuk padahal nama dan pasword sudah benar jelasin dengan detil aktivasi sebenarnya gimana")</f>
        <v>ini gimana ya saya sudah daftar pas login kok ga bisa masuk padahal nama dan pasword sudah benar jelasin dengan detil aktivasi sebenarnya gimana</v>
      </c>
      <c r="G57" s="18" t="str">
        <f>IFERROR(__xludf.DUMMYFUNCTION("REGEXREPLACE(F57,$A$7, )"),"ini gimana ya saya sudah daftar pas login kok ga bisa masuk padahal nama dan pasword sudah benar jelasin dengan detil aktivasi sebenarnya gimana")</f>
        <v>ini gimana ya saya sudah daftar pas login kok ga bisa masuk padahal nama dan pasword sudah benar jelasin dengan detil aktivasi sebenarnya gimana</v>
      </c>
      <c r="H57" s="17" t="str">
        <f t="shared" si="1"/>
        <v>ini gimana ya saya sudah daftar pas login kok ga bisa masuk padahal nama dan pasword sudah benar jelasin dengan detil aktivasi sebenarnya gimana</v>
      </c>
    </row>
    <row r="58">
      <c r="A58" s="16" t="s">
        <v>52</v>
      </c>
      <c r="B58" s="17" t="str">
        <f>IFERROR(__xludf.DUMMYFUNCTION("REGEXREPLACE(A58,$A$2, )"),"Aplikasi ini memang bisa diandal kan kalo hanya untuk mendaptar tapi seharus nya di cantumkan nama dan no NIK baru jelas jadi GK bingung kita karena kalo hanya nama saja susah mbedakan karena nama banyak yang sama")</f>
        <v>Aplikasi ini memang bisa diandal kan kalo hanya untuk mendaptar tapi seharus nya di cantumkan nama dan no NIK baru jelas jadi GK bingung kita karena kalo hanya nama saja susah mbedakan karena nama banyak yang sama</v>
      </c>
      <c r="C58" s="17" t="str">
        <f>IFERROR(__xludf.DUMMYFUNCTION("REGEXREPLACE(B58,$A$3, )"),"Aplikasi ini memang bisa diandal kan kalo hanya untuk mendaptar tapi seharus nya di cantumkan nama dan no NIK baru jelas jadi GK bingung kita karena kalo hanya nama saja susah mbedakan karena nama banyak yang sama")</f>
        <v>Aplikasi ini memang bisa diandal kan kalo hanya untuk mendaptar tapi seharus nya di cantumkan nama dan no NIK baru jelas jadi GK bingung kita karena kalo hanya nama saja susah mbedakan karena nama banyak yang sama</v>
      </c>
      <c r="D58" s="17" t="str">
        <f>IFERROR(__xludf.DUMMYFUNCTION("REGEXREPLACE(C58,$A$4, )"),"Aplikasi ini memang bisa diandal kan kalo hanya untuk mendaptar tapi seharus nya di cantumkan nama dan no NIK baru jelas jadi GK bingung kita karena kalo hanya nama saja susah mbedakan karena nama banyak yang sama")</f>
        <v>Aplikasi ini memang bisa diandal kan kalo hanya untuk mendaptar tapi seharus nya di cantumkan nama dan no NIK baru jelas jadi GK bingung kita karena kalo hanya nama saja susah mbedakan karena nama banyak yang sama</v>
      </c>
      <c r="E58" s="17" t="str">
        <f>IFERROR(__xludf.DUMMYFUNCTION("REGEXREPLACE(D58,$A$5, )"),"Aplikasi ini memang bisa diandal kan kalo hanya untuk mendaptar tapi seharus nya di cantumkan nama dan no NIK baru jelas jadi GK bingung kita karena kalo hanya nama saja susah mbedakan karena nama banyak yang sama")</f>
        <v>Aplikasi ini memang bisa diandal kan kalo hanya untuk mendaptar tapi seharus nya di cantumkan nama dan no NIK baru jelas jadi GK bingung kita karena kalo hanya nama saja susah mbedakan karena nama banyak yang sama</v>
      </c>
      <c r="F58" s="17" t="str">
        <f>IFERROR(__xludf.DUMMYFUNCTION("REGEXREPLACE(E58,$A$6, )"),"Aplikasi ini memang bisa diandal kan kalo hanya untuk mendaptar tapi seharus nya di cantumkan nama dan no NIK baru jelas jadi GK bingung kita karena kalo hanya nama saja susah mbedakan karena nama banyak yang sama")</f>
        <v>Aplikasi ini memang bisa diandal kan kalo hanya untuk mendaptar tapi seharus nya di cantumkan nama dan no NIK baru jelas jadi GK bingung kita karena kalo hanya nama saja susah mbedakan karena nama banyak yang sama</v>
      </c>
      <c r="G58" s="18" t="str">
        <f>IFERROR(__xludf.DUMMYFUNCTION("REGEXREPLACE(F58,$A$7, )"),"Aplikasi ini memang bisa diandal kan kalo hanya untuk mendaptar tapi seharus nya di cantumkan nama dan no NIK baru jelas jadi GK bingung kita karena kalo hanya nama saja susah mbedakan karena nama banyak yang sama")</f>
        <v>Aplikasi ini memang bisa diandal kan kalo hanya untuk mendaptar tapi seharus nya di cantumkan nama dan no NIK baru jelas jadi GK bingung kita karena kalo hanya nama saja susah mbedakan karena nama banyak yang sama</v>
      </c>
      <c r="H58" s="17" t="str">
        <f t="shared" si="1"/>
        <v>aplikasi ini memang bisa diandal kan kalo hanya untuk mendaptar tapi seharus nya di cantumkan nama dan no nik baru jelas jadi gk bingung kita karena kalo hanya nama saja susah mbedakan karena nama banyak yang sama</v>
      </c>
    </row>
    <row r="59">
      <c r="A59" s="16" t="s">
        <v>53</v>
      </c>
      <c r="B59" s="17" t="str">
        <f>IFERROR(__xludf.DUMMYFUNCTION("REGEXREPLACE(A59,$A$2, )"),"Trimakasih aplikasi ini membuat nambah pengalaman juga dan membuat saya dapat BLT. Dari dulu saya gak pernah dpat sekarang berkat aplikasi ini jadi dapat BLT.")</f>
        <v>Trimakasih aplikasi ini membuat nambah pengalaman juga dan membuat saya dapat BLT. Dari dulu saya gak pernah dpat sekarang berkat aplikasi ini jadi dapat BLT.</v>
      </c>
      <c r="C59" s="17" t="str">
        <f>IFERROR(__xludf.DUMMYFUNCTION("REGEXREPLACE(B59,$A$3, )"),"Trimakasih aplikasi ini membuat nambah pengalaman juga dan membuat saya dapat BLT. Dari dulu saya gak pernah dpat sekarang berkat aplikasi ini jadi dapat BLT.")</f>
        <v>Trimakasih aplikasi ini membuat nambah pengalaman juga dan membuat saya dapat BLT. Dari dulu saya gak pernah dpat sekarang berkat aplikasi ini jadi dapat BLT.</v>
      </c>
      <c r="D59" s="17" t="str">
        <f>IFERROR(__xludf.DUMMYFUNCTION("REGEXREPLACE(C59,$A$4, )"),"Trimakasih aplikasi ini membuat nambah pengalaman juga dan membuat saya dapat BLT. Dari dulu saya gak pernah dpat sekarang berkat aplikasi ini jadi dapat BLT.")</f>
        <v>Trimakasih aplikasi ini membuat nambah pengalaman juga dan membuat saya dapat BLT. Dari dulu saya gak pernah dpat sekarang berkat aplikasi ini jadi dapat BLT.</v>
      </c>
      <c r="E59" s="17" t="str">
        <f>IFERROR(__xludf.DUMMYFUNCTION("REGEXREPLACE(D59,$A$5, )"),"Trimakasih aplikasi ini membuat nambah pengalaman juga dan membuat saya dapat BLT. Dari dulu saya gak pernah dpat sekarang berkat aplikasi ini jadi dapat BLT.")</f>
        <v>Trimakasih aplikasi ini membuat nambah pengalaman juga dan membuat saya dapat BLT. Dari dulu saya gak pernah dpat sekarang berkat aplikasi ini jadi dapat BLT.</v>
      </c>
      <c r="F59" s="17" t="str">
        <f>IFERROR(__xludf.DUMMYFUNCTION("REGEXREPLACE(E59,$A$6, )"),"Trimakasih aplikasi ini membuat nambah pengalaman juga dan membuat saya dapat BLT Dari dulu saya gak pernah dpat sekarang berkat aplikasi ini jadi dapat BLT")</f>
        <v>Trimakasih aplikasi ini membuat nambah pengalaman juga dan membuat saya dapat BLT Dari dulu saya gak pernah dpat sekarang berkat aplikasi ini jadi dapat BLT</v>
      </c>
      <c r="G59" s="18" t="str">
        <f>IFERROR(__xludf.DUMMYFUNCTION("REGEXREPLACE(F59,$A$7, )"),"Trimakasih aplikasi ini membuat nambah pengalaman juga dan membuat saya dapat BLT Dari dulu saya gak pernah dpat sekarang berkat aplikasi ini jadi dapat BLT")</f>
        <v>Trimakasih aplikasi ini membuat nambah pengalaman juga dan membuat saya dapat BLT Dari dulu saya gak pernah dpat sekarang berkat aplikasi ini jadi dapat BLT</v>
      </c>
      <c r="H59" s="17" t="str">
        <f t="shared" si="1"/>
        <v>trimakasih aplikasi ini membuat nambah pengalaman juga dan membuat saya dapat blt dari dulu saya gak pernah dpat sekarang berkat aplikasi ini jadi dapat blt</v>
      </c>
    </row>
    <row r="60">
      <c r="A60" s="16" t="s">
        <v>54</v>
      </c>
      <c r="B60" s="17" t="str">
        <f>IFERROR(__xludf.DUMMYFUNCTION("REGEXREPLACE(A60,$A$2, )"),"Tolong admin aplikasi nya d perbaiki lagi, sy sdh mengisi formulir usulan sampai penuh dan setiap tinggal klik tambah usulan selalu error tolong ini di perbaiki trimakasih 🙏")</f>
        <v>Tolong admin aplikasi nya d perbaiki lagi, sy sdh mengisi formulir usulan sampai penuh dan setiap tinggal klik tambah usulan selalu error tolong ini di perbaiki trimakasih 🙏</v>
      </c>
      <c r="C60" s="17" t="str">
        <f>IFERROR(__xludf.DUMMYFUNCTION("REGEXREPLACE(B60,$A$3, )"),"Tolong admin aplikasi nya d perbaiki lagi, sy sdh mengisi formulir usulan sampai penuh dan setiap tinggal klik tambah usulan selalu error tolong ini di perbaiki trimakasih 🙏")</f>
        <v>Tolong admin aplikasi nya d perbaiki lagi, sy sdh mengisi formulir usulan sampai penuh dan setiap tinggal klik tambah usulan selalu error tolong ini di perbaiki trimakasih 🙏</v>
      </c>
      <c r="D60" s="17" t="str">
        <f>IFERROR(__xludf.DUMMYFUNCTION("REGEXREPLACE(C60,$A$4, )"),"Tolong admin aplikasi nya d perbaiki lagi, sy sdh mengisi formulir usulan sampai penuh dan setiap tinggal klik tambah usulan selalu error tolong ini di perbaiki trimakasih 🙏")</f>
        <v>Tolong admin aplikasi nya d perbaiki lagi, sy sdh mengisi formulir usulan sampai penuh dan setiap tinggal klik tambah usulan selalu error tolong ini di perbaiki trimakasih 🙏</v>
      </c>
      <c r="E60" s="17" t="str">
        <f>IFERROR(__xludf.DUMMYFUNCTION("REGEXREPLACE(D60,$A$5, )"),"Tolong admin aplikasi nya d perbaiki lagi, sy sdh mengisi formulir usulan sampai penuh dan setiap tinggal klik tambah usulan selalu error tolong ini di perbaiki trimakasih 🙏")</f>
        <v>Tolong admin aplikasi nya d perbaiki lagi, sy sdh mengisi formulir usulan sampai penuh dan setiap tinggal klik tambah usulan selalu error tolong ini di perbaiki trimakasih 🙏</v>
      </c>
      <c r="F60" s="17" t="str">
        <f>IFERROR(__xludf.DUMMYFUNCTION("REGEXREPLACE(E60,$A$6, )"),"Tolong admin aplikasi nya d perbaiki lagi sy sdh mengisi formulir usulan sampai penuh dan setiap tinggal klik tambah usulan selalu error tolong ini di perbaiki trimakasih 🙏")</f>
        <v>Tolong admin aplikasi nya d perbaiki lagi sy sdh mengisi formulir usulan sampai penuh dan setiap tinggal klik tambah usulan selalu error tolong ini di perbaiki trimakasih 🙏</v>
      </c>
      <c r="G60" s="18" t="str">
        <f>IFERROR(__xludf.DUMMYFUNCTION("REGEXREPLACE(F60,$A$7, )"),"Tolong admin aplikasi nya d perbaiki lagi sy sdh mengisi formulir usulan sampai penuh dan setiap tinggal klik tambah usulan selalu error tolong ini di perbaiki trimakasih ")</f>
        <v>Tolong admin aplikasi nya d perbaiki lagi sy sdh mengisi formulir usulan sampai penuh dan setiap tinggal klik tambah usulan selalu error tolong ini di perbaiki trimakasih </v>
      </c>
      <c r="H60" s="17" t="str">
        <f t="shared" si="1"/>
        <v>tolong admin aplikasi nya d perbaiki lagi sy sdh mengisi formulir usulan sampai penuh dan setiap tinggal klik tambah usulan selalu error tolong ini di perbaiki trimakasih </v>
      </c>
    </row>
    <row r="61">
      <c r="A61" s="16" t="s">
        <v>55</v>
      </c>
      <c r="B61" s="17" t="str">
        <f>IFERROR(__xludf.DUMMYFUNCTION("REGEXREPLACE(A61,$A$2, )"),"Kenapa setiap login tidak bisa atau selalu eror. Keterangan nya harus menghubungi admin aplikasi. 🙄")</f>
        <v>Kenapa setiap login tidak bisa atau selalu eror. Keterangan nya harus menghubungi admin aplikasi. 🙄</v>
      </c>
      <c r="C61" s="17" t="str">
        <f>IFERROR(__xludf.DUMMYFUNCTION("REGEXREPLACE(B61,$A$3, )"),"Kenapa setiap login tidak bisa atau selalu eror. Keterangan nya harus menghubungi admin aplikasi. 🙄")</f>
        <v>Kenapa setiap login tidak bisa atau selalu eror. Keterangan nya harus menghubungi admin aplikasi. 🙄</v>
      </c>
      <c r="D61" s="17" t="str">
        <f>IFERROR(__xludf.DUMMYFUNCTION("REGEXREPLACE(C61,$A$4, )"),"Kenapa setiap login tidak bisa atau selalu eror. Keterangan nya harus menghubungi admin aplikasi. 🙄")</f>
        <v>Kenapa setiap login tidak bisa atau selalu eror. Keterangan nya harus menghubungi admin aplikasi. 🙄</v>
      </c>
      <c r="E61" s="17" t="str">
        <f>IFERROR(__xludf.DUMMYFUNCTION("REGEXREPLACE(D61,$A$5, )"),"Kenapa setiap login tidak bisa atau selalu eror. Keterangan nya harus menghubungi admin aplikasi. 🙄")</f>
        <v>Kenapa setiap login tidak bisa atau selalu eror. Keterangan nya harus menghubungi admin aplikasi. 🙄</v>
      </c>
      <c r="F61" s="17" t="str">
        <f>IFERROR(__xludf.DUMMYFUNCTION("REGEXREPLACE(E61,$A$6, )"),"Kenapa setiap login tidak bisa atau selalu eror Keterangan nya harus menghubungi admin aplikasi 🙄")</f>
        <v>Kenapa setiap login tidak bisa atau selalu eror Keterangan nya harus menghubungi admin aplikasi 🙄</v>
      </c>
      <c r="G61" s="18" t="str">
        <f>IFERROR(__xludf.DUMMYFUNCTION("REGEXREPLACE(F61,$A$7, )"),"Kenapa setiap login tidak bisa atau selalu eror Keterangan nya harus menghubungi admin aplikasi ")</f>
        <v>Kenapa setiap login tidak bisa atau selalu eror Keterangan nya harus menghubungi admin aplikasi </v>
      </c>
      <c r="H61" s="17" t="str">
        <f t="shared" si="1"/>
        <v>kenapa setiap login tidak bisa atau selalu eror keterangan nya harus menghubungi admin aplikasi </v>
      </c>
    </row>
    <row r="62">
      <c r="A62" s="16" t="s">
        <v>56</v>
      </c>
      <c r="B62" s="17" t="str">
        <f>IFERROR(__xludf.DUMMYFUNCTION("REGEXREPLACE(A62,$A$2, )"),"Kenapa ga bisa masuk dan selalu ada tulisan error atau belum ditemukan aktivasi, padahal udah ada email,.. tolong di perbaiki lagi")</f>
        <v>Kenapa ga bisa masuk dan selalu ada tulisan error atau belum ditemukan aktivasi, padahal udah ada email,.. tolong di perbaiki lagi</v>
      </c>
      <c r="C62" s="17" t="str">
        <f>IFERROR(__xludf.DUMMYFUNCTION("REGEXREPLACE(B62,$A$3, )"),"Kenapa ga bisa masuk dan selalu ada tulisan error atau belum ditemukan aktivasi, padahal udah ada email,.. tolong di perbaiki lagi")</f>
        <v>Kenapa ga bisa masuk dan selalu ada tulisan error atau belum ditemukan aktivasi, padahal udah ada email,.. tolong di perbaiki lagi</v>
      </c>
      <c r="D62" s="17" t="str">
        <f>IFERROR(__xludf.DUMMYFUNCTION("REGEXREPLACE(C62,$A$4, )"),"Kenapa ga bisa masuk dan selalu ada tulisan error atau belum ditemukan aktivasi, padahal udah ada email,.. tolong di perbaiki lagi")</f>
        <v>Kenapa ga bisa masuk dan selalu ada tulisan error atau belum ditemukan aktivasi, padahal udah ada email,.. tolong di perbaiki lagi</v>
      </c>
      <c r="E62" s="17" t="str">
        <f>IFERROR(__xludf.DUMMYFUNCTION("REGEXREPLACE(D62,$A$5, )"),"Kenapa ga bisa masuk dan selalu ada tulisan error atau belum ditemukan aktivasi, padahal udah ada email,.. tolong di perbaiki lagi")</f>
        <v>Kenapa ga bisa masuk dan selalu ada tulisan error atau belum ditemukan aktivasi, padahal udah ada email,.. tolong di perbaiki lagi</v>
      </c>
      <c r="F62" s="17" t="str">
        <f>IFERROR(__xludf.DUMMYFUNCTION("REGEXREPLACE(E62,$A$6, )"),"Kenapa ga bisa masuk dan selalu ada tulisan error atau belum ditemukan aktivasi padahal udah ada email tolong di perbaiki lagi")</f>
        <v>Kenapa ga bisa masuk dan selalu ada tulisan error atau belum ditemukan aktivasi padahal udah ada email tolong di perbaiki lagi</v>
      </c>
      <c r="G62" s="18" t="str">
        <f>IFERROR(__xludf.DUMMYFUNCTION("REGEXREPLACE(F62,$A$7, )"),"Kenapa ga bisa masuk dan selalu ada tulisan error atau belum ditemukan aktivasi padahal udah ada email tolong di perbaiki lagi")</f>
        <v>Kenapa ga bisa masuk dan selalu ada tulisan error atau belum ditemukan aktivasi padahal udah ada email tolong di perbaiki lagi</v>
      </c>
      <c r="H62" s="17" t="str">
        <f t="shared" si="1"/>
        <v>kenapa ga bisa masuk dan selalu ada tulisan error atau belum ditemukan aktivasi padahal udah ada email tolong di perbaiki lagi</v>
      </c>
    </row>
    <row r="63">
      <c r="A63" s="16" t="s">
        <v>57</v>
      </c>
      <c r="B63" s="17" t="str">
        <f>IFERROR(__xludf.DUMMYFUNCTION("REGEXREPLACE(A63,$A$2, )"),"Pelayanan kurang baik...saya lupa sandi dan mau ganti password tapi dinkasih link suruh buka link,tpi link nya di bukak cuma muter"" doang..tolong dong di perbaiki lagi .biar penggunaan nya lebih puas....masak mau buka link aja gak bisa")</f>
        <v>Pelayanan kurang baik...saya lupa sandi dan mau ganti password tapi dinkasih link suruh buka link,tpi link nya di bukak cuma muter" doang..tolong dong di perbaiki lagi .biar penggunaan nya lebih puas....masak mau buka link aja gak bisa</v>
      </c>
      <c r="C63" s="17" t="str">
        <f>IFERROR(__xludf.DUMMYFUNCTION("REGEXREPLACE(B63,$A$3, )"),"Pelayanan kurang baik...saya lupa sandi dan mau ganti password tapi dinkasih link suruh buka link,tpi link nya di bukak cuma muter"" doang..tolong dong di perbaiki lagi .biar penggunaan nya lebih puas....masak mau buka link aja gak bisa")</f>
        <v>Pelayanan kurang baik...saya lupa sandi dan mau ganti password tapi dinkasih link suruh buka link,tpi link nya di bukak cuma muter" doang..tolong dong di perbaiki lagi .biar penggunaan nya lebih puas....masak mau buka link aja gak bisa</v>
      </c>
      <c r="D63" s="17" t="str">
        <f>IFERROR(__xludf.DUMMYFUNCTION("REGEXREPLACE(C63,$A$4, )"),"Pelayanan kurang baik...saya lupa sandi dan mau ganti password tapi dinkasih link suruh buka link,tpi link nya di bukak cuma muter"" doang..tolong dong di perbaiki lagi .biar penggunaan nya lebih puas....masak mau buka link aja gak bisa")</f>
        <v>Pelayanan kurang baik...saya lupa sandi dan mau ganti password tapi dinkasih link suruh buka link,tpi link nya di bukak cuma muter" doang..tolong dong di perbaiki lagi .biar penggunaan nya lebih puas....masak mau buka link aja gak bisa</v>
      </c>
      <c r="E63" s="17" t="str">
        <f>IFERROR(__xludf.DUMMYFUNCTION("REGEXREPLACE(D63,$A$5, )"),"Pelayanan kurang baik...saya lupa sandi dan mau ganti password tapi dinkasih link suruh buka link,tpi link nya di bukak cuma muter"" doang..tolong dong di perbaiki lagi .biar penggunaan nya lebih puas....masak mau buka link aja gak bisa")</f>
        <v>Pelayanan kurang baik...saya lupa sandi dan mau ganti password tapi dinkasih link suruh buka link,tpi link nya di bukak cuma muter" doang..tolong dong di perbaiki lagi .biar penggunaan nya lebih puas....masak mau buka link aja gak bisa</v>
      </c>
      <c r="F63" s="17" t="str">
        <f>IFERROR(__xludf.DUMMYFUNCTION("REGEXREPLACE(E63,$A$6, )"),"Pelayanan kurang baiksaya lupa sandi dan mau ganti password tapi dinkasih link suruh buka linktpi link nya di bukak cuma muter doangtolong dong di perbaiki lagi biar penggunaan nya lebih puasmasak mau buka link aja gak bisa")</f>
        <v>Pelayanan kurang baiksaya lupa sandi dan mau ganti password tapi dinkasih link suruh buka linktpi link nya di bukak cuma muter doangtolong dong di perbaiki lagi biar penggunaan nya lebih puasmasak mau buka link aja gak bisa</v>
      </c>
      <c r="G63" s="18" t="str">
        <f>IFERROR(__xludf.DUMMYFUNCTION("REGEXREPLACE(F63,$A$7, )"),"Pelayanan kurang baiksaya lupa sandi dan mau ganti password tapi dinkasih link suruh buka linktpi link nya di bukak cuma muter doangtolong dong di perbaiki lagi biar penggunaan nya lebih puasmasak mau buka link aja gak bisa")</f>
        <v>Pelayanan kurang baiksaya lupa sandi dan mau ganti password tapi dinkasih link suruh buka linktpi link nya di bukak cuma muter doangtolong dong di perbaiki lagi biar penggunaan nya lebih puasmasak mau buka link aja gak bisa</v>
      </c>
      <c r="H63" s="17" t="str">
        <f t="shared" si="1"/>
        <v>pelayanan kurang baiksaya lupa sandi dan mau ganti password tapi dinkasih link suruh buka linktpi link nya di bukak cuma muter doangtolong dong di perbaiki lagi biar penggunaan nya lebih puasmasak mau buka link aja gak bisa</v>
      </c>
    </row>
    <row r="64">
      <c r="A64" s="16" t="s">
        <v>58</v>
      </c>
      <c r="B64" s="17" t="str">
        <f>IFERROR(__xludf.DUMMYFUNCTION("REGEXREPLACE(A64,$A$2, )"),"Ini aplikasi untuk apa, buat gaya-gayaan kalau nama seseorang terdaftar/terlihat dapat bantuan, tapi setelah dikonfirmasi ke kantor desa tidak ada (tidak dapat) Lebih baik hapus aplikasi ini, jangan bodohi masyarakat. Mohon pihak pembuat aplikasi ini memp"&amp;"ertanggung jawabkan hal ini.")</f>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c r="C64" s="17" t="str">
        <f>IFERROR(__xludf.DUMMYFUNCTION("REGEXREPLACE(B64,$A$3, )"),"Ini aplikasi untuk apa, buat gaya-gayaan kalau nama seseorang terdaftar/terlihat dapat bantuan, tapi setelah dikonfirmasi ke kantor desa tidak ada (tidak dapat) Lebih baik hapus aplikasi ini, jangan bodohi masyarakat. Mohon pihak pembuat aplikasi ini memp"&amp;"ertanggung jawabkan hal ini.")</f>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c r="D64" s="17" t="str">
        <f>IFERROR(__xludf.DUMMYFUNCTION("REGEXREPLACE(C64,$A$4, )"),"Ini aplikasi untuk apa, buat gaya-gayaan kalau nama seseorang terdaftar/terlihat dapat bantuan, tapi setelah dikonfirmasi ke kantor desa tidak ada (tidak dapat) Lebih baik hapus aplikasi ini, jangan bodohi masyarakat. Mohon pihak pembuat aplikasi ini memp"&amp;"ertanggung jawabkan hal ini.")</f>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c r="E64" s="17" t="str">
        <f>IFERROR(__xludf.DUMMYFUNCTION("REGEXREPLACE(D64,$A$5, )"),"Ini aplikasi untuk apa, buat gaya-gayaan kalau nama seseorang terdaftar/terlihat dapat bantuan, tapi setelah dikonfirmasi ke kantor desa tidak ada (tidak dapat) Lebih baik hapus aplikasi ini, jangan bodohi masyarakat. Mohon pihak pembuat aplikasi ini memp"&amp;"ertanggung jawabkan hal ini.")</f>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c r="F64" s="17" t="str">
        <f>IFERROR(__xludf.DUMMYFUNCTION("REGEXREPLACE(E64,$A$6, )"),"Ini aplikasi untuk apa buat gayagayaan kalau nama seseorang terdaftarterlihat dapat bantuan tapi setelah dikonfirmasi ke kantor desa tidak ada tidak dapat Lebih baik hapus aplikasi ini jangan bodohi masyarakat Mohon pihak pembuat aplikasi ini mempertanggu"&amp;"ng jawabkan hal ini")</f>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c r="G64" s="18" t="str">
        <f>IFERROR(__xludf.DUMMYFUNCTION("REGEXREPLACE(F64,$A$7, )"),"Ini aplikasi untuk apa buat gayagayaan kalau nama seseorang terdaftarterlihat dapat bantuan tapi setelah dikonfirmasi ke kantor desa tidak ada tidak dapat Lebih baik hapus aplikasi ini jangan bodohi masyarakat Mohon pihak pembuat aplikasi ini mempertanggu"&amp;"ng jawabkan hal ini")</f>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c r="H64" s="17" t="str">
        <f t="shared" si="1"/>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row>
    <row r="65">
      <c r="A65" s="16" t="s">
        <v>59</v>
      </c>
      <c r="B65" s="17" t="str">
        <f>IFERROR(__xludf.DUMMYFUNCTION("REGEXREPLACE(A65,$A$2, )"),"Pemerintah yang terhormat kami sebenarnya cuma perlu kemudahan dan keterbukaan dalam mengakses data apalagi yang sifatnya seperti ini. Kalo memang niatnya ngasih bantuan ya usahakan yang tepat sasaran jangan asal ACC yg dikomendasikan dari aparat bisa jad"&amp;"i itu hanyalah sanak family alangkah baik nya cek dulu kondisi sebenarnya. Kalau tidak lewat apk online spt ini dimana lagi kami rakyat kecil yang jauh dari pengayoman aparat mau mengadu. Apk yang kalian buat tidak berfungsi TOLONG DIBENAHI")</f>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c r="C65" s="17" t="str">
        <f>IFERROR(__xludf.DUMMYFUNCTION("REGEXREPLACE(B65,$A$3, )"),"Pemerintah yang terhormat kami sebenarnya cuma perlu kemudahan dan keterbukaan dalam mengakses data apalagi yang sifatnya seperti ini. Kalo memang niatnya ngasih bantuan ya usahakan yang tepat sasaran jangan asal ACC yg dikomendasikan dari aparat bisa jad"&amp;"i itu hanyalah sanak family alangkah baik nya cek dulu kondisi sebenarnya. Kalau tidak lewat apk online spt ini dimana lagi kami rakyat kecil yang jauh dari pengayoman aparat mau mengadu. Apk yang kalian buat tidak berfungsi TOLONG DIBENAHI")</f>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c r="D65" s="17" t="str">
        <f>IFERROR(__xludf.DUMMYFUNCTION("REGEXREPLACE(C65,$A$4, )"),"Pemerintah yang terhormat kami sebenarnya cuma perlu kemudahan dan keterbukaan dalam mengakses data apalagi yang sifatnya seperti ini. Kalo memang niatnya ngasih bantuan ya usahakan yang tepat sasaran jangan asal ACC yg dikomendasikan dari aparat bisa jad"&amp;"i itu hanyalah sanak family alangkah baik nya cek dulu kondisi sebenarnya. Kalau tidak lewat apk online spt ini dimana lagi kami rakyat kecil yang jauh dari pengayoman aparat mau mengadu. Apk yang kalian buat tidak berfungsi TOLONG DIBENAHI")</f>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c r="E65" s="17" t="str">
        <f>IFERROR(__xludf.DUMMYFUNCTION("REGEXREPLACE(D65,$A$5, )"),"Pemerintah yang terhormat kami sebenarnya cuma perlu kemudahan dan keterbukaan dalam mengakses data apalagi yang sifatnya seperti ini. Kalo memang niatnya ngasih bantuan ya usahakan yang tepat sasaran jangan asal ACC yg dikomendasikan dari aparat bisa jad"&amp;"i itu hanyalah sanak family alangkah baik nya cek dulu kondisi sebenarnya. Kalau tidak lewat apk online spt ini dimana lagi kami rakyat kecil yang jauh dari pengayoman aparat mau mengadu. Apk yang kalian buat tidak berfungsi TOLONG DIBENAHI")</f>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c r="F65" s="17" t="str">
        <f>IFERROR(__xludf.DUMMYFUNCTION("REGEXREPLACE(E65,$A$6, )"),"Pemerintah yang terhormat kami sebenarnya cuma perlu kemudahan dan keterbukaan dalam mengakses data apalagi yang sifatnya seperti ini Kalo memang niatnya ngasih bantuan ya usahakan yang tepat sasaran jangan asal ACC yg dikomendasikan dari aparat bisa jadi"&amp;" itu hanyalah sanak family alangkah baik nya cek dulu kondisi sebenarnya Kalau tidak lewat apk online spt ini dimana lagi kami rakyat kecil yang jauh dari pengayoman aparat mau mengadu Apk yang kalian buat tidak berfungsi TOLONG DIBENAHI")</f>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c r="G65" s="18" t="str">
        <f>IFERROR(__xludf.DUMMYFUNCTION("REGEXREPLACE(F65,$A$7, )"),"Pemerintah yang terhormat kami sebenarnya cuma perlu kemudahan dan keterbukaan dalam mengakses data apalagi yang sifatnya seperti ini Kalo memang niatnya ngasih bantuan ya usahakan yang tepat sasaran jangan asal ACC yg dikomendasikan dari aparat bisa jadi"&amp;" itu hanyalah sanak family alangkah baik nya cek dulu kondisi sebenarnya Kalau tidak lewat apk online spt ini dimana lagi kami rakyat kecil yang jauh dari pengayoman aparat mau mengadu Apk yang kalian buat tidak berfungsi TOLONG DIBENAHI")</f>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c r="H65" s="17" t="str">
        <f t="shared" si="1"/>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row>
    <row r="66">
      <c r="A66" s="16" t="s">
        <v>60</v>
      </c>
      <c r="B66" s="17" t="str">
        <f>IFERROR(__xludf.DUMMYFUNCTION("REGEXREPLACE(A66,$A$2, )"),"Nunggu berhari hari dulu baru bisa aktivasi,semoga aplikasi ini tidak menyalahgunakan data data yang di dalam. Semoga saja. Sukses selalu")</f>
        <v>Nunggu berhari hari dulu baru bisa aktivasi,semoga aplikasi ini tidak menyalahgunakan data data yang di dalam. Semoga saja. Sukses selalu</v>
      </c>
      <c r="C66" s="17" t="str">
        <f>IFERROR(__xludf.DUMMYFUNCTION("REGEXREPLACE(B66,$A$3, )"),"Nunggu berhari hari dulu baru bisa aktivasi,semoga aplikasi ini tidak menyalahgunakan data data yang di dalam. Semoga saja. Sukses selalu")</f>
        <v>Nunggu berhari hari dulu baru bisa aktivasi,semoga aplikasi ini tidak menyalahgunakan data data yang di dalam. Semoga saja. Sukses selalu</v>
      </c>
      <c r="D66" s="17" t="str">
        <f>IFERROR(__xludf.DUMMYFUNCTION("REGEXREPLACE(C66,$A$4, )"),"Nunggu berhari hari dulu baru bisa aktivasi,semoga aplikasi ini tidak menyalahgunakan data data yang di dalam. Semoga saja. Sukses selalu")</f>
        <v>Nunggu berhari hari dulu baru bisa aktivasi,semoga aplikasi ini tidak menyalahgunakan data data yang di dalam. Semoga saja. Sukses selalu</v>
      </c>
      <c r="E66" s="17" t="str">
        <f>IFERROR(__xludf.DUMMYFUNCTION("REGEXREPLACE(D66,$A$5, )"),"Nunggu berhari hari dulu baru bisa aktivasi,semoga aplikasi ini tidak menyalahgunakan data data yang di dalam. Semoga saja. Sukses selalu")</f>
        <v>Nunggu berhari hari dulu baru bisa aktivasi,semoga aplikasi ini tidak menyalahgunakan data data yang di dalam. Semoga saja. Sukses selalu</v>
      </c>
      <c r="F66" s="17" t="str">
        <f>IFERROR(__xludf.DUMMYFUNCTION("REGEXREPLACE(E66,$A$6, )"),"Nunggu berhari hari dulu baru bisa aktivasisemoga aplikasi ini tidak menyalahgunakan data data yang di dalam Semoga saja Sukses selalu")</f>
        <v>Nunggu berhari hari dulu baru bisa aktivasisemoga aplikasi ini tidak menyalahgunakan data data yang di dalam Semoga saja Sukses selalu</v>
      </c>
      <c r="G66" s="18" t="str">
        <f>IFERROR(__xludf.DUMMYFUNCTION("REGEXREPLACE(F66,$A$7, )"),"Nunggu berhari hari dulu baru bisa aktivasisemoga aplikasi ini tidak menyalahgunakan data data yang di dalam Semoga saja Sukses selalu")</f>
        <v>Nunggu berhari hari dulu baru bisa aktivasisemoga aplikasi ini tidak menyalahgunakan data data yang di dalam Semoga saja Sukses selalu</v>
      </c>
      <c r="H66" s="17" t="str">
        <f t="shared" si="1"/>
        <v>nunggu berhari hari dulu baru bisa aktivasisemoga aplikasi ini tidak menyalahgunakan data data yang di dalam semoga saja sukses selalu</v>
      </c>
    </row>
    <row r="67">
      <c r="A67" s="16" t="s">
        <v>61</v>
      </c>
      <c r="B67" s="17" t="str">
        <f>IFERROR(__xludf.DUMMYFUNCTION("REGEXREPLACE(A67,$A$2, )"),"Kok apps nya aneh ya data sudah terverifikasi dan sudah dapat email 2X tp di data nama saya gak ada ya apps bodong apa gimana ini")</f>
        <v>Kok apps nya aneh ya data sudah terverifikasi dan sudah dapat email 2X tp di data nama saya gak ada ya apps bodong apa gimana ini</v>
      </c>
      <c r="C67" s="17" t="str">
        <f>IFERROR(__xludf.DUMMYFUNCTION("REGEXREPLACE(B67,$A$3, )"),"Kok apps nya aneh ya data sudah terverifikasi dan sudah dapat email 2X tp di data nama saya gak ada ya apps bodong apa gimana ini")</f>
        <v>Kok apps nya aneh ya data sudah terverifikasi dan sudah dapat email 2X tp di data nama saya gak ada ya apps bodong apa gimana ini</v>
      </c>
      <c r="D67" s="17" t="str">
        <f>IFERROR(__xludf.DUMMYFUNCTION("REGEXREPLACE(C67,$A$4, )"),"Kok apps nya aneh ya data sudah terverifikasi dan sudah dapat email 2X tp di data nama saya gak ada ya apps bodong apa gimana ini")</f>
        <v>Kok apps nya aneh ya data sudah terverifikasi dan sudah dapat email 2X tp di data nama saya gak ada ya apps bodong apa gimana ini</v>
      </c>
      <c r="E67" s="17" t="str">
        <f>IFERROR(__xludf.DUMMYFUNCTION("REGEXREPLACE(D67,$A$5, )"),"Kok apps nya aneh ya data sudah terverifikasi dan sudah dapat email X tp di data nama saya gak ada ya apps bodong apa gimana ini")</f>
        <v>Kok apps nya aneh ya data sudah terverifikasi dan sudah dapat email X tp di data nama saya gak ada ya apps bodong apa gimana ini</v>
      </c>
      <c r="F67" s="17" t="str">
        <f>IFERROR(__xludf.DUMMYFUNCTION("REGEXREPLACE(E67,$A$6, )"),"Kok apps nya aneh ya data sudah terverifikasi dan sudah dapat email X tp di data nama saya gak ada ya apps bodong apa gimana ini")</f>
        <v>Kok apps nya aneh ya data sudah terverifikasi dan sudah dapat email X tp di data nama saya gak ada ya apps bodong apa gimana ini</v>
      </c>
      <c r="G67" s="18" t="str">
        <f>IFERROR(__xludf.DUMMYFUNCTION("REGEXREPLACE(F67,$A$7, )"),"Kok apps nya aneh ya data sudah terverifikasi dan sudah dapat email X tp di data nama saya gak ada ya apps bodong apa gimana ini")</f>
        <v>Kok apps nya aneh ya data sudah terverifikasi dan sudah dapat email X tp di data nama saya gak ada ya apps bodong apa gimana ini</v>
      </c>
      <c r="H67" s="17" t="str">
        <f t="shared" si="1"/>
        <v>kok apps nya aneh ya data sudah terverifikasi dan sudah dapat email x tp di data nama saya gak ada ya apps bodong apa gimana ini</v>
      </c>
    </row>
    <row r="68">
      <c r="A68" s="16" t="s">
        <v>62</v>
      </c>
      <c r="B68" s="17" t="str">
        <f>IFERROR(__xludf.DUMMYFUNCTION("REGEXREPLACE(A68,$A$2, )"),"awal nya gk bisa d buka beberapa bulan lalu sy uninstal tapi kmaren sy k inget lagi sy coba lgi dan alhmdulilha bisa masuk dan ngajuin diri bwt penerima bansos bismilah berhasil mudah2n d setujui")</f>
        <v>awal nya gk bisa d buka beberapa bulan lalu sy uninstal tapi kmaren sy k inget lagi sy coba lgi dan alhmdulilha bisa masuk dan ngajuin diri bwt penerima bansos bismilah berhasil mudah2n d setujui</v>
      </c>
      <c r="C68" s="17" t="str">
        <f>IFERROR(__xludf.DUMMYFUNCTION("REGEXREPLACE(B68,$A$3, )"),"awal nya gk bisa d buka beberapa bulan lalu sy uninstal tapi kmaren sy k inget lagi sy coba lgi dan alhmdulilha bisa masuk dan ngajuin diri bwt penerima bansos bismilah berhasil mudah2n d setujui")</f>
        <v>awal nya gk bisa d buka beberapa bulan lalu sy uninstal tapi kmaren sy k inget lagi sy coba lgi dan alhmdulilha bisa masuk dan ngajuin diri bwt penerima bansos bismilah berhasil mudah2n d setujui</v>
      </c>
      <c r="D68" s="17" t="str">
        <f>IFERROR(__xludf.DUMMYFUNCTION("REGEXREPLACE(C68,$A$4, )"),"awal nya gk bisa d buka beberapa bulan lalu sy uninstal tapi kmaren sy k inget lagi sy coba lgi dan alhmdulilha bisa masuk dan ngajuin diri bwt penerima bansos bismilah berhasil mudah2n d setujui")</f>
        <v>awal nya gk bisa d buka beberapa bulan lalu sy uninstal tapi kmaren sy k inget lagi sy coba lgi dan alhmdulilha bisa masuk dan ngajuin diri bwt penerima bansos bismilah berhasil mudah2n d setujui</v>
      </c>
      <c r="E68" s="17" t="str">
        <f>IFERROR(__xludf.DUMMYFUNCTION("REGEXREPLACE(D68,$A$5, )"),"awal nya gk bisa d buka beberapa bulan lalu sy uninstal tapi kmaren sy k inget lagi sy coba lgi dan alhmdulilha bisa masuk dan ngajuin diri bwt penerima bansos bismilah berhasil mudahn d setujui")</f>
        <v>awal nya gk bisa d buka beberapa bulan lalu sy uninstal tapi kmaren sy k inget lagi sy coba lgi dan alhmdulilha bisa masuk dan ngajuin diri bwt penerima bansos bismilah berhasil mudahn d setujui</v>
      </c>
      <c r="F68" s="17" t="str">
        <f>IFERROR(__xludf.DUMMYFUNCTION("REGEXREPLACE(E68,$A$6, )"),"awal nya gk bisa d buka beberapa bulan lalu sy uninstal tapi kmaren sy k inget lagi sy coba lgi dan alhmdulilha bisa masuk dan ngajuin diri bwt penerima bansos bismilah berhasil mudahn d setujui")</f>
        <v>awal nya gk bisa d buka beberapa bulan lalu sy uninstal tapi kmaren sy k inget lagi sy coba lgi dan alhmdulilha bisa masuk dan ngajuin diri bwt penerima bansos bismilah berhasil mudahn d setujui</v>
      </c>
      <c r="G68" s="18" t="str">
        <f>IFERROR(__xludf.DUMMYFUNCTION("REGEXREPLACE(F68,$A$7, )"),"awal nya gk bisa d buka beberapa bulan lalu sy uninstal tapi kmaren sy k inget lagi sy coba lgi dan alhmdulilha bisa masuk dan ngajuin diri bwt penerima bansos bismilah berhasil mudahn d setujui")</f>
        <v>awal nya gk bisa d buka beberapa bulan lalu sy uninstal tapi kmaren sy k inget lagi sy coba lgi dan alhmdulilha bisa masuk dan ngajuin diri bwt penerima bansos bismilah berhasil mudahn d setujui</v>
      </c>
      <c r="H68" s="17" t="str">
        <f t="shared" si="1"/>
        <v>awal nya gk bisa d buka beberapa bulan lalu sy uninstal tapi kmaren sy k inget lagi sy coba lgi dan alhmdulilha bisa masuk dan ngajuin diri bwt penerima bansos bismilah berhasil mudahn d setujui</v>
      </c>
    </row>
    <row r="69">
      <c r="A69" s="16" t="s">
        <v>63</v>
      </c>
      <c r="B69" s="17" t="str">
        <f>IFERROR(__xludf.DUMMYFUNCTION("REGEXREPLACE(A69,$A$2, )"),"Saya daftar ulang malah blm ada dpat email jadi bingung akun sudah terdaftar silahkan login klik lupa password sampai nomor juga sudah blm juga bisa login dapat email nya aja blm gimn bisa sudah terdaftar")</f>
        <v>Saya daftar ulang malah blm ada dpat email jadi bingung akun sudah terdaftar silahkan login klik lupa password sampai nomor juga sudah blm juga bisa login dapat email nya aja blm gimn bisa sudah terdaftar</v>
      </c>
      <c r="C69" s="17" t="str">
        <f>IFERROR(__xludf.DUMMYFUNCTION("REGEXREPLACE(B69,$A$3, )"),"Saya daftar ulang malah blm ada dpat email jadi bingung akun sudah terdaftar silahkan login klik lupa password sampai nomor juga sudah blm juga bisa login dapat email nya aja blm gimn bisa sudah terdaftar")</f>
        <v>Saya daftar ulang malah blm ada dpat email jadi bingung akun sudah terdaftar silahkan login klik lupa password sampai nomor juga sudah blm juga bisa login dapat email nya aja blm gimn bisa sudah terdaftar</v>
      </c>
      <c r="D69" s="17" t="str">
        <f>IFERROR(__xludf.DUMMYFUNCTION("REGEXREPLACE(C69,$A$4, )"),"Saya daftar ulang malah blm ada dpat email jadi bingung akun sudah terdaftar silahkan login klik lupa password sampai nomor juga sudah blm juga bisa login dapat email nya aja blm gimn bisa sudah terdaftar")</f>
        <v>Saya daftar ulang malah blm ada dpat email jadi bingung akun sudah terdaftar silahkan login klik lupa password sampai nomor juga sudah blm juga bisa login dapat email nya aja blm gimn bisa sudah terdaftar</v>
      </c>
      <c r="E69" s="17" t="str">
        <f>IFERROR(__xludf.DUMMYFUNCTION("REGEXREPLACE(D69,$A$5, )"),"Saya daftar ulang malah blm ada dpat email jadi bingung akun sudah terdaftar silahkan login klik lupa password sampai nomor juga sudah blm juga bisa login dapat email nya aja blm gimn bisa sudah terdaftar")</f>
        <v>Saya daftar ulang malah blm ada dpat email jadi bingung akun sudah terdaftar silahkan login klik lupa password sampai nomor juga sudah blm juga bisa login dapat email nya aja blm gimn bisa sudah terdaftar</v>
      </c>
      <c r="F69" s="17" t="str">
        <f>IFERROR(__xludf.DUMMYFUNCTION("REGEXREPLACE(E69,$A$6, )"),"Saya daftar ulang malah blm ada dpat email jadi bingung akun sudah terdaftar silahkan login klik lupa password sampai nomor juga sudah blm juga bisa login dapat email nya aja blm gimn bisa sudah terdaftar")</f>
        <v>Saya daftar ulang malah blm ada dpat email jadi bingung akun sudah terdaftar silahkan login klik lupa password sampai nomor juga sudah blm juga bisa login dapat email nya aja blm gimn bisa sudah terdaftar</v>
      </c>
      <c r="G69" s="18" t="str">
        <f>IFERROR(__xludf.DUMMYFUNCTION("REGEXREPLACE(F69,$A$7, )"),"Saya daftar ulang malah blm ada dpat email jadi bingung akun sudah terdaftar silahkan login klik lupa password sampai nomor juga sudah blm juga bisa login dapat email nya aja blm gimn bisa sudah terdaftar")</f>
        <v>Saya daftar ulang malah blm ada dpat email jadi bingung akun sudah terdaftar silahkan login klik lupa password sampai nomor juga sudah blm juga bisa login dapat email nya aja blm gimn bisa sudah terdaftar</v>
      </c>
      <c r="H69" s="17" t="str">
        <f t="shared" si="1"/>
        <v>saya daftar ulang malah blm ada dpat email jadi bingung akun sudah terdaftar silahkan login klik lupa password sampai nomor juga sudah blm juga bisa login dapat email nya aja blm gimn bisa sudah terdaftar</v>
      </c>
    </row>
    <row r="70">
      <c r="A70" s="16" t="s">
        <v>64</v>
      </c>
      <c r="B70" s="17" t="str">
        <f>IFERROR(__xludf.DUMMYFUNCTION("REGEXREPLACE(A70,$A$2, )"),"Kenapa aplikasi ini , kenapa kalau untuk daftarkan orang yang benar benar layak menerima bansos ko susah, kalau emang ngga percaya yang saya daftarkan itu, bisa ko datangi rumah kami.")</f>
        <v>Kenapa aplikasi ini , kenapa kalau untuk daftarkan orang yang benar benar layak menerima bansos ko susah, kalau emang ngga percaya yang saya daftarkan itu, bisa ko datangi rumah kami.</v>
      </c>
      <c r="C70" s="17" t="str">
        <f>IFERROR(__xludf.DUMMYFUNCTION("REGEXREPLACE(B70,$A$3, )"),"Kenapa aplikasi ini , kenapa kalau untuk daftarkan orang yang benar benar layak menerima bansos ko susah, kalau emang ngga percaya yang saya daftarkan itu, bisa ko datangi rumah kami.")</f>
        <v>Kenapa aplikasi ini , kenapa kalau untuk daftarkan orang yang benar benar layak menerima bansos ko susah, kalau emang ngga percaya yang saya daftarkan itu, bisa ko datangi rumah kami.</v>
      </c>
      <c r="D70" s="17" t="str">
        <f>IFERROR(__xludf.DUMMYFUNCTION("REGEXREPLACE(C70,$A$4, )"),"Kenapa aplikasi ini , kenapa kalau untuk daftarkan orang yang benar benar layak menerima bansos ko susah, kalau emang ngga percaya yang saya daftarkan itu, bisa ko datangi rumah kami.")</f>
        <v>Kenapa aplikasi ini , kenapa kalau untuk daftarkan orang yang benar benar layak menerima bansos ko susah, kalau emang ngga percaya yang saya daftarkan itu, bisa ko datangi rumah kami.</v>
      </c>
      <c r="E70" s="17" t="str">
        <f>IFERROR(__xludf.DUMMYFUNCTION("REGEXREPLACE(D70,$A$5, )"),"Kenapa aplikasi ini , kenapa kalau untuk daftarkan orang yang benar benar layak menerima bansos ko susah, kalau emang ngga percaya yang saya daftarkan itu, bisa ko datangi rumah kami.")</f>
        <v>Kenapa aplikasi ini , kenapa kalau untuk daftarkan orang yang benar benar layak menerima bansos ko susah, kalau emang ngga percaya yang saya daftarkan itu, bisa ko datangi rumah kami.</v>
      </c>
      <c r="F70" s="17" t="str">
        <f>IFERROR(__xludf.DUMMYFUNCTION("REGEXREPLACE(E70,$A$6, )"),"Kenapa aplikasi ini  kenapa kalau untuk daftarkan orang yang benar benar layak menerima bansos ko susah kalau emang ngga percaya yang saya daftarkan itu bisa ko datangi rumah kami")</f>
        <v>Kenapa aplikasi ini  kenapa kalau untuk daftarkan orang yang benar benar layak menerima bansos ko susah kalau emang ngga percaya yang saya daftarkan itu bisa ko datangi rumah kami</v>
      </c>
      <c r="G70" s="18" t="str">
        <f>IFERROR(__xludf.DUMMYFUNCTION("REGEXREPLACE(F70,$A$7, )"),"Kenapa aplikasi ini  kenapa kalau untuk daftarkan orang yang benar benar layak menerima bansos ko susah kalau emang ngga percaya yang saya daftarkan itu bisa ko datangi rumah kami")</f>
        <v>Kenapa aplikasi ini  kenapa kalau untuk daftarkan orang yang benar benar layak menerima bansos ko susah kalau emang ngga percaya yang saya daftarkan itu bisa ko datangi rumah kami</v>
      </c>
      <c r="H70" s="17" t="str">
        <f t="shared" si="1"/>
        <v>kenapa aplikasi ini  kenapa kalau untuk daftarkan orang yang benar benar layak menerima bansos ko susah kalau emang ngga percaya yang saya daftarkan itu bisa ko datangi rumah kami</v>
      </c>
    </row>
    <row r="71">
      <c r="A71" s="16" t="s">
        <v>65</v>
      </c>
      <c r="B71" s="17" t="str">
        <f>IFERROR(__xludf.DUMMYFUNCTION("REGEXREPLACE(A71,$A$2, )"),"Aplikasinya si bagus, tpi pas saya lupa pasword dan saat saya reset begitu saya dikirim link lanjutan ganti pasword dan saat saya akses linknya kenapa tidak bisa, harus bagaimana cara perbaiki sandi saya, dan saya sangat kecewa saat saya mau usulkan istri"&amp;" saya tapi tidak bisa itu kenapa, harus hubungi admin tapi dimana adminnya")</f>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c r="C71" s="17" t="str">
        <f>IFERROR(__xludf.DUMMYFUNCTION("REGEXREPLACE(B71,$A$3, )"),"Aplikasinya si bagus, tpi pas saya lupa pasword dan saat saya reset begitu saya dikirim link lanjutan ganti pasword dan saat saya akses linknya kenapa tidak bisa, harus bagaimana cara perbaiki sandi saya, dan saya sangat kecewa saat saya mau usulkan istri"&amp;" saya tapi tidak bisa itu kenapa, harus hubungi admin tapi dimana adminnya")</f>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c r="D71" s="17" t="str">
        <f>IFERROR(__xludf.DUMMYFUNCTION("REGEXREPLACE(C71,$A$4, )"),"Aplikasinya si bagus, tpi pas saya lupa pasword dan saat saya reset begitu saya dikirim link lanjutan ganti pasword dan saat saya akses linknya kenapa tidak bisa, harus bagaimana cara perbaiki sandi saya, dan saya sangat kecewa saat saya mau usulkan istri"&amp;" saya tapi tidak bisa itu kenapa, harus hubungi admin tapi dimana adminnya")</f>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c r="E71" s="17" t="str">
        <f>IFERROR(__xludf.DUMMYFUNCTION("REGEXREPLACE(D71,$A$5, )"),"Aplikasinya si bagus, tpi pas saya lupa pasword dan saat saya reset begitu saya dikirim link lanjutan ganti pasword dan saat saya akses linknya kenapa tidak bisa, harus bagaimana cara perbaiki sandi saya, dan saya sangat kecewa saat saya mau usulkan istri"&amp;" saya tapi tidak bisa itu kenapa, harus hubungi admin tapi dimana adminnya")</f>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c r="F71" s="17" t="str">
        <f>IFERROR(__xludf.DUMMYFUNCTION("REGEXREPLACE(E71,$A$6, )"),"Aplikasinya si bagus tpi pas saya lupa pasword dan saat saya reset begitu saya dikirim link lanjutan ganti pasword dan saat saya akses linknya kenapa tidak bisa harus bagaimana cara perbaiki sandi saya dan saya sangat kecewa saat saya mau usulkan istri sa"&amp;"ya tapi tidak bisa itu kenapa harus hubungi admin tapi dimana adminnya")</f>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c r="G71" s="18" t="str">
        <f>IFERROR(__xludf.DUMMYFUNCTION("REGEXREPLACE(F71,$A$7, )"),"Aplikasinya si bagus tpi pas saya lupa pasword dan saat saya reset begitu saya dikirim link lanjutan ganti pasword dan saat saya akses linknya kenapa tidak bisa harus bagaimana cara perbaiki sandi saya dan saya sangat kecewa saat saya mau usulkan istri sa"&amp;"ya tapi tidak bisa itu kenapa harus hubungi admin tapi dimana adminnya")</f>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c r="H71" s="17" t="str">
        <f t="shared" si="1"/>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row>
    <row r="72">
      <c r="A72" s="16" t="s">
        <v>66</v>
      </c>
      <c r="B72" s="17" t="str">
        <f>IFERROR(__xludf.DUMMYFUNCTION("REGEXREPLACE(A72,$A$2, )"),"Ok untuk saat ini aplikasi sudah bagus kembali. Kita bisa mengajukan usulan, semoga ke depan nya tetap bagus dan semakin membaik👍👍👍👍")</f>
        <v>Ok untuk saat ini aplikasi sudah bagus kembali. Kita bisa mengajukan usulan, semoga ke depan nya tetap bagus dan semakin membaik👍👍👍👍</v>
      </c>
      <c r="C72" s="17" t="str">
        <f>IFERROR(__xludf.DUMMYFUNCTION("REGEXREPLACE(B72,$A$3, )"),"Ok untuk saat ini aplikasi sudah bagus kembali. Kita bisa mengajukan usulan, semoga ke depan nya tetap bagus dan semakin membaik👍👍👍👍")</f>
        <v>Ok untuk saat ini aplikasi sudah bagus kembali. Kita bisa mengajukan usulan, semoga ke depan nya tetap bagus dan semakin membaik👍👍👍👍</v>
      </c>
      <c r="D72" s="17" t="str">
        <f>IFERROR(__xludf.DUMMYFUNCTION("REGEXREPLACE(C72,$A$4, )"),"Ok untuk saat ini aplikasi sudah bagus kembali. Kita bisa mengajukan usulan, semoga ke depan nya tetap bagus dan semakin membaik👍👍👍👍")</f>
        <v>Ok untuk saat ini aplikasi sudah bagus kembali. Kita bisa mengajukan usulan, semoga ke depan nya tetap bagus dan semakin membaik👍👍👍👍</v>
      </c>
      <c r="E72" s="17" t="str">
        <f>IFERROR(__xludf.DUMMYFUNCTION("REGEXREPLACE(D72,$A$5, )"),"Ok untuk saat ini aplikasi sudah bagus kembali. Kita bisa mengajukan usulan, semoga ke depan nya tetap bagus dan semakin membaik👍👍👍👍")</f>
        <v>Ok untuk saat ini aplikasi sudah bagus kembali. Kita bisa mengajukan usulan, semoga ke depan nya tetap bagus dan semakin membaik👍👍👍👍</v>
      </c>
      <c r="F72" s="17" t="str">
        <f>IFERROR(__xludf.DUMMYFUNCTION("REGEXREPLACE(E72,$A$6, )"),"Ok untuk saat ini aplikasi sudah bagus kembali Kita bisa mengajukan usulan semoga ke depan nya tetap bagus dan semakin membaik👍👍👍👍")</f>
        <v>Ok untuk saat ini aplikasi sudah bagus kembali Kita bisa mengajukan usulan semoga ke depan nya tetap bagus dan semakin membaik👍👍👍👍</v>
      </c>
      <c r="G72" s="18" t="str">
        <f>IFERROR(__xludf.DUMMYFUNCTION("REGEXREPLACE(F72,$A$7, )"),"Ok untuk saat ini aplikasi sudah bagus kembali Kita bisa mengajukan usulan semoga ke depan nya tetap bagus dan semakin membaik")</f>
        <v>Ok untuk saat ini aplikasi sudah bagus kembali Kita bisa mengajukan usulan semoga ke depan nya tetap bagus dan semakin membaik</v>
      </c>
      <c r="H72" s="17" t="str">
        <f t="shared" si="1"/>
        <v>ok untuk saat ini aplikasi sudah bagus kembali kita bisa mengajukan usulan semoga ke depan nya tetap bagus dan semakin membaik</v>
      </c>
    </row>
    <row r="73">
      <c r="A73" s="16" t="s">
        <v>67</v>
      </c>
      <c r="B73" s="17" t="str">
        <f>IFERROR(__xludf.DUMMYFUNCTION("REGEXREPLACE(A73,$A$2, )"),"Alhamdulillah sudah berhari2 semua bisa...cek daptar dan usulan mandirinya sudah berhasil di terima..tinggal nunggu cek di dinsos saja.. intinya sabar aja dan terus berjuang...terima kasih wassalam.")</f>
        <v>Alhamdulillah sudah berhari2 semua bisa...cek daptar dan usulan mandirinya sudah berhasil di terima..tinggal nunggu cek di dinsos saja.. intinya sabar aja dan terus berjuang...terima kasih wassalam.</v>
      </c>
      <c r="C73" s="17" t="str">
        <f>IFERROR(__xludf.DUMMYFUNCTION("REGEXREPLACE(B73,$A$3, )"),"Alhamdulillah sudah berhari2 semua bisa...cek daptar dan usulan mandirinya sudah berhasil di terima..tinggal nunggu cek di dinsos saja.. intinya sabar aja dan terus berjuang...terima kasih wassalam.")</f>
        <v>Alhamdulillah sudah berhari2 semua bisa...cek daptar dan usulan mandirinya sudah berhasil di terima..tinggal nunggu cek di dinsos saja.. intinya sabar aja dan terus berjuang...terima kasih wassalam.</v>
      </c>
      <c r="D73" s="17" t="str">
        <f>IFERROR(__xludf.DUMMYFUNCTION("REGEXREPLACE(C73,$A$4, )"),"Alhamdulillah sudah berhari2 semua bisa...cek daptar dan usulan mandirinya sudah berhasil di terima..tinggal nunggu cek di dinsos saja.. intinya sabar aja dan terus berjuang...terima kasih wassalam.")</f>
        <v>Alhamdulillah sudah berhari2 semua bisa...cek daptar dan usulan mandirinya sudah berhasil di terima..tinggal nunggu cek di dinsos saja.. intinya sabar aja dan terus berjuang...terima kasih wassalam.</v>
      </c>
      <c r="E73" s="17" t="str">
        <f>IFERROR(__xludf.DUMMYFUNCTION("REGEXREPLACE(D73,$A$5, )"),"Alhamdulillah sudah berhari semua bisa...cek daptar dan usulan mandirinya sudah berhasil di terima..tinggal nunggu cek di dinsos saja.. intinya sabar aja dan terus berjuang...terima kasih wassalam.")</f>
        <v>Alhamdulillah sudah berhari semua bisa...cek daptar dan usulan mandirinya sudah berhasil di terima..tinggal nunggu cek di dinsos saja.. intinya sabar aja dan terus berjuang...terima kasih wassalam.</v>
      </c>
      <c r="F73" s="17" t="str">
        <f>IFERROR(__xludf.DUMMYFUNCTION("REGEXREPLACE(E73,$A$6, )"),"Alhamdulillah sudah berhari semua bisacek daptar dan usulan mandirinya sudah berhasil di terimatinggal nunggu cek di dinsos saja intinya sabar aja dan terus berjuangterima kasih wassalam")</f>
        <v>Alhamdulillah sudah berhari semua bisacek daptar dan usulan mandirinya sudah berhasil di terimatinggal nunggu cek di dinsos saja intinya sabar aja dan terus berjuangterima kasih wassalam</v>
      </c>
      <c r="G73" s="18" t="str">
        <f>IFERROR(__xludf.DUMMYFUNCTION("REGEXREPLACE(F73,$A$7, )"),"Alhamdulillah sudah berhari semua bisacek daptar dan usulan mandirinya sudah berhasil di terimatinggal nunggu cek di dinsos saja intinya sabar aja dan terus berjuangterima kasih wassalam")</f>
        <v>Alhamdulillah sudah berhari semua bisacek daptar dan usulan mandirinya sudah berhasil di terimatinggal nunggu cek di dinsos saja intinya sabar aja dan terus berjuangterima kasih wassalam</v>
      </c>
      <c r="H73" s="17" t="str">
        <f t="shared" si="1"/>
        <v>alhamdulillah sudah berhari semua bisacek daptar dan usulan mandirinya sudah berhasil di terimatinggal nunggu cek di dinsos saja intinya sabar aja dan terus berjuangterima kasih wassalam</v>
      </c>
    </row>
    <row r="74">
      <c r="A74" s="16" t="s">
        <v>68</v>
      </c>
      <c r="B74" s="17" t="str">
        <f>IFERROR(__xludf.DUMMYFUNCTION("REGEXREPLACE(A74,$A$2, )"),"Biasanya bisa aja masuk Skrg sering error Udah update aplikasi yg terbaru malahan.")</f>
        <v>Biasanya bisa aja masuk Skrg sering error Udah update aplikasi yg terbaru malahan.</v>
      </c>
      <c r="C74" s="17" t="str">
        <f>IFERROR(__xludf.DUMMYFUNCTION("REGEXREPLACE(B74,$A$3, )"),"Biasanya bisa aja masuk Skrg sering error Udah update aplikasi yg terbaru malahan.")</f>
        <v>Biasanya bisa aja masuk Skrg sering error Udah update aplikasi yg terbaru malahan.</v>
      </c>
      <c r="D74" s="17" t="str">
        <f>IFERROR(__xludf.DUMMYFUNCTION("REGEXREPLACE(C74,$A$4, )"),"Biasanya bisa aja masuk Skrg sering error Udah update aplikasi yg terbaru malahan.")</f>
        <v>Biasanya bisa aja masuk Skrg sering error Udah update aplikasi yg terbaru malahan.</v>
      </c>
      <c r="E74" s="17" t="str">
        <f>IFERROR(__xludf.DUMMYFUNCTION("REGEXREPLACE(D74,$A$5, )"),"Biasanya bisa aja masuk Skrg sering error Udah update aplikasi yg terbaru malahan.")</f>
        <v>Biasanya bisa aja masuk Skrg sering error Udah update aplikasi yg terbaru malahan.</v>
      </c>
      <c r="F74" s="17" t="str">
        <f>IFERROR(__xludf.DUMMYFUNCTION("REGEXREPLACE(E74,$A$6, )"),"Biasanya bisa aja masuk Skrg sering error Udah update aplikasi yg terbaru malahan")</f>
        <v>Biasanya bisa aja masuk Skrg sering error Udah update aplikasi yg terbaru malahan</v>
      </c>
      <c r="G74" s="18" t="str">
        <f>IFERROR(__xludf.DUMMYFUNCTION("REGEXREPLACE(F74,$A$7, )"),"Biasanya bisa aja masuk Skrg sering error Udah update aplikasi yg terbaru malahan")</f>
        <v>Biasanya bisa aja masuk Skrg sering error Udah update aplikasi yg terbaru malahan</v>
      </c>
      <c r="H74" s="17" t="str">
        <f t="shared" si="1"/>
        <v>biasanya bisa aja masuk skrg sering error udah update aplikasi yg terbaru malahan</v>
      </c>
    </row>
    <row r="75">
      <c r="A75" s="16" t="s">
        <v>69</v>
      </c>
      <c r="B75" s="17" t="str">
        <f>IFERROR(__xludf.DUMMYFUNCTION("REGEXREPLACE(A75,$A$2, )"),"Sekarang sudah bisa daftar. Harus di perbaharui apk nya. Kalau gagal coba lagi coba lagii. Saya baru beres daftar")</f>
        <v>Sekarang sudah bisa daftar. Harus di perbaharui apk nya. Kalau gagal coba lagi coba lagii. Saya baru beres daftar</v>
      </c>
      <c r="C75" s="17" t="str">
        <f>IFERROR(__xludf.DUMMYFUNCTION("REGEXREPLACE(B75,$A$3, )"),"Sekarang sudah bisa daftar. Harus di perbaharui apk nya. Kalau gagal coba lagi coba lagii. Saya baru beres daftar")</f>
        <v>Sekarang sudah bisa daftar. Harus di perbaharui apk nya. Kalau gagal coba lagi coba lagii. Saya baru beres daftar</v>
      </c>
      <c r="D75" s="17" t="str">
        <f>IFERROR(__xludf.DUMMYFUNCTION("REGEXREPLACE(C75,$A$4, )"),"Sekarang sudah bisa daftar. Harus di perbaharui apk nya. Kalau gagal coba lagi coba lagii. Saya baru beres daftar")</f>
        <v>Sekarang sudah bisa daftar. Harus di perbaharui apk nya. Kalau gagal coba lagi coba lagii. Saya baru beres daftar</v>
      </c>
      <c r="E75" s="17" t="str">
        <f>IFERROR(__xludf.DUMMYFUNCTION("REGEXREPLACE(D75,$A$5, )"),"Sekarang sudah bisa daftar. Harus di perbaharui apk nya. Kalau gagal coba lagi coba lagii. Saya baru beres daftar")</f>
        <v>Sekarang sudah bisa daftar. Harus di perbaharui apk nya. Kalau gagal coba lagi coba lagii. Saya baru beres daftar</v>
      </c>
      <c r="F75" s="17" t="str">
        <f>IFERROR(__xludf.DUMMYFUNCTION("REGEXREPLACE(E75,$A$6, )"),"Sekarang sudah bisa daftar Harus di perbaharui apk nya Kalau gagal coba lagi coba lagii Saya baru beres daftar")</f>
        <v>Sekarang sudah bisa daftar Harus di perbaharui apk nya Kalau gagal coba lagi coba lagii Saya baru beres daftar</v>
      </c>
      <c r="G75" s="18" t="str">
        <f>IFERROR(__xludf.DUMMYFUNCTION("REGEXREPLACE(F75,$A$7, )"),"Sekarang sudah bisa daftar Harus di perbaharui apk nya Kalau gagal coba lagi coba lagii Saya baru beres daftar")</f>
        <v>Sekarang sudah bisa daftar Harus di perbaharui apk nya Kalau gagal coba lagi coba lagii Saya baru beres daftar</v>
      </c>
      <c r="H75" s="17" t="str">
        <f t="shared" si="1"/>
        <v>sekarang sudah bisa daftar harus di perbaharui apk nya kalau gagal coba lagi coba lagii saya baru beres daftar</v>
      </c>
    </row>
    <row r="76">
      <c r="A76" s="16" t="s">
        <v>70</v>
      </c>
      <c r="B76" s="17" t="str">
        <f>IFERROR(__xludf.DUMMYFUNCTION("REGEXREPLACE(A76,$A$2, )"),"Ulasan baru : aplikasi sudah normal, hanya untuk data masih pakai data lama. Tolong di update pakai data 2022")</f>
        <v>Ulasan baru : aplikasi sudah normal, hanya untuk data masih pakai data lama. Tolong di update pakai data 2022</v>
      </c>
      <c r="C76" s="17" t="str">
        <f>IFERROR(__xludf.DUMMYFUNCTION("REGEXREPLACE(B76,$A$3, )"),"Ulasan baru : aplikasi sudah normal, hanya untuk data masih pakai data lama. Tolong di update pakai data 2022")</f>
        <v>Ulasan baru : aplikasi sudah normal, hanya untuk data masih pakai data lama. Tolong di update pakai data 2022</v>
      </c>
      <c r="D76" s="17" t="str">
        <f>IFERROR(__xludf.DUMMYFUNCTION("REGEXREPLACE(C76,$A$4, )"),"Ulasan baru : aplikasi sudah normal, hanya untuk data masih pakai data lama. Tolong di update pakai data 2022")</f>
        <v>Ulasan baru : aplikasi sudah normal, hanya untuk data masih pakai data lama. Tolong di update pakai data 2022</v>
      </c>
      <c r="E76" s="17" t="str">
        <f>IFERROR(__xludf.DUMMYFUNCTION("REGEXREPLACE(D76,$A$5, )"),"Ulasan baru : aplikasi sudah normal, hanya untuk data masih pakai data lama. Tolong di update pakai data ")</f>
        <v>Ulasan baru : aplikasi sudah normal, hanya untuk data masih pakai data lama. Tolong di update pakai data </v>
      </c>
      <c r="F76" s="17" t="str">
        <f>IFERROR(__xludf.DUMMYFUNCTION("REGEXREPLACE(E76,$A$6, )"),"Ulasan baru  aplikasi sudah normal hanya untuk data masih pakai data lama Tolong di update pakai data ")</f>
        <v>Ulasan baru  aplikasi sudah normal hanya untuk data masih pakai data lama Tolong di update pakai data </v>
      </c>
      <c r="G76" s="18" t="str">
        <f>IFERROR(__xludf.DUMMYFUNCTION("REGEXREPLACE(F76,$A$7, )"),"Ulasan baru  aplikasi sudah normal hanya untuk data masih pakai data lama Tolong di update pakai data ")</f>
        <v>Ulasan baru  aplikasi sudah normal hanya untuk data masih pakai data lama Tolong di update pakai data </v>
      </c>
      <c r="H76" s="17" t="str">
        <f t="shared" si="1"/>
        <v>ulasan baru  aplikasi sudah normal hanya untuk data masih pakai data lama tolong di update pakai data </v>
      </c>
    </row>
    <row r="77">
      <c r="A77" s="16" t="s">
        <v>71</v>
      </c>
      <c r="B77" s="17" t="str">
        <f>IFERROR(__xludf.DUMMYFUNCTION("REGEXREPLACE(A77,$A$2, )"),"Aneh saya blm daftar bilang nya sudah terdaftar .daftar gak masuk2 cape2 gimana ini pak /Bu tolong perbaiki sistem nya terimakasih")</f>
        <v>Aneh saya blm daftar bilang nya sudah terdaftar .daftar gak masuk2 cape2 gimana ini pak /Bu tolong perbaiki sistem nya terimakasih</v>
      </c>
      <c r="C77" s="17" t="str">
        <f>IFERROR(__xludf.DUMMYFUNCTION("REGEXREPLACE(B77,$A$3, )"),"Aneh saya blm daftar bilang nya sudah terdaftar .daftar gak masuk2 cape2 gimana ini pak /Bu tolong perbaiki sistem nya terimakasih")</f>
        <v>Aneh saya blm daftar bilang nya sudah terdaftar .daftar gak masuk2 cape2 gimana ini pak /Bu tolong perbaiki sistem nya terimakasih</v>
      </c>
      <c r="D77" s="17" t="str">
        <f>IFERROR(__xludf.DUMMYFUNCTION("REGEXREPLACE(C77,$A$4, )"),"Aneh saya blm daftar bilang nya sudah terdaftar .daftar gak masuk2 cape2 gimana ini pak /Bu tolong perbaiki sistem nya terimakasih")</f>
        <v>Aneh saya blm daftar bilang nya sudah terdaftar .daftar gak masuk2 cape2 gimana ini pak /Bu tolong perbaiki sistem nya terimakasih</v>
      </c>
      <c r="E77" s="17" t="str">
        <f>IFERROR(__xludf.DUMMYFUNCTION("REGEXREPLACE(D77,$A$5, )"),"Aneh saya blm daftar bilang nya sudah terdaftar .daftar gak masuk cape gimana ini pak /Bu tolong perbaiki sistem nya terimakasih")</f>
        <v>Aneh saya blm daftar bilang nya sudah terdaftar .daftar gak masuk cape gimana ini pak /Bu tolong perbaiki sistem nya terimakasih</v>
      </c>
      <c r="F77" s="17" t="str">
        <f>IFERROR(__xludf.DUMMYFUNCTION("REGEXREPLACE(E77,$A$6, )"),"Aneh saya blm daftar bilang nya sudah terdaftar daftar gak masuk cape gimana ini pak Bu tolong perbaiki sistem nya terimakasih")</f>
        <v>Aneh saya blm daftar bilang nya sudah terdaftar daftar gak masuk cape gimana ini pak Bu tolong perbaiki sistem nya terimakasih</v>
      </c>
      <c r="G77" s="18" t="str">
        <f>IFERROR(__xludf.DUMMYFUNCTION("REGEXREPLACE(F77,$A$7, )"),"Aneh saya blm daftar bilang nya sudah terdaftar daftar gak masuk cape gimana ini pak Bu tolong perbaiki sistem nya terimakasih")</f>
        <v>Aneh saya blm daftar bilang nya sudah terdaftar daftar gak masuk cape gimana ini pak Bu tolong perbaiki sistem nya terimakasih</v>
      </c>
      <c r="H77" s="17" t="str">
        <f t="shared" si="1"/>
        <v>aneh saya blm daftar bilang nya sudah terdaftar daftar gak masuk cape gimana ini pak bu tolong perbaiki sistem nya terimakasih</v>
      </c>
    </row>
    <row r="78">
      <c r="A78" s="16" t="s">
        <v>72</v>
      </c>
      <c r="B78" s="17" t="str">
        <f>IFERROR(__xludf.DUMMYFUNCTION("REGEXREPLACE(A78,$A$2, )"),"Saya senang sekali aplikasi ini,,, Ijin apakah bisa merubah akun kita menjadi akun yg benar, karna kemarin saya sudah salah mengklik warna merah untuk TDK suami saya menjadikan bukan keluarga 😭 dan salah klik lagi warna merah untuk TDK menerima manfaat "&amp;"😭 apakah ada solusinya supaya itu pulih itu semua menjadi benar??")</f>
        <v>Saya senang sekali aplikasi ini,,, Ijin apakah bisa merubah akun kita menjadi akun yg benar, karna kemarin saya sudah salah mengklik warna merah untuk TDK suami saya menjadikan bukan keluarga 😭 dan salah klik lagi warna merah untuk TDK menerima manfaat 😭 apakah ada solusinya supaya itu pulih itu semua menjadi benar??</v>
      </c>
      <c r="C78" s="17" t="str">
        <f>IFERROR(__xludf.DUMMYFUNCTION("REGEXREPLACE(B78,$A$3, )"),"Saya senang sekali aplikasi ini,,, Ijin apakah bisa merubah akun kita menjadi akun yg benar, karna kemarin saya sudah salah mengklik warna merah untuk TDK suami saya menjadikan bukan keluarga 😭 dan salah klik lagi warna merah untuk TDK menerima manfaat "&amp;"😭 apakah ada solusinya supaya itu pulih itu semua menjadi benar??")</f>
        <v>Saya senang sekali aplikasi ini,,, Ijin apakah bisa merubah akun kita menjadi akun yg benar, karna kemarin saya sudah salah mengklik warna merah untuk TDK suami saya menjadikan bukan keluarga 😭 dan salah klik lagi warna merah untuk TDK menerima manfaat 😭 apakah ada solusinya supaya itu pulih itu semua menjadi benar??</v>
      </c>
      <c r="D78" s="17" t="str">
        <f>IFERROR(__xludf.DUMMYFUNCTION("REGEXREPLACE(C78,$A$4, )"),"Saya senang sekali aplikasi ini,,, Ijin apakah bisa merubah akun kita menjadi akun yg benar, karna kemarin saya sudah salah mengklik warna merah untuk TDK suami saya menjadikan bukan keluarga 😭 dan salah klik lagi warna merah untuk TDK menerima manfaat "&amp;"😭 apakah ada solusinya supaya itu pulih itu semua menjadi benar??")</f>
        <v>Saya senang sekali aplikasi ini,,, Ijin apakah bisa merubah akun kita menjadi akun yg benar, karna kemarin saya sudah salah mengklik warna merah untuk TDK suami saya menjadikan bukan keluarga 😭 dan salah klik lagi warna merah untuk TDK menerima manfaat 😭 apakah ada solusinya supaya itu pulih itu semua menjadi benar??</v>
      </c>
      <c r="E78" s="17" t="str">
        <f>IFERROR(__xludf.DUMMYFUNCTION("REGEXREPLACE(D78,$A$5, )"),"Saya senang sekali aplikasi ini,,, Ijin apakah bisa merubah akun kita menjadi akun yg benar, karna kemarin saya sudah salah mengklik warna merah untuk TDK suami saya menjadikan bukan keluarga 😭 dan salah klik lagi warna merah untuk TDK menerima manfaat "&amp;"😭 apakah ada solusinya supaya itu pulih itu semua menjadi benar??")</f>
        <v>Saya senang sekali aplikasi ini,,, Ijin apakah bisa merubah akun kita menjadi akun yg benar, karna kemarin saya sudah salah mengklik warna merah untuk TDK suami saya menjadikan bukan keluarga 😭 dan salah klik lagi warna merah untuk TDK menerima manfaat 😭 apakah ada solusinya supaya itu pulih itu semua menjadi benar??</v>
      </c>
      <c r="F78" s="17" t="str">
        <f>IFERROR(__xludf.DUMMYFUNCTION("REGEXREPLACE(E78,$A$6, )"),"Saya senang sekali aplikasi ini Ijin apakah bisa merubah akun kita menjadi akun yg benar karna kemarin saya sudah salah mengklik warna merah untuk TDK suami saya menjadikan bukan keluarga 😭 dan salah klik lagi warna merah untuk TDK menerima manfaat 😭 ap"&amp;"akah ada solusinya supaya itu pulih itu semua menjadi benar")</f>
        <v>Saya senang sekali aplikasi ini Ijin apakah bisa merubah akun kita menjadi akun yg benar karna kemarin saya sudah salah mengklik warna merah untuk TDK suami saya menjadikan bukan keluarga 😭 dan salah klik lagi warna merah untuk TDK menerima manfaat 😭 apakah ada solusinya supaya itu pulih itu semua menjadi benar</v>
      </c>
      <c r="G78" s="18" t="str">
        <f>IFERROR(__xludf.DUMMYFUNCTION("REGEXREPLACE(F78,$A$7, )"),"Saya senang sekali aplikasi ini Ijin apakah bisa merubah akun kita menjadi akun yg benar karna kemarin saya sudah salah mengklik warna merah untuk TDK suami saya menjadikan bukan keluarga  dan salah klik lagi warna merah untuk TDK menerima manfaat  apakah"&amp;" ada solusinya supaya itu pulih itu semua menjadi benar")</f>
        <v>Saya senang sekali aplikasi ini Ijin apakah bisa merubah akun kita menjadi akun yg benar karna kemarin saya sudah salah mengklik warna merah untuk TDK suami saya menjadikan bukan keluarga  dan salah klik lagi warna merah untuk TDK menerima manfaat  apakah ada solusinya supaya itu pulih itu semua menjadi benar</v>
      </c>
      <c r="H78" s="17" t="str">
        <f t="shared" si="1"/>
        <v>saya senang sekali aplikasi ini ijin apakah bisa merubah akun kita menjadi akun yg benar karna kemarin saya sudah salah mengklik warna merah untuk tdk suami saya menjadikan bukan keluarga  dan salah klik lagi warna merah untuk tdk menerima manfaat  apakah ada solusinya supaya itu pulih itu semua menjadi benar</v>
      </c>
    </row>
    <row r="79">
      <c r="A79" s="16" t="s">
        <v>73</v>
      </c>
      <c r="B79" s="17" t="str">
        <f>IFERROR(__xludf.DUMMYFUNCTION("REGEXREPLACE(A79,$A$2, )"),"Prodak pemerintah selalu bermasalah,biar keliatan serba digital tapi percuma semua ecek2 ,ini valid semua basis security pemerintahan sangat lemah, negeri konoha memang beda")</f>
        <v>Prodak pemerintah selalu bermasalah,biar keliatan serba digital tapi percuma semua ecek2 ,ini valid semua basis security pemerintahan sangat lemah, negeri konoha memang beda</v>
      </c>
      <c r="C79" s="17" t="str">
        <f>IFERROR(__xludf.DUMMYFUNCTION("REGEXREPLACE(B79,$A$3, )"),"Prodak pemerintah selalu bermasalah,biar keliatan serba digital tapi percuma semua ecek2 ,ini valid semua basis security pemerintahan sangat lemah, negeri konoha memang beda")</f>
        <v>Prodak pemerintah selalu bermasalah,biar keliatan serba digital tapi percuma semua ecek2 ,ini valid semua basis security pemerintahan sangat lemah, negeri konoha memang beda</v>
      </c>
      <c r="D79" s="17" t="str">
        <f>IFERROR(__xludf.DUMMYFUNCTION("REGEXREPLACE(C79,$A$4, )"),"Prodak pemerintah selalu bermasalah,biar keliatan serba digital tapi percuma semua ecek2 ,ini valid semua basis security pemerintahan sangat lemah, negeri konoha memang beda")</f>
        <v>Prodak pemerintah selalu bermasalah,biar keliatan serba digital tapi percuma semua ecek2 ,ini valid semua basis security pemerintahan sangat lemah, negeri konoha memang beda</v>
      </c>
      <c r="E79" s="17" t="str">
        <f>IFERROR(__xludf.DUMMYFUNCTION("REGEXREPLACE(D79,$A$5, )"),"Prodak pemerintah selalu bermasalah,biar keliatan serba digital tapi percuma semua ecek ,ini valid semua basis security pemerintahan sangat lemah, negeri konoha memang beda")</f>
        <v>Prodak pemerintah selalu bermasalah,biar keliatan serba digital tapi percuma semua ecek ,ini valid semua basis security pemerintahan sangat lemah, negeri konoha memang beda</v>
      </c>
      <c r="F79" s="17" t="str">
        <f>IFERROR(__xludf.DUMMYFUNCTION("REGEXREPLACE(E79,$A$6, )"),"Prodak pemerintah selalu bermasalahbiar keliatan serba digital tapi percuma semua ecek ini valid semua basis security pemerintahan sangat lemah negeri konoha memang beda")</f>
        <v>Prodak pemerintah selalu bermasalahbiar keliatan serba digital tapi percuma semua ecek ini valid semua basis security pemerintahan sangat lemah negeri konoha memang beda</v>
      </c>
      <c r="G79" s="18" t="str">
        <f>IFERROR(__xludf.DUMMYFUNCTION("REGEXREPLACE(F79,$A$7, )"),"Prodak pemerintah selalu bermasalahbiar keliatan serba digital tapi percuma semua ecek ini valid semua basis security pemerintahan sangat lemah negeri konoha memang beda")</f>
        <v>Prodak pemerintah selalu bermasalahbiar keliatan serba digital tapi percuma semua ecek ini valid semua basis security pemerintahan sangat lemah negeri konoha memang beda</v>
      </c>
      <c r="H79" s="17" t="str">
        <f t="shared" si="1"/>
        <v>prodak pemerintah selalu bermasalahbiar keliatan serba digital tapi percuma semua ecek ini valid semua basis security pemerintahan sangat lemah negeri konoha memang beda</v>
      </c>
    </row>
    <row r="80">
      <c r="A80" s="16" t="s">
        <v>74</v>
      </c>
      <c r="B80" s="17" t="str">
        <f>IFERROR(__xludf.DUMMYFUNCTION("REGEXREPLACE(A80,$A$2, )"),"Aplikasi ini sangat membantu untuk masyarakat yang ingin mengajukan bansos dari pemerintah,dan saya pun sudah mengusulkan beberapa saudara saya untuk pengajuan bansos meskipun belum ada yang di respon,hanya saja sekarang saya tidak bisa megusulkan lagi or"&amp;"ang orang katanya aplikasi error,itu kenapa ya?")</f>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c r="C80" s="17" t="str">
        <f>IFERROR(__xludf.DUMMYFUNCTION("REGEXREPLACE(B80,$A$3, )"),"Aplikasi ini sangat membantu untuk masyarakat yang ingin mengajukan bansos dari pemerintah,dan saya pun sudah mengusulkan beberapa saudara saya untuk pengajuan bansos meskipun belum ada yang di respon,hanya saja sekarang saya tidak bisa megusulkan lagi or"&amp;"ang orang katanya aplikasi error,itu kenapa ya?")</f>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c r="D80" s="17" t="str">
        <f>IFERROR(__xludf.DUMMYFUNCTION("REGEXREPLACE(C80,$A$4, )"),"Aplikasi ini sangat membantu untuk masyarakat yang ingin mengajukan bansos dari pemerintah,dan saya pun sudah mengusulkan beberapa saudara saya untuk pengajuan bansos meskipun belum ada yang di respon,hanya saja sekarang saya tidak bisa megusulkan lagi or"&amp;"ang orang katanya aplikasi error,itu kenapa ya?")</f>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c r="E80" s="17" t="str">
        <f>IFERROR(__xludf.DUMMYFUNCTION("REGEXREPLACE(D80,$A$5, )"),"Aplikasi ini sangat membantu untuk masyarakat yang ingin mengajukan bansos dari pemerintah,dan saya pun sudah mengusulkan beberapa saudara saya untuk pengajuan bansos meskipun belum ada yang di respon,hanya saja sekarang saya tidak bisa megusulkan lagi or"&amp;"ang orang katanya aplikasi error,itu kenapa ya?")</f>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c r="F80" s="17" t="str">
        <f>IFERROR(__xludf.DUMMYFUNCTION("REGEXREPLACE(E80,$A$6, )"),"Aplikasi ini sangat membantu untuk masyarakat yang ingin mengajukan bansos dari pemerintahdan saya pun sudah mengusulkan beberapa saudara saya untuk pengajuan bansos meskipun belum ada yang di responhanya saja sekarang saya tidak bisa megusulkan lagi oran"&amp;"g orang katanya aplikasi erroritu kenapa ya")</f>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c r="G80" s="18" t="str">
        <f>IFERROR(__xludf.DUMMYFUNCTION("REGEXREPLACE(F80,$A$7, )"),"Aplikasi ini sangat membantu untuk masyarakat yang ingin mengajukan bansos dari pemerintahdan saya pun sudah mengusulkan beberapa saudara saya untuk pengajuan bansos meskipun belum ada yang di responhanya saja sekarang saya tidak bisa megusulkan lagi oran"&amp;"g orang katanya aplikasi erroritu kenapa ya")</f>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c r="H80" s="17" t="str">
        <f t="shared" si="1"/>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row>
    <row r="81">
      <c r="A81" s="16" t="s">
        <v>75</v>
      </c>
      <c r="B81" s="17" t="str">
        <f>IFERROR(__xludf.DUMMYFUNCTION("REGEXREPLACE(A81,$A$2, )"),"Tolong ya di ACC Atas Nama HArnita Susah sekali Login nya.sudah di daftar tapi tak bisa LOgin.mohon kebijakan nya.🙏")</f>
        <v>Tolong ya di ACC Atas Nama HArnita Susah sekali Login nya.sudah di daftar tapi tak bisa LOgin.mohon kebijakan nya.🙏</v>
      </c>
      <c r="C81" s="17" t="str">
        <f>IFERROR(__xludf.DUMMYFUNCTION("REGEXREPLACE(B81,$A$3, )"),"Tolong ya di ACC Atas Nama HArnita Susah sekali Login nya.sudah di daftar tapi tak bisa LOgin.mohon kebijakan nya.🙏")</f>
        <v>Tolong ya di ACC Atas Nama HArnita Susah sekali Login nya.sudah di daftar tapi tak bisa LOgin.mohon kebijakan nya.🙏</v>
      </c>
      <c r="D81" s="17" t="str">
        <f>IFERROR(__xludf.DUMMYFUNCTION("REGEXREPLACE(C81,$A$4, )"),"Tolong ya di ACC Atas Nama HArnita Susah sekali Login nya.sudah di daftar tapi tak bisa LOgin.mohon kebijakan nya.🙏")</f>
        <v>Tolong ya di ACC Atas Nama HArnita Susah sekali Login nya.sudah di daftar tapi tak bisa LOgin.mohon kebijakan nya.🙏</v>
      </c>
      <c r="E81" s="17" t="str">
        <f>IFERROR(__xludf.DUMMYFUNCTION("REGEXREPLACE(D81,$A$5, )"),"Tolong ya di ACC Atas Nama HArnita Susah sekali Login nya.sudah di daftar tapi tak bisa LOgin.mohon kebijakan nya.🙏")</f>
        <v>Tolong ya di ACC Atas Nama HArnita Susah sekali Login nya.sudah di daftar tapi tak bisa LOgin.mohon kebijakan nya.🙏</v>
      </c>
      <c r="F81" s="17" t="str">
        <f>IFERROR(__xludf.DUMMYFUNCTION("REGEXREPLACE(E81,$A$6, )"),"Tolong ya di ACC Atas Nama HArnita Susah sekali Login nyasudah di daftar tapi tak bisa LOginmohon kebijakan nya🙏")</f>
        <v>Tolong ya di ACC Atas Nama HArnita Susah sekali Login nyasudah di daftar tapi tak bisa LOginmohon kebijakan nya🙏</v>
      </c>
      <c r="G81" s="18" t="str">
        <f>IFERROR(__xludf.DUMMYFUNCTION("REGEXREPLACE(F81,$A$7, )"),"Tolong ya di ACC Atas Nama HArnita Susah sekali Login nyasudah di daftar tapi tak bisa LOginmohon kebijakan nya")</f>
        <v>Tolong ya di ACC Atas Nama HArnita Susah sekali Login nyasudah di daftar tapi tak bisa LOginmohon kebijakan nya</v>
      </c>
      <c r="H81" s="17" t="str">
        <f t="shared" si="1"/>
        <v>tolong ya di acc atas nama harnita susah sekali login nyasudah di daftar tapi tak bisa loginmohon kebijakan nya</v>
      </c>
    </row>
    <row r="82">
      <c r="A82" s="16" t="s">
        <v>76</v>
      </c>
      <c r="B82" s="17" t="str">
        <f>IFERROR(__xludf.DUMMYFUNCTION("REGEXREPLACE(A82,$A$2, )"),"selalu gagal login,gagal dan gagal, padahal sudah dapat 2x email kemensos.mungkin harus bersabar..")</f>
        <v>selalu gagal login,gagal dan gagal, padahal sudah dapat 2x email kemensos.mungkin harus bersabar..</v>
      </c>
      <c r="C82" s="17" t="str">
        <f>IFERROR(__xludf.DUMMYFUNCTION("REGEXREPLACE(B82,$A$3, )"),"selalu gagal login,gagal dan gagal, padahal sudah dapat 2x email kemensos.mungkin harus bersabar..")</f>
        <v>selalu gagal login,gagal dan gagal, padahal sudah dapat 2x email kemensos.mungkin harus bersabar..</v>
      </c>
      <c r="D82" s="17" t="str">
        <f>IFERROR(__xludf.DUMMYFUNCTION("REGEXREPLACE(C82,$A$4, )"),"selalu gagal login,gagal dan gagal, padahal sudah dapat 2x email kemensos.mungkin harus bersabar..")</f>
        <v>selalu gagal login,gagal dan gagal, padahal sudah dapat 2x email kemensos.mungkin harus bersabar..</v>
      </c>
      <c r="E82" s="17" t="str">
        <f>IFERROR(__xludf.DUMMYFUNCTION("REGEXREPLACE(D82,$A$5, )"),"selalu gagal login,gagal dan gagal, padahal sudah dapat x email kemensos.mungkin harus bersabar..")</f>
        <v>selalu gagal login,gagal dan gagal, padahal sudah dapat x email kemensos.mungkin harus bersabar..</v>
      </c>
      <c r="F82" s="17" t="str">
        <f>IFERROR(__xludf.DUMMYFUNCTION("REGEXREPLACE(E82,$A$6, )"),"selalu gagal logingagal dan gagal padahal sudah dapat x email kemensosmungkin harus bersabar")</f>
        <v>selalu gagal logingagal dan gagal padahal sudah dapat x email kemensosmungkin harus bersabar</v>
      </c>
      <c r="G82" s="18" t="str">
        <f>IFERROR(__xludf.DUMMYFUNCTION("REGEXREPLACE(F82,$A$7, )"),"selalu gagal logingagal dan gagal padahal sudah dapat x email kemensosmungkin harus bersabar")</f>
        <v>selalu gagal logingagal dan gagal padahal sudah dapat x email kemensosmungkin harus bersabar</v>
      </c>
      <c r="H82" s="17" t="str">
        <f t="shared" si="1"/>
        <v>selalu gagal logingagal dan gagal padahal sudah dapat x email kemensosmungkin harus bersabar</v>
      </c>
    </row>
    <row r="83">
      <c r="A83" s="16" t="s">
        <v>77</v>
      </c>
      <c r="B83" s="17" t="str">
        <f>IFERROR(__xludf.DUMMYFUNCTION("REGEXREPLACE(A83,$A$2, )"),"Tolong lha pak. Aplikasi eror setiap mau login. Karna sinyal gk stabil. Mohon petunjuknya??")</f>
        <v>Tolong lha pak. Aplikasi eror setiap mau login. Karna sinyal gk stabil. Mohon petunjuknya??</v>
      </c>
      <c r="C83" s="17" t="str">
        <f>IFERROR(__xludf.DUMMYFUNCTION("REGEXREPLACE(B83,$A$3, )"),"Tolong lha pak. Aplikasi eror setiap mau login. Karna sinyal gk stabil. Mohon petunjuknya??")</f>
        <v>Tolong lha pak. Aplikasi eror setiap mau login. Karna sinyal gk stabil. Mohon petunjuknya??</v>
      </c>
      <c r="D83" s="17" t="str">
        <f>IFERROR(__xludf.DUMMYFUNCTION("REGEXREPLACE(C83,$A$4, )"),"Tolong lha pak. Aplikasi eror setiap mau login. Karna sinyal gk stabil. Mohon petunjuknya??")</f>
        <v>Tolong lha pak. Aplikasi eror setiap mau login. Karna sinyal gk stabil. Mohon petunjuknya??</v>
      </c>
      <c r="E83" s="17" t="str">
        <f>IFERROR(__xludf.DUMMYFUNCTION("REGEXREPLACE(D83,$A$5, )"),"Tolong lha pak. Aplikasi eror setiap mau login. Karna sinyal gk stabil. Mohon petunjuknya??")</f>
        <v>Tolong lha pak. Aplikasi eror setiap mau login. Karna sinyal gk stabil. Mohon petunjuknya??</v>
      </c>
      <c r="F83" s="17" t="str">
        <f>IFERROR(__xludf.DUMMYFUNCTION("REGEXREPLACE(E83,$A$6, )"),"Tolong lha pak Aplikasi eror setiap mau login Karna sinyal gk stabil Mohon petunjuknya")</f>
        <v>Tolong lha pak Aplikasi eror setiap mau login Karna sinyal gk stabil Mohon petunjuknya</v>
      </c>
      <c r="G83" s="18" t="str">
        <f>IFERROR(__xludf.DUMMYFUNCTION("REGEXREPLACE(F83,$A$7, )"),"Tolong lha pak Aplikasi eror setiap mau login Karna sinyal gk stabil Mohon petunjuknya")</f>
        <v>Tolong lha pak Aplikasi eror setiap mau login Karna sinyal gk stabil Mohon petunjuknya</v>
      </c>
      <c r="H83" s="17" t="str">
        <f t="shared" si="1"/>
        <v>tolong lha pak aplikasi eror setiap mau login karna sinyal gk stabil mohon petunjuknya</v>
      </c>
    </row>
    <row r="84">
      <c r="A84" s="16" t="s">
        <v>78</v>
      </c>
      <c r="B84" s="17" t="str">
        <f>IFERROR(__xludf.DUMMYFUNCTION("REGEXREPLACE(A84,$A$2, )"),"Setelah di update bukan bertambah baik appnya Malah bikin error selalu Mohon di perbaiki kembali...")</f>
        <v>Setelah di update bukan bertambah baik appnya Malah bikin error selalu Mohon di perbaiki kembali...</v>
      </c>
      <c r="C84" s="17" t="str">
        <f>IFERROR(__xludf.DUMMYFUNCTION("REGEXREPLACE(B84,$A$3, )"),"Setelah di update bukan bertambah baik appnya Malah bikin error selalu Mohon di perbaiki kembali...")</f>
        <v>Setelah di update bukan bertambah baik appnya Malah bikin error selalu Mohon di perbaiki kembali...</v>
      </c>
      <c r="D84" s="17" t="str">
        <f>IFERROR(__xludf.DUMMYFUNCTION("REGEXREPLACE(C84,$A$4, )"),"Setelah di update bukan bertambah baik appnya Malah bikin error selalu Mohon di perbaiki kembali...")</f>
        <v>Setelah di update bukan bertambah baik appnya Malah bikin error selalu Mohon di perbaiki kembali...</v>
      </c>
      <c r="E84" s="17" t="str">
        <f>IFERROR(__xludf.DUMMYFUNCTION("REGEXREPLACE(D84,$A$5, )"),"Setelah di update bukan bertambah baik appnya Malah bikin error selalu Mohon di perbaiki kembali...")</f>
        <v>Setelah di update bukan bertambah baik appnya Malah bikin error selalu Mohon di perbaiki kembali...</v>
      </c>
      <c r="F84" s="17" t="str">
        <f>IFERROR(__xludf.DUMMYFUNCTION("REGEXREPLACE(E84,$A$6, )"),"Setelah di update bukan bertambah baik appnya Malah bikin error selalu Mohon di perbaiki kembali")</f>
        <v>Setelah di update bukan bertambah baik appnya Malah bikin error selalu Mohon di perbaiki kembali</v>
      </c>
      <c r="G84" s="18" t="str">
        <f>IFERROR(__xludf.DUMMYFUNCTION("REGEXREPLACE(F84,$A$7, )"),"Setelah di update bukan bertambah baik appnya Malah bikin error selalu Mohon di perbaiki kembali")</f>
        <v>Setelah di update bukan bertambah baik appnya Malah bikin error selalu Mohon di perbaiki kembali</v>
      </c>
      <c r="H84" s="17" t="str">
        <f t="shared" si="1"/>
        <v>setelah di update bukan bertambah baik appnya malah bikin error selalu mohon di perbaiki kembali</v>
      </c>
    </row>
    <row r="85">
      <c r="A85" s="16" t="s">
        <v>79</v>
      </c>
      <c r="B85" s="17" t="str">
        <f>IFERROR(__xludf.DUMMYFUNCTION("REGEXREPLACE(A85,$A$2, )"),"bagus.. alhamdulillah bisa di buka.. tapi untuk menambahkan pengajuan eror aplikasi terus. harus menghubungi admin")</f>
        <v>bagus.. alhamdulillah bisa di buka.. tapi untuk menambahkan pengajuan eror aplikasi terus. harus menghubungi admin</v>
      </c>
      <c r="C85" s="17" t="str">
        <f>IFERROR(__xludf.DUMMYFUNCTION("REGEXREPLACE(B85,$A$3, )"),"bagus.. alhamdulillah bisa di buka.. tapi untuk menambahkan pengajuan eror aplikasi terus. harus menghubungi admin")</f>
        <v>bagus.. alhamdulillah bisa di buka.. tapi untuk menambahkan pengajuan eror aplikasi terus. harus menghubungi admin</v>
      </c>
      <c r="D85" s="17" t="str">
        <f>IFERROR(__xludf.DUMMYFUNCTION("REGEXREPLACE(C85,$A$4, )"),"bagus.. alhamdulillah bisa di buka.. tapi untuk menambahkan pengajuan eror aplikasi terus. harus menghubungi admin")</f>
        <v>bagus.. alhamdulillah bisa di buka.. tapi untuk menambahkan pengajuan eror aplikasi terus. harus menghubungi admin</v>
      </c>
      <c r="E85" s="17" t="str">
        <f>IFERROR(__xludf.DUMMYFUNCTION("REGEXREPLACE(D85,$A$5, )"),"bagus.. alhamdulillah bisa di buka.. tapi untuk menambahkan pengajuan eror aplikasi terus. harus menghubungi admin")</f>
        <v>bagus.. alhamdulillah bisa di buka.. tapi untuk menambahkan pengajuan eror aplikasi terus. harus menghubungi admin</v>
      </c>
      <c r="F85" s="17" t="str">
        <f>IFERROR(__xludf.DUMMYFUNCTION("REGEXREPLACE(E85,$A$6, )"),"bagus alhamdulillah bisa di buka tapi untuk menambahkan pengajuan eror aplikasi terus harus menghubungi admin")</f>
        <v>bagus alhamdulillah bisa di buka tapi untuk menambahkan pengajuan eror aplikasi terus harus menghubungi admin</v>
      </c>
      <c r="G85" s="18" t="str">
        <f>IFERROR(__xludf.DUMMYFUNCTION("REGEXREPLACE(F85,$A$7, )"),"bagus alhamdulillah bisa di buka tapi untuk menambahkan pengajuan eror aplikasi terus harus menghubungi admin")</f>
        <v>bagus alhamdulillah bisa di buka tapi untuk menambahkan pengajuan eror aplikasi terus harus menghubungi admin</v>
      </c>
      <c r="H85" s="17" t="str">
        <f t="shared" si="1"/>
        <v>bagus alhamdulillah bisa di buka tapi untuk menambahkan pengajuan eror aplikasi terus harus menghubungi admin</v>
      </c>
    </row>
    <row r="86">
      <c r="A86" s="16" t="s">
        <v>80</v>
      </c>
      <c r="B86" s="17" t="str">
        <f>IFERROR(__xludf.DUMMYFUNCTION("REGEXREPLACE(A86,$A$2, )"),"Udah sekian lama daftar kok belum dicek ya kk, 🙏.apa aplikasi ini digunakan / udah gak digunakan kementrian DTKS.mohon informasi nya ya kk developer.udah lama gak kerja akibat covid(pengurangan tenaga kerja) mau cari kerja melamar kemana saja gak bisa,al"&amp;"asan kendala usia(43th)sedang bantuan gak pernah nyangkut.mau gimana lagi,sedang keluarga butuh biaya.🙏,mana LISTRIK DAN BBM NAIK MULU,DAN UNTUNG NYA DIKASIHKAN YANG PUNYA PKH TERUS MENERUS,BERUPA SEMBAKO,BLT BBM,BLT MINYAK GORENG.PDHL DAH KAYA")</f>
        <v>Udah sekian lama daftar kok belum dicek ya kk, 🙏.apa aplikasi ini digunakan / udah gak digunakan kementrian DTKS.mohon informasi nya ya kk developer.udah lama gak kerja akibat covid(pengurangan tenaga kerja) mau cari kerja melamar kemana saja gak bisa,alasan kendala usia(43th)sedang bantuan gak pernah nyangkut.mau gimana lagi,sedang keluarga butuh biaya.🙏,mana LISTRIK DAN BBM NAIK MULU,DAN UNTUNG NYA DIKASIHKAN YANG PUNYA PKH TERUS MENERUS,BERUPA SEMBAKO,BLT BBM,BLT MINYAK GORENG.PDHL DAH KAYA</v>
      </c>
      <c r="C86" s="17" t="str">
        <f>IFERROR(__xludf.DUMMYFUNCTION("REGEXREPLACE(B86,$A$3, )"),"Udah sekian lama daftar kok belum dicek ya kk, 🙏.apa aplikasi ini digunakan / udah gak digunakan kementrian DTKS.mohon informasi nya ya kk developer.udah lama gak kerja akibat covid(pengurangan tenaga kerja) mau cari kerja melamar kemana saja gak bisa,al"&amp;"asan kendala usia(43th)sedang bantuan gak pernah nyangkut.mau gimana lagi,sedang keluarga butuh biaya.🙏,mana LISTRIK DAN BBM NAIK MULU,DAN UNTUNG NYA DIKASIHKAN YANG PUNYA PKH TERUS MENERUS,BERUPA SEMBAKO,BLT BBM,BLT MINYAK GORENG.PDHL DAH KAYA")</f>
        <v>Udah sekian lama daftar kok belum dicek ya kk, 🙏.apa aplikasi ini digunakan / udah gak digunakan kementrian DTKS.mohon informasi nya ya kk developer.udah lama gak kerja akibat covid(pengurangan tenaga kerja) mau cari kerja melamar kemana saja gak bisa,alasan kendala usia(43th)sedang bantuan gak pernah nyangkut.mau gimana lagi,sedang keluarga butuh biaya.🙏,mana LISTRIK DAN BBM NAIK MULU,DAN UNTUNG NYA DIKASIHKAN YANG PUNYA PKH TERUS MENERUS,BERUPA SEMBAKO,BLT BBM,BLT MINYAK GORENG.PDHL DAH KAYA</v>
      </c>
      <c r="D86" s="17" t="str">
        <f>IFERROR(__xludf.DUMMYFUNCTION("REGEXREPLACE(C86,$A$4, )"),"Udah sekian lama daftar kok belum dicek ya kk, 🙏.apa aplikasi ini digunakan / udah gak digunakan kementrian DTKS.mohon informasi nya ya kk developer.udah lama gak kerja akibat covid(pengurangan tenaga kerja) mau cari kerja melamar kemana saja gak bisa,al"&amp;"asan kendala usia(43th)sedang bantuan gak pernah nyangkut.mau gimana lagi,sedang keluarga butuh biaya.🙏,mana LISTRIK DAN BBM NAIK MULU,DAN UNTUNG NYA DIKASIHKAN YANG PUNYA PKH TERUS MENERUS,BERUPA SEMBAKO,BLT BBM,BLT MINYAK GORENG.PDHL DAH KAYA")</f>
        <v>Udah sekian lama daftar kok belum dicek ya kk, 🙏.apa aplikasi ini digunakan / udah gak digunakan kementrian DTKS.mohon informasi nya ya kk developer.udah lama gak kerja akibat covid(pengurangan tenaga kerja) mau cari kerja melamar kemana saja gak bisa,alasan kendala usia(43th)sedang bantuan gak pernah nyangkut.mau gimana lagi,sedang keluarga butuh biaya.🙏,mana LISTRIK DAN BBM NAIK MULU,DAN UNTUNG NYA DIKASIHKAN YANG PUNYA PKH TERUS MENERUS,BERUPA SEMBAKO,BLT BBM,BLT MINYAK GORENG.PDHL DAH KAYA</v>
      </c>
      <c r="E86" s="17" t="str">
        <f>IFERROR(__xludf.DUMMYFUNCTION("REGEXREPLACE(D86,$A$5, )"),"Udah sekian lama daftar kok belum dicek ya kk, 🙏.apa aplikasi ini digunakan / udah gak digunakan kementrian DTKS.mohon informasi nya ya kk developer.udah lama gak kerja akibat covid(pengurangan tenaga kerja) mau cari kerja melamar kemana saja gak bisa,al"&amp;"asan kendala usia(th)sedang bantuan gak pernah nyangkut.mau gimana lagi,sedang keluarga butuh biaya.🙏,mana LISTRIK DAN BBM NAIK MULU,DAN UNTUNG NYA DIKASIHKAN YANG PUNYA PKH TERUS MENERUS,BERUPA SEMBAKO,BLT BBM,BLT MINYAK GORENG.PDHL DAH KAYA")</f>
        <v>Udah sekian lama daftar kok belum dicek ya kk, 🙏.apa aplikasi ini digunakan / udah gak digunakan kementrian DTKS.mohon informasi nya ya kk developer.udah lama gak kerja akibat covid(pengurangan tenaga kerja) mau cari kerja melamar kemana saja gak bisa,alasan kendala usia(th)sedang bantuan gak pernah nyangkut.mau gimana lagi,sedang keluarga butuh biaya.🙏,mana LISTRIK DAN BBM NAIK MULU,DAN UNTUNG NYA DIKASIHKAN YANG PUNYA PKH TERUS MENERUS,BERUPA SEMBAKO,BLT BBM,BLT MINYAK GORENG.PDHL DAH KAYA</v>
      </c>
      <c r="F86" s="17" t="str">
        <f>IFERROR(__xludf.DUMMYFUNCTION("REGEXREPLACE(E86,$A$6, )"),"Udah sekian lama daftar kok belum dicek ya kk 🙏apa aplikasi ini digunakan  udah gak digunakan kementrian DTKSmohon informasi nya ya kk developerudah lama gak kerja akibat covidpengurangan tenaga kerja mau cari kerja melamar kemana saja gak bisaalasan ken"&amp;"dala usiathsedang bantuan gak pernah nyangkutmau gimana lagisedang keluarga butuh biaya🙏mana LISTRIK DAN BBM NAIK MULUDAN UNTUNG NYA DIKASIHKAN YANG PUNYA PKH TERUS MENERUSBERUPA SEMBAKOBLT BBMBLT MINYAK GORENGPDHL DAH KAYA")</f>
        <v>Udah sekian lama daftar kok belum dicek ya kk 🙏apa aplikasi ini digunakan  udah gak digunakan kementrian DTKSmohon informasi nya ya kk developerudah lama gak kerja akibat covidpengurangan tenaga kerja mau cari kerja melamar kemana saja gak bisaalasan kendala usiathsedang bantuan gak pernah nyangkutmau gimana lagisedang keluarga butuh biaya🙏mana LISTRIK DAN BBM NAIK MULUDAN UNTUNG NYA DIKASIHKAN YANG PUNYA PKH TERUS MENERUSBERUPA SEMBAKOBLT BBMBLT MINYAK GORENGPDHL DAH KAYA</v>
      </c>
      <c r="G86" s="18" t="str">
        <f>IFERROR(__xludf.DUMMYFUNCTION("REGEXREPLACE(F86,$A$7, )"),"Udah sekian lama daftar kok belum dicek ya kk apa aplikasi ini digunakan  udah gak digunakan kementrian DTKSmohon informasi nya ya kk developerudah lama gak kerja akibat covidpengurangan tenaga kerja mau cari kerja melamar kemana saja gak bisaalasan kenda"&amp;"la usiathsedang bantuan gak pernah nyangkutmau gimana lagisedang keluarga butuh biayamana LISTRIK DAN BBM NAIK MULUDAN UNTUNG NYA DIKASIHKAN YANG PUNYA PKH TERUS MENERUSBERUPA SEMBAKOBLT BBMBLT MINYAK GORENGPDHL DAH KAYA")</f>
        <v>Udah sekian lama daftar kok belum dicek ya kk apa aplikasi ini digunakan  udah gak digunakan kementrian DTKSmohon informasi nya ya kk developerudah lama gak kerja akibat covidpengurangan tenaga kerja mau cari kerja melamar kemana saja gak bisaalasan kendala usiathsedang bantuan gak pernah nyangkutmau gimana lagisedang keluarga butuh biayamana LISTRIK DAN BBM NAIK MULUDAN UNTUNG NYA DIKASIHKAN YANG PUNYA PKH TERUS MENERUSBERUPA SEMBAKOBLT BBMBLT MINYAK GORENGPDHL DAH KAYA</v>
      </c>
      <c r="H86" s="17" t="str">
        <f t="shared" si="1"/>
        <v>udah sekian lama daftar kok belum dicek ya kk apa aplikasi ini digunakan  udah gak digunakan kementrian dtksmohon informasi nya ya kk developerudah lama gak kerja akibat covidpengurangan tenaga kerja mau cari kerja melamar kemana saja gak bisaalasan kendala usiathsedang bantuan gak pernah nyangkutmau gimana lagisedang keluarga butuh biayamana listrik dan bbm naik muludan untung nya dikasihkan yang punya pkh terus menerusberupa sembakoblt bbmblt minyak gorengpdhl dah kaya</v>
      </c>
    </row>
    <row r="87">
      <c r="A87" s="16" t="s">
        <v>81</v>
      </c>
      <c r="B87" s="17" t="str">
        <f>IFERROR(__xludf.DUMMYFUNCTION("REGEXREPLACE(A87,$A$2, )"),"Kenapa ya sekarang aplikasinya malah error,tidak bisa di gunakan, padahal bisa membantu masyarakat yang bantuannya tidak di berikan oleh oknum..")</f>
        <v>Kenapa ya sekarang aplikasinya malah error,tidak bisa di gunakan, padahal bisa membantu masyarakat yang bantuannya tidak di berikan oleh oknum..</v>
      </c>
      <c r="C87" s="17" t="str">
        <f>IFERROR(__xludf.DUMMYFUNCTION("REGEXREPLACE(B87,$A$3, )"),"Kenapa ya sekarang aplikasinya malah error,tidak bisa di gunakan, padahal bisa membantu masyarakat yang bantuannya tidak di berikan oleh oknum..")</f>
        <v>Kenapa ya sekarang aplikasinya malah error,tidak bisa di gunakan, padahal bisa membantu masyarakat yang bantuannya tidak di berikan oleh oknum..</v>
      </c>
      <c r="D87" s="17" t="str">
        <f>IFERROR(__xludf.DUMMYFUNCTION("REGEXREPLACE(C87,$A$4, )"),"Kenapa ya sekarang aplikasinya malah error,tidak bisa di gunakan, padahal bisa membantu masyarakat yang bantuannya tidak di berikan oleh oknum..")</f>
        <v>Kenapa ya sekarang aplikasinya malah error,tidak bisa di gunakan, padahal bisa membantu masyarakat yang bantuannya tidak di berikan oleh oknum..</v>
      </c>
      <c r="E87" s="17" t="str">
        <f>IFERROR(__xludf.DUMMYFUNCTION("REGEXREPLACE(D87,$A$5, )"),"Kenapa ya sekarang aplikasinya malah error,tidak bisa di gunakan, padahal bisa membantu masyarakat yang bantuannya tidak di berikan oleh oknum..")</f>
        <v>Kenapa ya sekarang aplikasinya malah error,tidak bisa di gunakan, padahal bisa membantu masyarakat yang bantuannya tidak di berikan oleh oknum..</v>
      </c>
      <c r="F87" s="17" t="str">
        <f>IFERROR(__xludf.DUMMYFUNCTION("REGEXREPLACE(E87,$A$6, )"),"Kenapa ya sekarang aplikasinya malah errortidak bisa di gunakan padahal bisa membantu masyarakat yang bantuannya tidak di berikan oleh oknum")</f>
        <v>Kenapa ya sekarang aplikasinya malah errortidak bisa di gunakan padahal bisa membantu masyarakat yang bantuannya tidak di berikan oleh oknum</v>
      </c>
      <c r="G87" s="18" t="str">
        <f>IFERROR(__xludf.DUMMYFUNCTION("REGEXREPLACE(F87,$A$7, )"),"Kenapa ya sekarang aplikasinya malah errortidak bisa di gunakan padahal bisa membantu masyarakat yang bantuannya tidak di berikan oleh oknum")</f>
        <v>Kenapa ya sekarang aplikasinya malah errortidak bisa di gunakan padahal bisa membantu masyarakat yang bantuannya tidak di berikan oleh oknum</v>
      </c>
      <c r="H87" s="17" t="str">
        <f t="shared" si="1"/>
        <v>kenapa ya sekarang aplikasinya malah errortidak bisa di gunakan padahal bisa membantu masyarakat yang bantuannya tidak di berikan oleh oknum</v>
      </c>
    </row>
    <row r="88">
      <c r="A88" s="16" t="s">
        <v>82</v>
      </c>
      <c r="B88" s="17" t="str">
        <f>IFERROR(__xludf.DUMMYFUNCTION("REGEXREPLACE(A88,$A$2, )"),"Sudah daftar Akun Verifikasi aktifasi g ada lanjutan.. Coba langsung masuk juga ngak bisa.. Wes Angeel wess.. Tolong diperbaiki 🙏")</f>
        <v>Sudah daftar Akun Verifikasi aktifasi g ada lanjutan.. Coba langsung masuk juga ngak bisa.. Wes Angeel wess.. Tolong diperbaiki 🙏</v>
      </c>
      <c r="C88" s="17" t="str">
        <f>IFERROR(__xludf.DUMMYFUNCTION("REGEXREPLACE(B88,$A$3, )"),"Sudah daftar Akun Verifikasi aktifasi g ada lanjutan.. Coba langsung masuk juga ngak bisa.. Wes Angeel wess.. Tolong diperbaiki 🙏")</f>
        <v>Sudah daftar Akun Verifikasi aktifasi g ada lanjutan.. Coba langsung masuk juga ngak bisa.. Wes Angeel wess.. Tolong diperbaiki 🙏</v>
      </c>
      <c r="D88" s="17" t="str">
        <f>IFERROR(__xludf.DUMMYFUNCTION("REGEXREPLACE(C88,$A$4, )"),"Sudah daftar Akun Verifikasi aktifasi g ada lanjutan.. Coba langsung masuk juga ngak bisa.. Wes Angeel wess.. Tolong diperbaiki 🙏")</f>
        <v>Sudah daftar Akun Verifikasi aktifasi g ada lanjutan.. Coba langsung masuk juga ngak bisa.. Wes Angeel wess.. Tolong diperbaiki 🙏</v>
      </c>
      <c r="E88" s="17" t="str">
        <f>IFERROR(__xludf.DUMMYFUNCTION("REGEXREPLACE(D88,$A$5, )"),"Sudah daftar Akun Verifikasi aktifasi g ada lanjutan.. Coba langsung masuk juga ngak bisa.. Wes Angeel wess.. Tolong diperbaiki 🙏")</f>
        <v>Sudah daftar Akun Verifikasi aktifasi g ada lanjutan.. Coba langsung masuk juga ngak bisa.. Wes Angeel wess.. Tolong diperbaiki 🙏</v>
      </c>
      <c r="F88" s="17" t="str">
        <f>IFERROR(__xludf.DUMMYFUNCTION("REGEXREPLACE(E88,$A$6, )"),"Sudah daftar Akun Verifikasi aktifasi g ada lanjutan Coba langsung masuk juga ngak bisa Wes Angeel wess Tolong diperbaiki 🙏")</f>
        <v>Sudah daftar Akun Verifikasi aktifasi g ada lanjutan Coba langsung masuk juga ngak bisa Wes Angeel wess Tolong diperbaiki 🙏</v>
      </c>
      <c r="G88" s="18" t="str">
        <f>IFERROR(__xludf.DUMMYFUNCTION("REGEXREPLACE(F88,$A$7, )"),"Sudah daftar Akun Verifikasi aktifasi g ada lanjutan Coba langsung masuk juga ngak bisa Wes Angeel wess Tolong diperbaiki ")</f>
        <v>Sudah daftar Akun Verifikasi aktifasi g ada lanjutan Coba langsung masuk juga ngak bisa Wes Angeel wess Tolong diperbaiki </v>
      </c>
      <c r="H88" s="17" t="str">
        <f t="shared" si="1"/>
        <v>sudah daftar akun verifikasi aktifasi g ada lanjutan coba langsung masuk juga ngak bisa wes angeel wess tolong diperbaiki </v>
      </c>
    </row>
    <row r="89">
      <c r="A89" s="16" t="s">
        <v>83</v>
      </c>
      <c r="B89" s="17" t="str">
        <f>IFERROR(__xludf.DUMMYFUNCTION("REGEXREPLACE(A89,$A$2, )"),"Saat buat akun baru terjadi error aplikasi,itu harus bagamana?padahal sudah di isi semua datanya")</f>
        <v>Saat buat akun baru terjadi error aplikasi,itu harus bagamana?padahal sudah di isi semua datanya</v>
      </c>
      <c r="C89" s="17" t="str">
        <f>IFERROR(__xludf.DUMMYFUNCTION("REGEXREPLACE(B89,$A$3, )"),"Saat buat akun baru terjadi error aplikasi,itu harus bagamana?padahal sudah di isi semua datanya")</f>
        <v>Saat buat akun baru terjadi error aplikasi,itu harus bagamana?padahal sudah di isi semua datanya</v>
      </c>
      <c r="D89" s="17" t="str">
        <f>IFERROR(__xludf.DUMMYFUNCTION("REGEXREPLACE(C89,$A$4, )"),"Saat buat akun baru terjadi error aplikasi,itu harus bagamana?padahal sudah di isi semua datanya")</f>
        <v>Saat buat akun baru terjadi error aplikasi,itu harus bagamana?padahal sudah di isi semua datanya</v>
      </c>
      <c r="E89" s="17" t="str">
        <f>IFERROR(__xludf.DUMMYFUNCTION("REGEXREPLACE(D89,$A$5, )"),"Saat buat akun baru terjadi error aplikasi,itu harus bagamana?padahal sudah di isi semua datanya")</f>
        <v>Saat buat akun baru terjadi error aplikasi,itu harus bagamana?padahal sudah di isi semua datanya</v>
      </c>
      <c r="F89" s="17" t="str">
        <f>IFERROR(__xludf.DUMMYFUNCTION("REGEXREPLACE(E89,$A$6, )"),"Saat buat akun baru terjadi error aplikasiitu harus bagamanapadahal sudah di isi semua datanya")</f>
        <v>Saat buat akun baru terjadi error aplikasiitu harus bagamanapadahal sudah di isi semua datanya</v>
      </c>
      <c r="G89" s="18" t="str">
        <f>IFERROR(__xludf.DUMMYFUNCTION("REGEXREPLACE(F89,$A$7, )"),"Saat buat akun baru terjadi error aplikasiitu harus bagamanapadahal sudah di isi semua datanya")</f>
        <v>Saat buat akun baru terjadi error aplikasiitu harus bagamanapadahal sudah di isi semua datanya</v>
      </c>
      <c r="H89" s="17" t="str">
        <f t="shared" si="1"/>
        <v>saat buat akun baru terjadi error aplikasiitu harus bagamanapadahal sudah di isi semua datanya</v>
      </c>
    </row>
    <row r="90">
      <c r="A90" s="16" t="s">
        <v>84</v>
      </c>
      <c r="B90" s="17" t="str">
        <f>IFERROR(__xludf.DUMMYFUNCTION("REGEXREPLACE(A90,$A$2, )"),"Aplikasinya Bagus, Saran Aku Sih Tambahin Fitur Pencarian Menggunakan NIK dan Nama Karena Banyak Orang Yang Memiliki Nama Yang sama, Dan Juga Sertakan Nama Tempat Pengambilan Bansosnya, Sekian Terimakasih :)")</f>
        <v>Aplikasinya Bagus, Saran Aku Sih Tambahin Fitur Pencarian Menggunakan NIK dan Nama Karena Banyak Orang Yang Memiliki Nama Yang sama, Dan Juga Sertakan Nama Tempat Pengambilan Bansosnya, Sekian Terimakasih :)</v>
      </c>
      <c r="C90" s="17" t="str">
        <f>IFERROR(__xludf.DUMMYFUNCTION("REGEXREPLACE(B90,$A$3, )"),"Aplikasinya Bagus, Saran Aku Sih Tambahin Fitur Pencarian Menggunakan NIK dan Nama Karena Banyak Orang Yang Memiliki Nama Yang sama, Dan Juga Sertakan Nama Tempat Pengambilan Bansosnya, Sekian Terimakasih :)")</f>
        <v>Aplikasinya Bagus, Saran Aku Sih Tambahin Fitur Pencarian Menggunakan NIK dan Nama Karena Banyak Orang Yang Memiliki Nama Yang sama, Dan Juga Sertakan Nama Tempat Pengambilan Bansosnya, Sekian Terimakasih :)</v>
      </c>
      <c r="D90" s="17" t="str">
        <f>IFERROR(__xludf.DUMMYFUNCTION("REGEXREPLACE(C90,$A$4, )"),"Aplikasinya Bagus, Saran Aku Sih Tambahin Fitur Pencarian Menggunakan NIK dan Nama Karena Banyak Orang Yang Memiliki Nama Yang sama, Dan Juga Sertakan Nama Tempat Pengambilan Bansosnya, Sekian Terimakasih :)")</f>
        <v>Aplikasinya Bagus, Saran Aku Sih Tambahin Fitur Pencarian Menggunakan NIK dan Nama Karena Banyak Orang Yang Memiliki Nama Yang sama, Dan Juga Sertakan Nama Tempat Pengambilan Bansosnya, Sekian Terimakasih :)</v>
      </c>
      <c r="E90" s="17" t="str">
        <f>IFERROR(__xludf.DUMMYFUNCTION("REGEXREPLACE(D90,$A$5, )"),"Aplikasinya Bagus, Saran Aku Sih Tambahin Fitur Pencarian Menggunakan NIK dan Nama Karena Banyak Orang Yang Memiliki Nama Yang sama, Dan Juga Sertakan Nama Tempat Pengambilan Bansosnya, Sekian Terimakasih :)")</f>
        <v>Aplikasinya Bagus, Saran Aku Sih Tambahin Fitur Pencarian Menggunakan NIK dan Nama Karena Banyak Orang Yang Memiliki Nama Yang sama, Dan Juga Sertakan Nama Tempat Pengambilan Bansosnya, Sekian Terimakasih :)</v>
      </c>
      <c r="F90" s="17" t="str">
        <f>IFERROR(__xludf.DUMMYFUNCTION("REGEXREPLACE(E90,$A$6, )"),"Aplikasinya Bagus Saran Aku Sih Tambahin Fitur Pencarian Menggunakan NIK dan Nama Karena Banyak Orang Yang Memiliki Nama Yang sama Dan Juga Sertakan Nama Tempat Pengambilan Bansosnya Sekian Terimakasih ")</f>
        <v>Aplikasinya Bagus Saran Aku Sih Tambahin Fitur Pencarian Menggunakan NIK dan Nama Karena Banyak Orang Yang Memiliki Nama Yang sama Dan Juga Sertakan Nama Tempat Pengambilan Bansosnya Sekian Terimakasih </v>
      </c>
      <c r="G90" s="18" t="str">
        <f>IFERROR(__xludf.DUMMYFUNCTION("REGEXREPLACE(F90,$A$7, )"),"Aplikasinya Bagus Saran Aku Sih Tambahin Fitur Pencarian Menggunakan NIK dan Nama Karena Banyak Orang Yang Memiliki Nama Yang sama Dan Juga Sertakan Nama Tempat Pengambilan Bansosnya Sekian Terimakasih ")</f>
        <v>Aplikasinya Bagus Saran Aku Sih Tambahin Fitur Pencarian Menggunakan NIK dan Nama Karena Banyak Orang Yang Memiliki Nama Yang sama Dan Juga Sertakan Nama Tempat Pengambilan Bansosnya Sekian Terimakasih </v>
      </c>
      <c r="H90" s="17" t="str">
        <f t="shared" si="1"/>
        <v>aplikasinya bagus saran aku sih tambahin fitur pencarian menggunakan nik dan nama karena banyak orang yang memiliki nama yang sama dan juga sertakan nama tempat pengambilan bansosnya sekian terimakasih </v>
      </c>
    </row>
    <row r="91">
      <c r="A91" s="16" t="s">
        <v>85</v>
      </c>
      <c r="B91" s="17" t="str">
        <f>IFERROR(__xludf.DUMMYFUNCTION("REGEXREPLACE(A91,$A$2, )"),"Bisa login tpi giliran daftar data usulan sudah lengkap jawabannya Aplikasi eror silahkan hubungi admin gtu trus😭😭😭 tolong dong di perbaiki lagi🙏🙏🙏")</f>
        <v>Bisa login tpi giliran daftar data usulan sudah lengkap jawabannya Aplikasi eror silahkan hubungi admin gtu trus😭😭😭 tolong dong di perbaiki lagi🙏🙏🙏</v>
      </c>
      <c r="C91" s="17" t="str">
        <f>IFERROR(__xludf.DUMMYFUNCTION("REGEXREPLACE(B91,$A$3, )"),"Bisa login tpi giliran daftar data usulan sudah lengkap jawabannya Aplikasi eror silahkan hubungi admin gtu trus😭😭😭 tolong dong di perbaiki lagi🙏🙏🙏")</f>
        <v>Bisa login tpi giliran daftar data usulan sudah lengkap jawabannya Aplikasi eror silahkan hubungi admin gtu trus😭😭😭 tolong dong di perbaiki lagi🙏🙏🙏</v>
      </c>
      <c r="D91" s="17" t="str">
        <f>IFERROR(__xludf.DUMMYFUNCTION("REGEXREPLACE(C91,$A$4, )"),"Bisa login tpi giliran daftar data usulan sudah lengkap jawabannya Aplikasi eror silahkan hubungi admin gtu trus😭😭😭 tolong dong di perbaiki lagi🙏🙏🙏")</f>
        <v>Bisa login tpi giliran daftar data usulan sudah lengkap jawabannya Aplikasi eror silahkan hubungi admin gtu trus😭😭😭 tolong dong di perbaiki lagi🙏🙏🙏</v>
      </c>
      <c r="E91" s="17" t="str">
        <f>IFERROR(__xludf.DUMMYFUNCTION("REGEXREPLACE(D91,$A$5, )"),"Bisa login tpi giliran daftar data usulan sudah lengkap jawabannya Aplikasi eror silahkan hubungi admin gtu trus😭😭😭 tolong dong di perbaiki lagi🙏🙏🙏")</f>
        <v>Bisa login tpi giliran daftar data usulan sudah lengkap jawabannya Aplikasi eror silahkan hubungi admin gtu trus😭😭😭 tolong dong di perbaiki lagi🙏🙏🙏</v>
      </c>
      <c r="F91" s="17" t="str">
        <f>IFERROR(__xludf.DUMMYFUNCTION("REGEXREPLACE(E91,$A$6, )"),"Bisa login tpi giliran daftar data usulan sudah lengkap jawabannya Aplikasi eror silahkan hubungi admin gtu trus😭😭😭 tolong dong di perbaiki lagi🙏🙏🙏")</f>
        <v>Bisa login tpi giliran daftar data usulan sudah lengkap jawabannya Aplikasi eror silahkan hubungi admin gtu trus😭😭😭 tolong dong di perbaiki lagi🙏🙏🙏</v>
      </c>
      <c r="G91" s="18" t="str">
        <f>IFERROR(__xludf.DUMMYFUNCTION("REGEXREPLACE(F91,$A$7, )"),"Bisa login tpi giliran daftar data usulan sudah lengkap jawabannya Aplikasi eror silahkan hubungi admin gtu trus tolong dong di perbaiki lagi")</f>
        <v>Bisa login tpi giliran daftar data usulan sudah lengkap jawabannya Aplikasi eror silahkan hubungi admin gtu trus tolong dong di perbaiki lagi</v>
      </c>
      <c r="H91" s="17" t="str">
        <f t="shared" si="1"/>
        <v>bisa login tpi giliran daftar data usulan sudah lengkap jawabannya aplikasi eror silahkan hubungi admin gtu trus tolong dong di perbaiki lagi</v>
      </c>
    </row>
    <row r="92">
      <c r="A92" s="16" t="s">
        <v>86</v>
      </c>
      <c r="B92" s="17" t="str">
        <f>IFERROR(__xludf.DUMMYFUNCTION("REGEXREPLACE(A92,$A$2, )"),"M'f sebelumnya saya sudah mendaftar lewat apps ini ttpi knp respn densos blm cek juga? Sekali lagi m'f tolong d pengecekan yg dapat bantuan d ksih dusun &amp; Rt masalahnya 1 desa namanya banyk yg sama biar jelasna, terus biar tau orang itu benar pantas dapat"&amp;" bantuan atau tidk.")</f>
        <v>M'f sebelumnya saya sudah mendaftar lewat apps ini ttpi knp respn densos blm cek juga? Sekali lagi m'f tolong d pengecekan yg dapat bantuan d ksih dusun &amp; Rt masalahnya 1 desa namanya banyk yg sama biar jelasna, terus biar tau orang itu benar pantas dapat bantuan atau tidk.</v>
      </c>
      <c r="C92" s="17" t="str">
        <f>IFERROR(__xludf.DUMMYFUNCTION("REGEXREPLACE(B92,$A$3, )"),"M'f sebelumnya saya sudah mendaftar lewat apps ini ttpi knp respn densos blm cek juga? Sekali lagi m'f tolong d pengecekan yg dapat bantuan d ksih dusun &amp; Rt masalahnya 1 desa namanya banyk yg sama biar jelasna, terus biar tau orang itu benar pantas dapat"&amp;" bantuan atau tidk.")</f>
        <v>M'f sebelumnya saya sudah mendaftar lewat apps ini ttpi knp respn densos blm cek juga? Sekali lagi m'f tolong d pengecekan yg dapat bantuan d ksih dusun &amp; Rt masalahnya 1 desa namanya banyk yg sama biar jelasna, terus biar tau orang itu benar pantas dapat bantuan atau tidk.</v>
      </c>
      <c r="D92" s="17" t="str">
        <f>IFERROR(__xludf.DUMMYFUNCTION("REGEXREPLACE(C92,$A$4, )"),"M'f sebelumnya saya sudah mendaftar lewat apps ini ttpi knp respn densos blm cek juga? Sekali lagi m'f tolong d pengecekan yg dapat bantuan d ksih dusun &amp; Rt masalahnya 1 desa namanya banyk yg sama biar jelasna, terus biar tau orang itu benar pantas dapat"&amp;" bantuan atau tidk.")</f>
        <v>M'f sebelumnya saya sudah mendaftar lewat apps ini ttpi knp respn densos blm cek juga? Sekali lagi m'f tolong d pengecekan yg dapat bantuan d ksih dusun &amp; Rt masalahnya 1 desa namanya banyk yg sama biar jelasna, terus biar tau orang itu benar pantas dapat bantuan atau tidk.</v>
      </c>
      <c r="E92" s="17" t="str">
        <f>IFERROR(__xludf.DUMMYFUNCTION("REGEXREPLACE(D92,$A$5, )"),"M'f sebelumnya saya sudah mendaftar lewat apps ini ttpi knp respn densos blm cek juga? Sekali lagi m'f tolong d pengecekan yg dapat bantuan d ksih dusun &amp; Rt masalahnya  desa namanya banyk yg sama biar jelasna, terus biar tau orang itu benar pantas dapat "&amp;"bantuan atau tidk.")</f>
        <v>M'f sebelumnya saya sudah mendaftar lewat apps ini ttpi knp respn densos blm cek juga? Sekali lagi m'f tolong d pengecekan yg dapat bantuan d ksih dusun &amp; Rt masalahnya  desa namanya banyk yg sama biar jelasna, terus biar tau orang itu benar pantas dapat bantuan atau tidk.</v>
      </c>
      <c r="F92" s="17" t="str">
        <f>IFERROR(__xludf.DUMMYFUNCTION("REGEXREPLACE(E92,$A$6, )"),"Mf sebelumnya saya sudah mendaftar lewat apps ini ttpi knp respn densos blm cek juga Sekali lagi mf tolong d pengecekan yg dapat bantuan d ksih dusun &amp; Rt masalahnya  desa namanya banyk yg sama biar jelasna terus biar tau orang itu benar pantas dapat bant"&amp;"uan atau tidk")</f>
        <v>Mf sebelumnya saya sudah mendaftar lewat apps ini ttpi knp respn densos blm cek juga Sekali lagi mf tolong d pengecekan yg dapat bantuan d ksih dusun &amp; Rt masalahnya  desa namanya banyk yg sama biar jelasna terus biar tau orang itu benar pantas dapat bantuan atau tidk</v>
      </c>
      <c r="G92" s="18" t="str">
        <f>IFERROR(__xludf.DUMMYFUNCTION("REGEXREPLACE(F92,$A$7, )"),"Mf sebelumnya saya sudah mendaftar lewat apps ini ttpi knp respn densos blm cek juga Sekali lagi mf tolong d pengecekan yg dapat bantuan d ksih dusun &amp; Rt masalahnya  desa namanya banyk yg sama biar jelasna terus biar tau orang itu benar pantas dapat bant"&amp;"uan atau tidk")</f>
        <v>Mf sebelumnya saya sudah mendaftar lewat apps ini ttpi knp respn densos blm cek juga Sekali lagi mf tolong d pengecekan yg dapat bantuan d ksih dusun &amp; Rt masalahnya  desa namanya banyk yg sama biar jelasna terus biar tau orang itu benar pantas dapat bantuan atau tidk</v>
      </c>
      <c r="H92" s="17" t="str">
        <f t="shared" si="1"/>
        <v>mf sebelumnya saya sudah mendaftar lewat apps ini ttpi knp respn densos blm cek juga sekali lagi mf tolong d pengecekan yg dapat bantuan d ksih dusun &amp; rt masalahnya  desa namanya banyk yg sama biar jelasna terus biar tau orang itu benar pantas dapat bantuan atau tidk</v>
      </c>
    </row>
    <row r="93">
      <c r="A93" s="16" t="s">
        <v>87</v>
      </c>
      <c r="B93" s="17" t="str">
        <f>IFERROR(__xludf.DUMMYFUNCTION("REGEXREPLACE(A93,$A$2, )"),"Untuk Yth developer, Ada kendala saat mendaftar, Selalu eror. Semoga cepat di atasi Terimakasih")</f>
        <v>Untuk Yth developer, Ada kendala saat mendaftar, Selalu eror. Semoga cepat di atasi Terimakasih</v>
      </c>
      <c r="C93" s="17" t="str">
        <f>IFERROR(__xludf.DUMMYFUNCTION("REGEXREPLACE(B93,$A$3, )"),"Untuk Yth developer, Ada kendala saat mendaftar, Selalu eror. Semoga cepat di atasi Terimakasih")</f>
        <v>Untuk Yth developer, Ada kendala saat mendaftar, Selalu eror. Semoga cepat di atasi Terimakasih</v>
      </c>
      <c r="D93" s="17" t="str">
        <f>IFERROR(__xludf.DUMMYFUNCTION("REGEXREPLACE(C93,$A$4, )"),"Untuk Yth developer, Ada kendala saat mendaftar, Selalu eror. Semoga cepat di atasi Terimakasih")</f>
        <v>Untuk Yth developer, Ada kendala saat mendaftar, Selalu eror. Semoga cepat di atasi Terimakasih</v>
      </c>
      <c r="E93" s="17" t="str">
        <f>IFERROR(__xludf.DUMMYFUNCTION("REGEXREPLACE(D93,$A$5, )"),"Untuk Yth developer, Ada kendala saat mendaftar, Selalu eror. Semoga cepat di atasi Terimakasih")</f>
        <v>Untuk Yth developer, Ada kendala saat mendaftar, Selalu eror. Semoga cepat di atasi Terimakasih</v>
      </c>
      <c r="F93" s="17" t="str">
        <f>IFERROR(__xludf.DUMMYFUNCTION("REGEXREPLACE(E93,$A$6, )"),"Untuk Yth developer Ada kendala saat mendaftar Selalu eror Semoga cepat di atasi Terimakasih")</f>
        <v>Untuk Yth developer Ada kendala saat mendaftar Selalu eror Semoga cepat di atasi Terimakasih</v>
      </c>
      <c r="G93" s="18" t="str">
        <f>IFERROR(__xludf.DUMMYFUNCTION("REGEXREPLACE(F93,$A$7, )"),"Untuk Yth developer Ada kendala saat mendaftar Selalu eror Semoga cepat di atasi Terimakasih")</f>
        <v>Untuk Yth developer Ada kendala saat mendaftar Selalu eror Semoga cepat di atasi Terimakasih</v>
      </c>
      <c r="H93" s="17" t="str">
        <f t="shared" si="1"/>
        <v>untuk yth developer ada kendala saat mendaftar selalu eror semoga cepat di atasi terimakasih</v>
      </c>
    </row>
    <row r="94">
      <c r="A94" s="16" t="s">
        <v>88</v>
      </c>
      <c r="B94" s="17" t="str">
        <f>IFERROR(__xludf.DUMMYFUNCTION("REGEXREPLACE(A94,$A$2, )"),"Saya sudah coba mengusulkan sudah beberapa minggu lalu tp blm dicek dinsos. Saya mengusulkan karena belum tersentuh sama sekali")</f>
        <v>Saya sudah coba mengusulkan sudah beberapa minggu lalu tp blm dicek dinsos. Saya mengusulkan karena belum tersentuh sama sekali</v>
      </c>
      <c r="C94" s="17" t="str">
        <f>IFERROR(__xludf.DUMMYFUNCTION("REGEXREPLACE(B94,$A$3, )"),"Saya sudah coba mengusulkan sudah beberapa minggu lalu tp blm dicek dinsos. Saya mengusulkan karena belum tersentuh sama sekali")</f>
        <v>Saya sudah coba mengusulkan sudah beberapa minggu lalu tp blm dicek dinsos. Saya mengusulkan karena belum tersentuh sama sekali</v>
      </c>
      <c r="D94" s="17" t="str">
        <f>IFERROR(__xludf.DUMMYFUNCTION("REGEXREPLACE(C94,$A$4, )"),"Saya sudah coba mengusulkan sudah beberapa minggu lalu tp blm dicek dinsos. Saya mengusulkan karena belum tersentuh sama sekali")</f>
        <v>Saya sudah coba mengusulkan sudah beberapa minggu lalu tp blm dicek dinsos. Saya mengusulkan karena belum tersentuh sama sekali</v>
      </c>
      <c r="E94" s="17" t="str">
        <f>IFERROR(__xludf.DUMMYFUNCTION("REGEXREPLACE(D94,$A$5, )"),"Saya sudah coba mengusulkan sudah beberapa minggu lalu tp blm dicek dinsos. Saya mengusulkan karena belum tersentuh sama sekali")</f>
        <v>Saya sudah coba mengusulkan sudah beberapa minggu lalu tp blm dicek dinsos. Saya mengusulkan karena belum tersentuh sama sekali</v>
      </c>
      <c r="F94" s="17" t="str">
        <f>IFERROR(__xludf.DUMMYFUNCTION("REGEXREPLACE(E94,$A$6, )"),"Saya sudah coba mengusulkan sudah beberapa minggu lalu tp blm dicek dinsos Saya mengusulkan karena belum tersentuh sama sekali")</f>
        <v>Saya sudah coba mengusulkan sudah beberapa minggu lalu tp blm dicek dinsos Saya mengusulkan karena belum tersentuh sama sekali</v>
      </c>
      <c r="G94" s="18" t="str">
        <f>IFERROR(__xludf.DUMMYFUNCTION("REGEXREPLACE(F94,$A$7, )"),"Saya sudah coba mengusulkan sudah beberapa minggu lalu tp blm dicek dinsos Saya mengusulkan karena belum tersentuh sama sekali")</f>
        <v>Saya sudah coba mengusulkan sudah beberapa minggu lalu tp blm dicek dinsos Saya mengusulkan karena belum tersentuh sama sekali</v>
      </c>
      <c r="H94" s="17" t="str">
        <f t="shared" si="1"/>
        <v>saya sudah coba mengusulkan sudah beberapa minggu lalu tp blm dicek dinsos saya mengusulkan karena belum tersentuh sama sekali</v>
      </c>
    </row>
    <row r="95">
      <c r="A95" s="16" t="s">
        <v>89</v>
      </c>
      <c r="B95" s="17" t="str">
        <f>IFERROR(__xludf.DUMMYFUNCTION("REGEXREPLACE(A95,$A$2, )"),"Kenapa muncul kesalahan aplikasi ketika ingin menambahkan usulan,, mohon admin diperbaiki... Selebihnya lancar hanya kendala dipenambah usulan saja")</f>
        <v>Kenapa muncul kesalahan aplikasi ketika ingin menambahkan usulan,, mohon admin diperbaiki... Selebihnya lancar hanya kendala dipenambah usulan saja</v>
      </c>
      <c r="C95" s="17" t="str">
        <f>IFERROR(__xludf.DUMMYFUNCTION("REGEXREPLACE(B95,$A$3, )"),"Kenapa muncul kesalahan aplikasi ketika ingin menambahkan usulan,, mohon admin diperbaiki... Selebihnya lancar hanya kendala dipenambah usulan saja")</f>
        <v>Kenapa muncul kesalahan aplikasi ketika ingin menambahkan usulan,, mohon admin diperbaiki... Selebihnya lancar hanya kendala dipenambah usulan saja</v>
      </c>
      <c r="D95" s="17" t="str">
        <f>IFERROR(__xludf.DUMMYFUNCTION("REGEXREPLACE(C95,$A$4, )"),"Kenapa muncul kesalahan aplikasi ketika ingin menambahkan usulan,, mohon admin diperbaiki... Selebihnya lancar hanya kendala dipenambah usulan saja")</f>
        <v>Kenapa muncul kesalahan aplikasi ketika ingin menambahkan usulan,, mohon admin diperbaiki... Selebihnya lancar hanya kendala dipenambah usulan saja</v>
      </c>
      <c r="E95" s="17" t="str">
        <f>IFERROR(__xludf.DUMMYFUNCTION("REGEXREPLACE(D95,$A$5, )"),"Kenapa muncul kesalahan aplikasi ketika ingin menambahkan usulan,, mohon admin diperbaiki... Selebihnya lancar hanya kendala dipenambah usulan saja")</f>
        <v>Kenapa muncul kesalahan aplikasi ketika ingin menambahkan usulan,, mohon admin diperbaiki... Selebihnya lancar hanya kendala dipenambah usulan saja</v>
      </c>
      <c r="F95" s="17" t="str">
        <f>IFERROR(__xludf.DUMMYFUNCTION("REGEXREPLACE(E95,$A$6, )"),"Kenapa muncul kesalahan aplikasi ketika ingin menambahkan usulan mohon admin diperbaiki Selebihnya lancar hanya kendala dipenambah usulan saja")</f>
        <v>Kenapa muncul kesalahan aplikasi ketika ingin menambahkan usulan mohon admin diperbaiki Selebihnya lancar hanya kendala dipenambah usulan saja</v>
      </c>
      <c r="G95" s="18" t="str">
        <f>IFERROR(__xludf.DUMMYFUNCTION("REGEXREPLACE(F95,$A$7, )"),"Kenapa muncul kesalahan aplikasi ketika ingin menambahkan usulan mohon admin diperbaiki Selebihnya lancar hanya kendala dipenambah usulan saja")</f>
        <v>Kenapa muncul kesalahan aplikasi ketika ingin menambahkan usulan mohon admin diperbaiki Selebihnya lancar hanya kendala dipenambah usulan saja</v>
      </c>
      <c r="H95" s="17" t="str">
        <f t="shared" si="1"/>
        <v>kenapa muncul kesalahan aplikasi ketika ingin menambahkan usulan mohon admin diperbaiki selebihnya lancar hanya kendala dipenambah usulan saja</v>
      </c>
    </row>
    <row r="96">
      <c r="A96" s="16" t="s">
        <v>90</v>
      </c>
      <c r="B96" s="17" t="str">
        <f>IFERROR(__xludf.DUMMYFUNCTION("REGEXREPLACE(A96,$A$2, )"),"Mau daftar buat akun aja gagal terus keterangan nya aplikasi error' di suruh hubungi admin tp GK ada tulisan admin di aplikasi")</f>
        <v>Mau daftar buat akun aja gagal terus keterangan nya aplikasi error' di suruh hubungi admin tp GK ada tulisan admin di aplikasi</v>
      </c>
      <c r="C96" s="17" t="str">
        <f>IFERROR(__xludf.DUMMYFUNCTION("REGEXREPLACE(B96,$A$3, )"),"Mau daftar buat akun aja gagal terus keterangan nya aplikasi error' di suruh hubungi admin tp GK ada tulisan admin di aplikasi")</f>
        <v>Mau daftar buat akun aja gagal terus keterangan nya aplikasi error' di suruh hubungi admin tp GK ada tulisan admin di aplikasi</v>
      </c>
      <c r="D96" s="17" t="str">
        <f>IFERROR(__xludf.DUMMYFUNCTION("REGEXREPLACE(C96,$A$4, )"),"Mau daftar buat akun aja gagal terus keterangan nya aplikasi error' di suruh hubungi admin tp GK ada tulisan admin di aplikasi")</f>
        <v>Mau daftar buat akun aja gagal terus keterangan nya aplikasi error' di suruh hubungi admin tp GK ada tulisan admin di aplikasi</v>
      </c>
      <c r="E96" s="17" t="str">
        <f>IFERROR(__xludf.DUMMYFUNCTION("REGEXREPLACE(D96,$A$5, )"),"Mau daftar buat akun aja gagal terus keterangan nya aplikasi error' di suruh hubungi admin tp GK ada tulisan admin di aplikasi")</f>
        <v>Mau daftar buat akun aja gagal terus keterangan nya aplikasi error' di suruh hubungi admin tp GK ada tulisan admin di aplikasi</v>
      </c>
      <c r="F96" s="17" t="str">
        <f>IFERROR(__xludf.DUMMYFUNCTION("REGEXREPLACE(E96,$A$6, )"),"Mau daftar buat akun aja gagal terus keterangan nya aplikasi error di suruh hubungi admin tp GK ada tulisan admin di aplikasi")</f>
        <v>Mau daftar buat akun aja gagal terus keterangan nya aplikasi error di suruh hubungi admin tp GK ada tulisan admin di aplikasi</v>
      </c>
      <c r="G96" s="18" t="str">
        <f>IFERROR(__xludf.DUMMYFUNCTION("REGEXREPLACE(F96,$A$7, )"),"Mau daftar buat akun aja gagal terus keterangan nya aplikasi error di suruh hubungi admin tp GK ada tulisan admin di aplikasi")</f>
        <v>Mau daftar buat akun aja gagal terus keterangan nya aplikasi error di suruh hubungi admin tp GK ada tulisan admin di aplikasi</v>
      </c>
      <c r="H96" s="17" t="str">
        <f t="shared" si="1"/>
        <v>mau daftar buat akun aja gagal terus keterangan nya aplikasi error di suruh hubungi admin tp gk ada tulisan admin di aplikasi</v>
      </c>
    </row>
    <row r="97">
      <c r="A97" s="16" t="s">
        <v>91</v>
      </c>
      <c r="B97" s="17" t="str">
        <f>IFERROR(__xludf.DUMMYFUNCTION("REGEXREPLACE(A97,$A$2, )"),"Alhamdulilah pendaftaran lancar. Dan langsung diverifikasi. Dan usulan juga lancar Mudah mudahan lancar semua. Aamin aamin")</f>
        <v>Alhamdulilah pendaftaran lancar. Dan langsung diverifikasi. Dan usulan juga lancar Mudah mudahan lancar semua. Aamin aamin</v>
      </c>
      <c r="C97" s="17" t="str">
        <f>IFERROR(__xludf.DUMMYFUNCTION("REGEXREPLACE(B97,$A$3, )"),"Alhamdulilah pendaftaran lancar. Dan langsung diverifikasi. Dan usulan juga lancar Mudah mudahan lancar semua. Aamin aamin")</f>
        <v>Alhamdulilah pendaftaran lancar. Dan langsung diverifikasi. Dan usulan juga lancar Mudah mudahan lancar semua. Aamin aamin</v>
      </c>
      <c r="D97" s="17" t="str">
        <f>IFERROR(__xludf.DUMMYFUNCTION("REGEXREPLACE(C97,$A$4, )"),"Alhamdulilah pendaftaran lancar. Dan langsung diverifikasi. Dan usulan juga lancar Mudah mudahan lancar semua. Aamin aamin")</f>
        <v>Alhamdulilah pendaftaran lancar. Dan langsung diverifikasi. Dan usulan juga lancar Mudah mudahan lancar semua. Aamin aamin</v>
      </c>
      <c r="E97" s="17" t="str">
        <f>IFERROR(__xludf.DUMMYFUNCTION("REGEXREPLACE(D97,$A$5, )"),"Alhamdulilah pendaftaran lancar. Dan langsung diverifikasi. Dan usulan juga lancar Mudah mudahan lancar semua. Aamin aamin")</f>
        <v>Alhamdulilah pendaftaran lancar. Dan langsung diverifikasi. Dan usulan juga lancar Mudah mudahan lancar semua. Aamin aamin</v>
      </c>
      <c r="F97" s="17" t="str">
        <f>IFERROR(__xludf.DUMMYFUNCTION("REGEXREPLACE(E97,$A$6, )"),"Alhamdulilah pendaftaran lancar Dan langsung diverifikasi Dan usulan juga lancar Mudah mudahan lancar semua Aamin aamin")</f>
        <v>Alhamdulilah pendaftaran lancar Dan langsung diverifikasi Dan usulan juga lancar Mudah mudahan lancar semua Aamin aamin</v>
      </c>
      <c r="G97" s="18" t="str">
        <f>IFERROR(__xludf.DUMMYFUNCTION("REGEXREPLACE(F97,$A$7, )"),"Alhamdulilah pendaftaran lancar Dan langsung diverifikasi Dan usulan juga lancar Mudah mudahan lancar semua Aamin aamin")</f>
        <v>Alhamdulilah pendaftaran lancar Dan langsung diverifikasi Dan usulan juga lancar Mudah mudahan lancar semua Aamin aamin</v>
      </c>
      <c r="H97" s="17" t="str">
        <f t="shared" si="1"/>
        <v>alhamdulilah pendaftaran lancar dan langsung diverifikasi dan usulan juga lancar mudah mudahan lancar semua aamin aamin</v>
      </c>
    </row>
    <row r="98">
      <c r="A98" s="16" t="s">
        <v>92</v>
      </c>
      <c r="B98" s="17" t="str">
        <f>IFERROR(__xludf.DUMMYFUNCTION("REGEXREPLACE(A98,$A$2, )"),"Sy sg suka karna sangat mudah untuk mengusulkan dan semoga cepat di respon saat mengusulkan mks.")</f>
        <v>Sy sg suka karna sangat mudah untuk mengusulkan dan semoga cepat di respon saat mengusulkan mks.</v>
      </c>
      <c r="C98" s="17" t="str">
        <f>IFERROR(__xludf.DUMMYFUNCTION("REGEXREPLACE(B98,$A$3, )"),"Sy sg suka karna sangat mudah untuk mengusulkan dan semoga cepat di respon saat mengusulkan mks.")</f>
        <v>Sy sg suka karna sangat mudah untuk mengusulkan dan semoga cepat di respon saat mengusulkan mks.</v>
      </c>
      <c r="D98" s="17" t="str">
        <f>IFERROR(__xludf.DUMMYFUNCTION("REGEXREPLACE(C98,$A$4, )"),"Sy sg suka karna sangat mudah untuk mengusulkan dan semoga cepat di respon saat mengusulkan mks.")</f>
        <v>Sy sg suka karna sangat mudah untuk mengusulkan dan semoga cepat di respon saat mengusulkan mks.</v>
      </c>
      <c r="E98" s="17" t="str">
        <f>IFERROR(__xludf.DUMMYFUNCTION("REGEXREPLACE(D98,$A$5, )"),"Sy sg suka karna sangat mudah untuk mengusulkan dan semoga cepat di respon saat mengusulkan mks.")</f>
        <v>Sy sg suka karna sangat mudah untuk mengusulkan dan semoga cepat di respon saat mengusulkan mks.</v>
      </c>
      <c r="F98" s="17" t="str">
        <f>IFERROR(__xludf.DUMMYFUNCTION("REGEXREPLACE(E98,$A$6, )"),"Sy sg suka karna sangat mudah untuk mengusulkan dan semoga cepat di respon saat mengusulkan mks")</f>
        <v>Sy sg suka karna sangat mudah untuk mengusulkan dan semoga cepat di respon saat mengusulkan mks</v>
      </c>
      <c r="G98" s="18" t="str">
        <f>IFERROR(__xludf.DUMMYFUNCTION("REGEXREPLACE(F98,$A$7, )"),"Sy sg suka karna sangat mudah untuk mengusulkan dan semoga cepat di respon saat mengusulkan mks")</f>
        <v>Sy sg suka karna sangat mudah untuk mengusulkan dan semoga cepat di respon saat mengusulkan mks</v>
      </c>
      <c r="H98" s="17" t="str">
        <f t="shared" si="1"/>
        <v>sy sg suka karna sangat mudah untuk mengusulkan dan semoga cepat di respon saat mengusulkan mks</v>
      </c>
    </row>
    <row r="99">
      <c r="A99" s="16" t="s">
        <v>93</v>
      </c>
      <c r="B99" s="17" t="str">
        <f>IFERROR(__xludf.DUMMYFUNCTION("REGEXREPLACE(A99,$A$2, )"),"Prtma kali usul, memang sangat susah, tapi saya tidak pantang menyerah, saya coba lagi,dan lagi, akhirnya bisa juga untuk mengusulkan, dan stlh satu bulan mendaftr, akhirnya bisa dapat juga, untuk teman- teman yang blm bisa atau eror, jangan pantang menye"&amp;"rah semoga saja bisa.")</f>
        <v>Prtma kali usul, memang sangat susah, tapi saya tidak pantang menyerah, saya coba lagi,dan lagi, akhirnya bisa juga untuk mengusulkan, dan stlh satu bulan mendaftr, akhirnya bisa dapat juga, untuk teman- teman yang blm bisa atau eror, jangan pantang menyerah semoga saja bisa.</v>
      </c>
      <c r="C99" s="17" t="str">
        <f>IFERROR(__xludf.DUMMYFUNCTION("REGEXREPLACE(B99,$A$3, )"),"Prtma kali usul, memang sangat susah, tapi saya tidak pantang menyerah, saya coba lagi,dan lagi, akhirnya bisa juga untuk mengusulkan, dan stlh satu bulan mendaftr, akhirnya bisa dapat juga, untuk teman- teman yang blm bisa atau eror, jangan pantang menye"&amp;"rah semoga saja bisa.")</f>
        <v>Prtma kali usul, memang sangat susah, tapi saya tidak pantang menyerah, saya coba lagi,dan lagi, akhirnya bisa juga untuk mengusulkan, dan stlh satu bulan mendaftr, akhirnya bisa dapat juga, untuk teman- teman yang blm bisa atau eror, jangan pantang menyerah semoga saja bisa.</v>
      </c>
      <c r="D99" s="17" t="str">
        <f>IFERROR(__xludf.DUMMYFUNCTION("REGEXREPLACE(C99,$A$4, )"),"Prtma kali usul, memang sangat susah, tapi saya tidak pantang menyerah, saya coba lagi,dan lagi, akhirnya bisa juga untuk mengusulkan, dan stlh satu bulan mendaftr, akhirnya bisa dapat juga, untuk teman- teman yang blm bisa atau eror, jangan pantang menye"&amp;"rah semoga saja bisa.")</f>
        <v>Prtma kali usul, memang sangat susah, tapi saya tidak pantang menyerah, saya coba lagi,dan lagi, akhirnya bisa juga untuk mengusulkan, dan stlh satu bulan mendaftr, akhirnya bisa dapat juga, untuk teman- teman yang blm bisa atau eror, jangan pantang menyerah semoga saja bisa.</v>
      </c>
      <c r="E99" s="17" t="str">
        <f>IFERROR(__xludf.DUMMYFUNCTION("REGEXREPLACE(D99,$A$5, )"),"Prtma kali usul, memang sangat susah, tapi saya tidak pantang menyerah, saya coba lagi,dan lagi, akhirnya bisa juga untuk mengusulkan, dan stlh satu bulan mendaftr, akhirnya bisa dapat juga, untuk teman- teman yang blm bisa atau eror, jangan pantang menye"&amp;"rah semoga saja bisa.")</f>
        <v>Prtma kali usul, memang sangat susah, tapi saya tidak pantang menyerah, saya coba lagi,dan lagi, akhirnya bisa juga untuk mengusulkan, dan stlh satu bulan mendaftr, akhirnya bisa dapat juga, untuk teman- teman yang blm bisa atau eror, jangan pantang menyerah semoga saja bisa.</v>
      </c>
      <c r="F99" s="17" t="str">
        <f>IFERROR(__xludf.DUMMYFUNCTION("REGEXREPLACE(E99,$A$6, )"),"Prtma kali usul memang sangat susah tapi saya tidak pantang menyerah saya coba lagidan lagi akhirnya bisa juga untuk mengusulkan dan stlh satu bulan mendaftr akhirnya bisa dapat juga untuk teman teman yang blm bisa atau eror jangan pantang menyerah semoga"&amp;" saja bisa")</f>
        <v>Prtma kali usul memang sangat susah tapi saya tidak pantang menyerah saya coba lagidan lagi akhirnya bisa juga untuk mengusulkan dan stlh satu bulan mendaftr akhirnya bisa dapat juga untuk teman teman yang blm bisa atau eror jangan pantang menyerah semoga saja bisa</v>
      </c>
      <c r="G99" s="18" t="str">
        <f>IFERROR(__xludf.DUMMYFUNCTION("REGEXREPLACE(F99,$A$7, )"),"Prtma kali usul memang sangat susah tapi saya tidak pantang menyerah saya coba lagidan lagi akhirnya bisa juga untuk mengusulkan dan stlh satu bulan mendaftr akhirnya bisa dapat juga untuk teman teman yang blm bisa atau eror jangan pantang menyerah semoga"&amp;" saja bisa")</f>
        <v>Prtma kali usul memang sangat susah tapi saya tidak pantang menyerah saya coba lagidan lagi akhirnya bisa juga untuk mengusulkan dan stlh satu bulan mendaftr akhirnya bisa dapat juga untuk teman teman yang blm bisa atau eror jangan pantang menyerah semoga saja bisa</v>
      </c>
      <c r="H99" s="17" t="str">
        <f t="shared" si="1"/>
        <v>prtma kali usul memang sangat susah tapi saya tidak pantang menyerah saya coba lagidan lagi akhirnya bisa juga untuk mengusulkan dan stlh satu bulan mendaftr akhirnya bisa dapat juga untuk teman teman yang blm bisa atau eror jangan pantang menyerah semoga saja bisa</v>
      </c>
    </row>
    <row r="100">
      <c r="A100" s="16" t="s">
        <v>94</v>
      </c>
      <c r="B100" s="17" t="str">
        <f>IFERROR(__xludf.DUMMYFUNCTION("REGEXREPLACE(A100,$A$2, )"),"Sangat membantu untuk meringankan biaya serta membantu mempermudah pengurusan bantuan")</f>
        <v>Sangat membantu untuk meringankan biaya serta membantu mempermudah pengurusan bantuan</v>
      </c>
      <c r="C100" s="17" t="str">
        <f>IFERROR(__xludf.DUMMYFUNCTION("REGEXREPLACE(B100,$A$3, )"),"Sangat membantu untuk meringankan biaya serta membantu mempermudah pengurusan bantuan")</f>
        <v>Sangat membantu untuk meringankan biaya serta membantu mempermudah pengurusan bantuan</v>
      </c>
      <c r="D100" s="17" t="str">
        <f>IFERROR(__xludf.DUMMYFUNCTION("REGEXREPLACE(C100,$A$4, )"),"Sangat membantu untuk meringankan biaya serta membantu mempermudah pengurusan bantuan")</f>
        <v>Sangat membantu untuk meringankan biaya serta membantu mempermudah pengurusan bantuan</v>
      </c>
      <c r="E100" s="17" t="str">
        <f>IFERROR(__xludf.DUMMYFUNCTION("REGEXREPLACE(D100,$A$5, )"),"Sangat membantu untuk meringankan biaya serta membantu mempermudah pengurusan bantuan")</f>
        <v>Sangat membantu untuk meringankan biaya serta membantu mempermudah pengurusan bantuan</v>
      </c>
      <c r="F100" s="17" t="str">
        <f>IFERROR(__xludf.DUMMYFUNCTION("REGEXREPLACE(E100,$A$6, )"),"Sangat membantu untuk meringankan biaya serta membantu mempermudah pengurusan bantuan")</f>
        <v>Sangat membantu untuk meringankan biaya serta membantu mempermudah pengurusan bantuan</v>
      </c>
      <c r="G100" s="18" t="str">
        <f>IFERROR(__xludf.DUMMYFUNCTION("REGEXREPLACE(F100,$A$7, )"),"Sangat membantu untuk meringankan biaya serta membantu mempermudah pengurusan bantuan")</f>
        <v>Sangat membantu untuk meringankan biaya serta membantu mempermudah pengurusan bantuan</v>
      </c>
      <c r="H100" s="17" t="str">
        <f t="shared" si="1"/>
        <v>sangat membantu untuk meringankan biaya serta membantu mempermudah pengurusan bantuan</v>
      </c>
    </row>
    <row r="101">
      <c r="A101" s="16" t="s">
        <v>95</v>
      </c>
      <c r="B101" s="17" t="str">
        <f>IFERROR(__xludf.DUMMYFUNCTION("REGEXREPLACE(A101,$A$2, )"),"Teeimakasih akhirnya saya bisa login cek bansos, setelah gagal beberapa kali daftar dari bulan april lalu, baru sekarang saya berhasil 😭")</f>
        <v>Teeimakasih akhirnya saya bisa login cek bansos, setelah gagal beberapa kali daftar dari bulan april lalu, baru sekarang saya berhasil 😭</v>
      </c>
      <c r="C101" s="17" t="str">
        <f>IFERROR(__xludf.DUMMYFUNCTION("REGEXREPLACE(B101,$A$3, )"),"Teeimakasih akhirnya saya bisa login cek bansos, setelah gagal beberapa kali daftar dari bulan april lalu, baru sekarang saya berhasil 😭")</f>
        <v>Teeimakasih akhirnya saya bisa login cek bansos, setelah gagal beberapa kali daftar dari bulan april lalu, baru sekarang saya berhasil 😭</v>
      </c>
      <c r="D101" s="17" t="str">
        <f>IFERROR(__xludf.DUMMYFUNCTION("REGEXREPLACE(C101,$A$4, )"),"Teeimakasih akhirnya saya bisa login cek bansos, setelah gagal beberapa kali daftar dari bulan april lalu, baru sekarang saya berhasil 😭")</f>
        <v>Teeimakasih akhirnya saya bisa login cek bansos, setelah gagal beberapa kali daftar dari bulan april lalu, baru sekarang saya berhasil 😭</v>
      </c>
      <c r="E101" s="17" t="str">
        <f>IFERROR(__xludf.DUMMYFUNCTION("REGEXREPLACE(D101,$A$5, )"),"Teeimakasih akhirnya saya bisa login cek bansos, setelah gagal beberapa kali daftar dari bulan april lalu, baru sekarang saya berhasil 😭")</f>
        <v>Teeimakasih akhirnya saya bisa login cek bansos, setelah gagal beberapa kali daftar dari bulan april lalu, baru sekarang saya berhasil 😭</v>
      </c>
      <c r="F101" s="17" t="str">
        <f>IFERROR(__xludf.DUMMYFUNCTION("REGEXREPLACE(E101,$A$6, )"),"Teeimakasih akhirnya saya bisa login cek bansos setelah gagal beberapa kali daftar dari bulan april lalu baru sekarang saya berhasil 😭")</f>
        <v>Teeimakasih akhirnya saya bisa login cek bansos setelah gagal beberapa kali daftar dari bulan april lalu baru sekarang saya berhasil 😭</v>
      </c>
      <c r="G101" s="18" t="str">
        <f>IFERROR(__xludf.DUMMYFUNCTION("REGEXREPLACE(F101,$A$7, )"),"Teeimakasih akhirnya saya bisa login cek bansos setelah gagal beberapa kali daftar dari bulan april lalu baru sekarang saya berhasil ")</f>
        <v>Teeimakasih akhirnya saya bisa login cek bansos setelah gagal beberapa kali daftar dari bulan april lalu baru sekarang saya berhasil </v>
      </c>
      <c r="H101" s="17" t="str">
        <f t="shared" si="1"/>
        <v>teeimakasih akhirnya saya bisa login cek bansos setelah gagal beberapa kali daftar dari bulan april lalu baru sekarang saya berhasil </v>
      </c>
    </row>
    <row r="102">
      <c r="A102" s="16" t="s">
        <v>96</v>
      </c>
      <c r="B102" s="17" t="str">
        <f>IFERROR(__xludf.DUMMYFUNCTION("REGEXREPLACE(A102,$A$2, )"),"Apl nya eror terus tolong di perbaiki saya membutuhkan bantuan anda supaya saya bisa dapet bansos saya tidak pernah dapet apa"" tolong di bantu pendaftaran nya semoga aplikasi nya brmanfaat buat masyarakat di desa Sudimampir lor orang desa nya pilkasi yg "&amp;"jadi bekel dapat bansos saya rakyat biasa kurang mampu tak dapat apapun")</f>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c r="C102" s="17" t="str">
        <f>IFERROR(__xludf.DUMMYFUNCTION("REGEXREPLACE(B102,$A$3, )"),"Apl nya eror terus tolong di perbaiki saya membutuhkan bantuan anda supaya saya bisa dapet bansos saya tidak pernah dapet apa"" tolong di bantu pendaftaran nya semoga aplikasi nya brmanfaat buat masyarakat di desa Sudimampir lor orang desa nya pilkasi yg "&amp;"jadi bekel dapat bansos saya rakyat biasa kurang mampu tak dapat apapun")</f>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c r="D102" s="17" t="str">
        <f>IFERROR(__xludf.DUMMYFUNCTION("REGEXREPLACE(C102,$A$4, )"),"Apl nya eror terus tolong di perbaiki saya membutuhkan bantuan anda supaya saya bisa dapet bansos saya tidak pernah dapet apa"" tolong di bantu pendaftaran nya semoga aplikasi nya brmanfaat buat masyarakat di desa Sudimampir lor orang desa nya pilkasi yg "&amp;"jadi bekel dapat bansos saya rakyat biasa kurang mampu tak dapat apapun")</f>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c r="E102" s="17" t="str">
        <f>IFERROR(__xludf.DUMMYFUNCTION("REGEXREPLACE(D102,$A$5, )"),"Apl nya eror terus tolong di perbaiki saya membutuhkan bantuan anda supaya saya bisa dapet bansos saya tidak pernah dapet apa"" tolong di bantu pendaftaran nya semoga aplikasi nya brmanfaat buat masyarakat di desa Sudimampir lor orang desa nya pilkasi yg "&amp;"jadi bekel dapat bansos saya rakyat biasa kurang mampu tak dapat apapun")</f>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c r="F102" s="17" t="str">
        <f>IFERROR(__xludf.DUMMYFUNCTION("REGEXREPLACE(E102,$A$6, )"),"Apl nya eror terus tolong di perbaiki saya membutuhkan bantuan anda supaya saya bisa dapet bansos saya tidak pernah dapet apa tolong di bantu pendaftaran nya semoga aplikasi nya brmanfaat buat masyarakat di desa Sudimampir lor orang desa nya pilkasi yg ja"&amp;"di bekel dapat bansos saya rakyat biasa kurang mampu tak dapat apapun")</f>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c r="G102" s="18" t="str">
        <f>IFERROR(__xludf.DUMMYFUNCTION("REGEXREPLACE(F102,$A$7, )"),"Apl nya eror terus tolong di perbaiki saya membutuhkan bantuan anda supaya saya bisa dapet bansos saya tidak pernah dapet apa tolong di bantu pendaftaran nya semoga aplikasi nya brmanfaat buat masyarakat di desa Sudimampir lor orang desa nya pilkasi yg ja"&amp;"di bekel dapat bansos saya rakyat biasa kurang mampu tak dapat apapun")</f>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c r="H102" s="17" t="str">
        <f t="shared" si="1"/>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row>
    <row r="103">
      <c r="A103" s="16" t="s">
        <v>97</v>
      </c>
      <c r="B103" s="17" t="str">
        <f>IFERROR(__xludf.DUMMYFUNCTION("REGEXREPLACE(A103,$A$2, )"),"Tolong segera di perbaiki, kenapa selalu aplikasi ""error segera hubungi admin""")</f>
        <v>Tolong segera di perbaiki, kenapa selalu aplikasi "error segera hubungi admin"</v>
      </c>
      <c r="C103" s="17" t="str">
        <f>IFERROR(__xludf.DUMMYFUNCTION("REGEXREPLACE(B103,$A$3, )"),"Tolong segera di perbaiki, kenapa selalu aplikasi ""error segera hubungi admin""")</f>
        <v>Tolong segera di perbaiki, kenapa selalu aplikasi "error segera hubungi admin"</v>
      </c>
      <c r="D103" s="17" t="str">
        <f>IFERROR(__xludf.DUMMYFUNCTION("REGEXREPLACE(C103,$A$4, )"),"Tolong segera di perbaiki, kenapa selalu aplikasi ""error segera hubungi admin""")</f>
        <v>Tolong segera di perbaiki, kenapa selalu aplikasi "error segera hubungi admin"</v>
      </c>
      <c r="E103" s="17" t="str">
        <f>IFERROR(__xludf.DUMMYFUNCTION("REGEXREPLACE(D103,$A$5, )"),"Tolong segera di perbaiki, kenapa selalu aplikasi ""error segera hubungi admin""")</f>
        <v>Tolong segera di perbaiki, kenapa selalu aplikasi "error segera hubungi admin"</v>
      </c>
      <c r="F103" s="17" t="str">
        <f>IFERROR(__xludf.DUMMYFUNCTION("REGEXREPLACE(E103,$A$6, )"),"Tolong segera di perbaiki kenapa selalu aplikasi error segera hubungi admin")</f>
        <v>Tolong segera di perbaiki kenapa selalu aplikasi error segera hubungi admin</v>
      </c>
      <c r="G103" s="18" t="str">
        <f>IFERROR(__xludf.DUMMYFUNCTION("REGEXREPLACE(F103,$A$7, )"),"Tolong segera di perbaiki kenapa selalu aplikasi error segera hubungi admin")</f>
        <v>Tolong segera di perbaiki kenapa selalu aplikasi error segera hubungi admin</v>
      </c>
      <c r="H103" s="17" t="str">
        <f t="shared" si="1"/>
        <v>tolong segera di perbaiki kenapa selalu aplikasi error segera hubungi admin</v>
      </c>
    </row>
    <row r="104">
      <c r="A104" s="16" t="s">
        <v>98</v>
      </c>
      <c r="B104" s="17" t="str">
        <f>IFERROR(__xludf.DUMMYFUNCTION("REGEXREPLACE(A104,$A$2, )"),"Susah Login nya walau pun udah dua kali buat akun. Sulit masuk apa Mempersulit masuk")</f>
        <v>Susah Login nya walau pun udah dua kali buat akun. Sulit masuk apa Mempersulit masuk</v>
      </c>
      <c r="C104" s="17" t="str">
        <f>IFERROR(__xludf.DUMMYFUNCTION("REGEXREPLACE(B104,$A$3, )"),"Susah Login nya walau pun udah dua kali buat akun. Sulit masuk apa Mempersulit masuk")</f>
        <v>Susah Login nya walau pun udah dua kali buat akun. Sulit masuk apa Mempersulit masuk</v>
      </c>
      <c r="D104" s="17" t="str">
        <f>IFERROR(__xludf.DUMMYFUNCTION("REGEXREPLACE(C104,$A$4, )"),"Susah Login nya walau pun udah dua kali buat akun. Sulit masuk apa Mempersulit masuk")</f>
        <v>Susah Login nya walau pun udah dua kali buat akun. Sulit masuk apa Mempersulit masuk</v>
      </c>
      <c r="E104" s="17" t="str">
        <f>IFERROR(__xludf.DUMMYFUNCTION("REGEXREPLACE(D104,$A$5, )"),"Susah Login nya walau pun udah dua kali buat akun. Sulit masuk apa Mempersulit masuk")</f>
        <v>Susah Login nya walau pun udah dua kali buat akun. Sulit masuk apa Mempersulit masuk</v>
      </c>
      <c r="F104" s="17" t="str">
        <f>IFERROR(__xludf.DUMMYFUNCTION("REGEXREPLACE(E104,$A$6, )"),"Susah Login nya walau pun udah dua kali buat akun Sulit masuk apa Mempersulit masuk")</f>
        <v>Susah Login nya walau pun udah dua kali buat akun Sulit masuk apa Mempersulit masuk</v>
      </c>
      <c r="G104" s="18" t="str">
        <f>IFERROR(__xludf.DUMMYFUNCTION("REGEXREPLACE(F104,$A$7, )"),"Susah Login nya walau pun udah dua kali buat akun Sulit masuk apa Mempersulit masuk")</f>
        <v>Susah Login nya walau pun udah dua kali buat akun Sulit masuk apa Mempersulit masuk</v>
      </c>
      <c r="H104" s="17" t="str">
        <f t="shared" si="1"/>
        <v>susah login nya walau pun udah dua kali buat akun sulit masuk apa mempersulit masuk</v>
      </c>
    </row>
    <row r="105">
      <c r="A105" s="16" t="s">
        <v>99</v>
      </c>
      <c r="B105" s="17" t="str">
        <f>IFERROR(__xludf.DUMMYFUNCTION("REGEXREPLACE(A105,$A$2, )"),"Kasih bintang lima saja walau pun hasil.nya mngecewakan tidak bisa daftar walau sudah di isi sesuai arahan tetep sulit..gatau LG deh gmana cara nya")</f>
        <v>Kasih bintang lima saja walau pun hasil.nya mngecewakan tidak bisa daftar walau sudah di isi sesuai arahan tetep sulit..gatau LG deh gmana cara nya</v>
      </c>
      <c r="C105" s="17" t="str">
        <f>IFERROR(__xludf.DUMMYFUNCTION("REGEXREPLACE(B105,$A$3, )"),"Kasih bintang lima saja walau pun hasil.nya mngecewakan tidak bisa daftar walau sudah di isi sesuai arahan tetep sulit..gatau LG deh gmana cara nya")</f>
        <v>Kasih bintang lima saja walau pun hasil.nya mngecewakan tidak bisa daftar walau sudah di isi sesuai arahan tetep sulit..gatau LG deh gmana cara nya</v>
      </c>
      <c r="D105" s="17" t="str">
        <f>IFERROR(__xludf.DUMMYFUNCTION("REGEXREPLACE(C105,$A$4, )"),"Kasih bintang lima saja walau pun hasil.nya mngecewakan tidak bisa daftar walau sudah di isi sesuai arahan tetep sulit..gatau LG deh gmana cara nya")</f>
        <v>Kasih bintang lima saja walau pun hasil.nya mngecewakan tidak bisa daftar walau sudah di isi sesuai arahan tetep sulit..gatau LG deh gmana cara nya</v>
      </c>
      <c r="E105" s="17" t="str">
        <f>IFERROR(__xludf.DUMMYFUNCTION("REGEXREPLACE(D105,$A$5, )"),"Kasih bintang lima saja walau pun hasil.nya mngecewakan tidak bisa daftar walau sudah di isi sesuai arahan tetep sulit..gatau LG deh gmana cara nya")</f>
        <v>Kasih bintang lima saja walau pun hasil.nya mngecewakan tidak bisa daftar walau sudah di isi sesuai arahan tetep sulit..gatau LG deh gmana cara nya</v>
      </c>
      <c r="F105" s="17" t="str">
        <f>IFERROR(__xludf.DUMMYFUNCTION("REGEXREPLACE(E105,$A$6, )"),"Kasih bintang lima saja walau pun hasilnya mngecewakan tidak bisa daftar walau sudah di isi sesuai arahan tetep sulitgatau LG deh gmana cara nya")</f>
        <v>Kasih bintang lima saja walau pun hasilnya mngecewakan tidak bisa daftar walau sudah di isi sesuai arahan tetep sulitgatau LG deh gmana cara nya</v>
      </c>
      <c r="G105" s="18" t="str">
        <f>IFERROR(__xludf.DUMMYFUNCTION("REGEXREPLACE(F105,$A$7, )"),"Kasih bintang lima saja walau pun hasilnya mngecewakan tidak bisa daftar walau sudah di isi sesuai arahan tetep sulitgatau LG deh gmana cara nya")</f>
        <v>Kasih bintang lima saja walau pun hasilnya mngecewakan tidak bisa daftar walau sudah di isi sesuai arahan tetep sulitgatau LG deh gmana cara nya</v>
      </c>
      <c r="H105" s="17" t="str">
        <f t="shared" si="1"/>
        <v>kasih bintang lima saja walau pun hasilnya mngecewakan tidak bisa daftar walau sudah di isi sesuai arahan tetep sulitgatau lg deh gmana cara nya</v>
      </c>
    </row>
    <row r="106">
      <c r="A106" s="16" t="s">
        <v>100</v>
      </c>
      <c r="B106" s="17" t="str">
        <f>IFERROR(__xludf.DUMMYFUNCTION("REGEXREPLACE(A106,$A$2, )"),"Sangat bermanfaat.. walaupun tidak ada data menerima bansos.. setidaknya tau daerah siapa aja yg menerima.. cuman bnyak salah sasaran tdk sesuai dgn data pusat")</f>
        <v>Sangat bermanfaat.. walaupun tidak ada data menerima bansos.. setidaknya tau daerah siapa aja yg menerima.. cuman bnyak salah sasaran tdk sesuai dgn data pusat</v>
      </c>
      <c r="C106" s="17" t="str">
        <f>IFERROR(__xludf.DUMMYFUNCTION("REGEXREPLACE(B106,$A$3, )"),"Sangat bermanfaat.. walaupun tidak ada data menerima bansos.. setidaknya tau daerah siapa aja yg menerima.. cuman bnyak salah sasaran tdk sesuai dgn data pusat")</f>
        <v>Sangat bermanfaat.. walaupun tidak ada data menerima bansos.. setidaknya tau daerah siapa aja yg menerima.. cuman bnyak salah sasaran tdk sesuai dgn data pusat</v>
      </c>
      <c r="D106" s="17" t="str">
        <f>IFERROR(__xludf.DUMMYFUNCTION("REGEXREPLACE(C106,$A$4, )"),"Sangat bermanfaat.. walaupun tidak ada data menerima bansos.. setidaknya tau daerah siapa aja yg menerima.. cuman bnyak salah sasaran tdk sesuai dgn data pusat")</f>
        <v>Sangat bermanfaat.. walaupun tidak ada data menerima bansos.. setidaknya tau daerah siapa aja yg menerima.. cuman bnyak salah sasaran tdk sesuai dgn data pusat</v>
      </c>
      <c r="E106" s="17" t="str">
        <f>IFERROR(__xludf.DUMMYFUNCTION("REGEXREPLACE(D106,$A$5, )"),"Sangat bermanfaat.. walaupun tidak ada data menerima bansos.. setidaknya tau daerah siapa aja yg menerima.. cuman bnyak salah sasaran tdk sesuai dgn data pusat")</f>
        <v>Sangat bermanfaat.. walaupun tidak ada data menerima bansos.. setidaknya tau daerah siapa aja yg menerima.. cuman bnyak salah sasaran tdk sesuai dgn data pusat</v>
      </c>
      <c r="F106" s="17" t="str">
        <f>IFERROR(__xludf.DUMMYFUNCTION("REGEXREPLACE(E106,$A$6, )"),"Sangat bermanfaat walaupun tidak ada data menerima bansos setidaknya tau daerah siapa aja yg menerima cuman bnyak salah sasaran tdk sesuai dgn data pusat")</f>
        <v>Sangat bermanfaat walaupun tidak ada data menerima bansos setidaknya tau daerah siapa aja yg menerima cuman bnyak salah sasaran tdk sesuai dgn data pusat</v>
      </c>
      <c r="G106" s="18" t="str">
        <f>IFERROR(__xludf.DUMMYFUNCTION("REGEXREPLACE(F106,$A$7, )"),"Sangat bermanfaat walaupun tidak ada data menerima bansos setidaknya tau daerah siapa aja yg menerima cuman bnyak salah sasaran tdk sesuai dgn data pusat")</f>
        <v>Sangat bermanfaat walaupun tidak ada data menerima bansos setidaknya tau daerah siapa aja yg menerima cuman bnyak salah sasaran tdk sesuai dgn data pusat</v>
      </c>
      <c r="H106" s="17" t="str">
        <f t="shared" si="1"/>
        <v>sangat bermanfaat walaupun tidak ada data menerima bansos setidaknya tau daerah siapa aja yg menerima cuman bnyak salah sasaran tdk sesuai dgn data pusat</v>
      </c>
    </row>
    <row r="107">
      <c r="A107" s="16" t="s">
        <v>101</v>
      </c>
      <c r="B107" s="17" t="str">
        <f>IFERROR(__xludf.DUMMYFUNCTION("REGEXREPLACE(A107,$A$2, )"),"Gak bisa login tolong di perbaharui tolong di perbaiki hak bisa login")</f>
        <v>Gak bisa login tolong di perbaharui tolong di perbaiki hak bisa login</v>
      </c>
      <c r="C107" s="17" t="str">
        <f>IFERROR(__xludf.DUMMYFUNCTION("REGEXREPLACE(B107,$A$3, )"),"Gak bisa login tolong di perbaharui tolong di perbaiki hak bisa login")</f>
        <v>Gak bisa login tolong di perbaharui tolong di perbaiki hak bisa login</v>
      </c>
      <c r="D107" s="17" t="str">
        <f>IFERROR(__xludf.DUMMYFUNCTION("REGEXREPLACE(C107,$A$4, )"),"Gak bisa login tolong di perbaharui tolong di perbaiki hak bisa login")</f>
        <v>Gak bisa login tolong di perbaharui tolong di perbaiki hak bisa login</v>
      </c>
      <c r="E107" s="17" t="str">
        <f>IFERROR(__xludf.DUMMYFUNCTION("REGEXREPLACE(D107,$A$5, )"),"Gak bisa login tolong di perbaharui tolong di perbaiki hak bisa login")</f>
        <v>Gak bisa login tolong di perbaharui tolong di perbaiki hak bisa login</v>
      </c>
      <c r="F107" s="17" t="str">
        <f>IFERROR(__xludf.DUMMYFUNCTION("REGEXREPLACE(E107,$A$6, )"),"Gak bisa login tolong di perbaharui tolong di perbaiki hak bisa login")</f>
        <v>Gak bisa login tolong di perbaharui tolong di perbaiki hak bisa login</v>
      </c>
      <c r="G107" s="18" t="str">
        <f>IFERROR(__xludf.DUMMYFUNCTION("REGEXREPLACE(F107,$A$7, )"),"Gak bisa login tolong di perbaharui tolong di perbaiki hak bisa login")</f>
        <v>Gak bisa login tolong di perbaharui tolong di perbaiki hak bisa login</v>
      </c>
      <c r="H107" s="17" t="str">
        <f t="shared" si="1"/>
        <v>gak bisa login tolong di perbaharui tolong di perbaiki hak bisa login</v>
      </c>
    </row>
    <row r="108">
      <c r="A108" s="16" t="s">
        <v>102</v>
      </c>
      <c r="B108" s="17" t="str">
        <f>IFERROR(__xludf.DUMMYFUNCTION("REGEXREPLACE(A108,$A$2, )"),"Ok aplikasinya cukup bagus dan simpel udah coba login dan berhasil...cuman verifikasi butuh waktu aja...")</f>
        <v>Ok aplikasinya cukup bagus dan simpel udah coba login dan berhasil...cuman verifikasi butuh waktu aja...</v>
      </c>
      <c r="C108" s="17" t="str">
        <f>IFERROR(__xludf.DUMMYFUNCTION("REGEXREPLACE(B108,$A$3, )"),"Ok aplikasinya cukup bagus dan simpel udah coba login dan berhasil...cuman verifikasi butuh waktu aja...")</f>
        <v>Ok aplikasinya cukup bagus dan simpel udah coba login dan berhasil...cuman verifikasi butuh waktu aja...</v>
      </c>
      <c r="D108" s="17" t="str">
        <f>IFERROR(__xludf.DUMMYFUNCTION("REGEXREPLACE(C108,$A$4, )"),"Ok aplikasinya cukup bagus dan simpel udah coba login dan berhasil...cuman verifikasi butuh waktu aja...")</f>
        <v>Ok aplikasinya cukup bagus dan simpel udah coba login dan berhasil...cuman verifikasi butuh waktu aja...</v>
      </c>
      <c r="E108" s="17" t="str">
        <f>IFERROR(__xludf.DUMMYFUNCTION("REGEXREPLACE(D108,$A$5, )"),"Ok aplikasinya cukup bagus dan simpel udah coba login dan berhasil...cuman verifikasi butuh waktu aja...")</f>
        <v>Ok aplikasinya cukup bagus dan simpel udah coba login dan berhasil...cuman verifikasi butuh waktu aja...</v>
      </c>
      <c r="F108" s="17" t="str">
        <f>IFERROR(__xludf.DUMMYFUNCTION("REGEXREPLACE(E108,$A$6, )"),"Ok aplikasinya cukup bagus dan simpel udah coba login dan berhasilcuman verifikasi butuh waktu aja")</f>
        <v>Ok aplikasinya cukup bagus dan simpel udah coba login dan berhasilcuman verifikasi butuh waktu aja</v>
      </c>
      <c r="G108" s="18" t="str">
        <f>IFERROR(__xludf.DUMMYFUNCTION("REGEXREPLACE(F108,$A$7, )"),"Ok aplikasinya cukup bagus dan simpel udah coba login dan berhasilcuman verifikasi butuh waktu aja")</f>
        <v>Ok aplikasinya cukup bagus dan simpel udah coba login dan berhasilcuman verifikasi butuh waktu aja</v>
      </c>
      <c r="H108" s="17" t="str">
        <f t="shared" si="1"/>
        <v>ok aplikasinya cukup bagus dan simpel udah coba login dan berhasilcuman verifikasi butuh waktu aja</v>
      </c>
    </row>
    <row r="109">
      <c r="A109" s="16" t="s">
        <v>103</v>
      </c>
      <c r="B109" s="17" t="str">
        <f>IFERROR(__xludf.DUMMYFUNCTION("REGEXREPLACE(A109,$A$2, )"),"Kok susah login padahal pasword sudah benar ,mohon di perbaiki perlu banget")</f>
        <v>Kok susah login padahal pasword sudah benar ,mohon di perbaiki perlu banget</v>
      </c>
      <c r="C109" s="17" t="str">
        <f>IFERROR(__xludf.DUMMYFUNCTION("REGEXREPLACE(B109,$A$3, )"),"Kok susah login padahal pasword sudah benar ,mohon di perbaiki perlu banget")</f>
        <v>Kok susah login padahal pasword sudah benar ,mohon di perbaiki perlu banget</v>
      </c>
      <c r="D109" s="17" t="str">
        <f>IFERROR(__xludf.DUMMYFUNCTION("REGEXREPLACE(C109,$A$4, )"),"Kok susah login padahal pasword sudah benar ,mohon di perbaiki perlu banget")</f>
        <v>Kok susah login padahal pasword sudah benar ,mohon di perbaiki perlu banget</v>
      </c>
      <c r="E109" s="17" t="str">
        <f>IFERROR(__xludf.DUMMYFUNCTION("REGEXREPLACE(D109,$A$5, )"),"Kok susah login padahal pasword sudah benar ,mohon di perbaiki perlu banget")</f>
        <v>Kok susah login padahal pasword sudah benar ,mohon di perbaiki perlu banget</v>
      </c>
      <c r="F109" s="17" t="str">
        <f>IFERROR(__xludf.DUMMYFUNCTION("REGEXREPLACE(E109,$A$6, )"),"Kok susah login padahal pasword sudah benar mohon di perbaiki perlu banget")</f>
        <v>Kok susah login padahal pasword sudah benar mohon di perbaiki perlu banget</v>
      </c>
      <c r="G109" s="18" t="str">
        <f>IFERROR(__xludf.DUMMYFUNCTION("REGEXREPLACE(F109,$A$7, )"),"Kok susah login padahal pasword sudah benar mohon di perbaiki perlu banget")</f>
        <v>Kok susah login padahal pasword sudah benar mohon di perbaiki perlu banget</v>
      </c>
      <c r="H109" s="17" t="str">
        <f t="shared" si="1"/>
        <v>kok susah login padahal pasword sudah benar mohon di perbaiki perlu banget</v>
      </c>
    </row>
    <row r="110">
      <c r="A110" s="16" t="s">
        <v>104</v>
      </c>
      <c r="B110" s="17" t="str">
        <f>IFERROR(__xludf.DUMMYFUNCTION("REGEXREPLACE(A110,$A$2, )"),"Berulang ulang loging gagal melulu padahal 3 minggu nunggu konfir tapi ga muncul juga")</f>
        <v>Berulang ulang loging gagal melulu padahal 3 minggu nunggu konfir tapi ga muncul juga</v>
      </c>
      <c r="C110" s="17" t="str">
        <f>IFERROR(__xludf.DUMMYFUNCTION("REGEXREPLACE(B110,$A$3, )"),"Berulang ulang loging gagal melulu padahal 3 minggu nunggu konfir tapi ga muncul juga")</f>
        <v>Berulang ulang loging gagal melulu padahal 3 minggu nunggu konfir tapi ga muncul juga</v>
      </c>
      <c r="D110" s="17" t="str">
        <f>IFERROR(__xludf.DUMMYFUNCTION("REGEXREPLACE(C110,$A$4, )"),"Berulang ulang loging gagal melulu padahal 3 minggu nunggu konfir tapi ga muncul juga")</f>
        <v>Berulang ulang loging gagal melulu padahal 3 minggu nunggu konfir tapi ga muncul juga</v>
      </c>
      <c r="E110" s="17" t="str">
        <f>IFERROR(__xludf.DUMMYFUNCTION("REGEXREPLACE(D110,$A$5, )"),"Berulang ulang loging gagal melulu padahal  minggu nunggu konfir tapi ga muncul juga")</f>
        <v>Berulang ulang loging gagal melulu padahal  minggu nunggu konfir tapi ga muncul juga</v>
      </c>
      <c r="F110" s="17" t="str">
        <f>IFERROR(__xludf.DUMMYFUNCTION("REGEXREPLACE(E110,$A$6, )"),"Berulang ulang loging gagal melulu padahal  minggu nunggu konfir tapi ga muncul juga")</f>
        <v>Berulang ulang loging gagal melulu padahal  minggu nunggu konfir tapi ga muncul juga</v>
      </c>
      <c r="G110" s="18" t="str">
        <f>IFERROR(__xludf.DUMMYFUNCTION("REGEXREPLACE(F110,$A$7, )"),"Berulang ulang loging gagal melulu padahal  minggu nunggu konfir tapi ga muncul juga")</f>
        <v>Berulang ulang loging gagal melulu padahal  minggu nunggu konfir tapi ga muncul juga</v>
      </c>
      <c r="H110" s="17" t="str">
        <f t="shared" si="1"/>
        <v>berulang ulang loging gagal melulu padahal  minggu nunggu konfir tapi ga muncul juga</v>
      </c>
    </row>
    <row r="111">
      <c r="A111" s="16" t="s">
        <v>105</v>
      </c>
      <c r="B111" s="17" t="str">
        <f>IFERROR(__xludf.DUMMYFUNCTION("REGEXREPLACE(A111,$A$2, )"),"Aplikasi sudah bisa untuk buat akun baru sudah selesai semua tpi pas terakhir mau login ko eror")</f>
        <v>Aplikasi sudah bisa untuk buat akun baru sudah selesai semua tpi pas terakhir mau login ko eror</v>
      </c>
      <c r="C111" s="17" t="str">
        <f>IFERROR(__xludf.DUMMYFUNCTION("REGEXREPLACE(B111,$A$3, )"),"Aplikasi sudah bisa untuk buat akun baru sudah selesai semua tpi pas terakhir mau login ko eror")</f>
        <v>Aplikasi sudah bisa untuk buat akun baru sudah selesai semua tpi pas terakhir mau login ko eror</v>
      </c>
      <c r="D111" s="17" t="str">
        <f>IFERROR(__xludf.DUMMYFUNCTION("REGEXREPLACE(C111,$A$4, )"),"Aplikasi sudah bisa untuk buat akun baru sudah selesai semua tpi pas terakhir mau login ko eror")</f>
        <v>Aplikasi sudah bisa untuk buat akun baru sudah selesai semua tpi pas terakhir mau login ko eror</v>
      </c>
      <c r="E111" s="17" t="str">
        <f>IFERROR(__xludf.DUMMYFUNCTION("REGEXREPLACE(D111,$A$5, )"),"Aplikasi sudah bisa untuk buat akun baru sudah selesai semua tpi pas terakhir mau login ko eror")</f>
        <v>Aplikasi sudah bisa untuk buat akun baru sudah selesai semua tpi pas terakhir mau login ko eror</v>
      </c>
      <c r="F111" s="17" t="str">
        <f>IFERROR(__xludf.DUMMYFUNCTION("REGEXREPLACE(E111,$A$6, )"),"Aplikasi sudah bisa untuk buat akun baru sudah selesai semua tpi pas terakhir mau login ko eror")</f>
        <v>Aplikasi sudah bisa untuk buat akun baru sudah selesai semua tpi pas terakhir mau login ko eror</v>
      </c>
      <c r="G111" s="18" t="str">
        <f>IFERROR(__xludf.DUMMYFUNCTION("REGEXREPLACE(F111,$A$7, )"),"Aplikasi sudah bisa untuk buat akun baru sudah selesai semua tpi pas terakhir mau login ko eror")</f>
        <v>Aplikasi sudah bisa untuk buat akun baru sudah selesai semua tpi pas terakhir mau login ko eror</v>
      </c>
      <c r="H111" s="17" t="str">
        <f t="shared" si="1"/>
        <v>aplikasi sudah bisa untuk buat akun baru sudah selesai semua tpi pas terakhir mau login ko eror</v>
      </c>
    </row>
    <row r="112">
      <c r="A112" s="16" t="s">
        <v>106</v>
      </c>
      <c r="B112" s="17" t="str">
        <f>IFERROR(__xludf.DUMMYFUNCTION("REGEXREPLACE(A112,$A$2, )"),"Tolong di bantu donk min, biar bisa submit u/ daftar/tambah bantuannya. Krn mau tambah bantuan udah isi semua tinggal klik setuju error terus. Tolong di bantu ya min....")</f>
        <v>Tolong di bantu donk min, biar bisa submit u/ daftar/tambah bantuannya. Krn mau tambah bantuan udah isi semua tinggal klik setuju error terus. Tolong di bantu ya min....</v>
      </c>
      <c r="C112" s="17" t="str">
        <f>IFERROR(__xludf.DUMMYFUNCTION("REGEXREPLACE(B112,$A$3, )"),"Tolong di bantu donk min, biar bisa submit u/ daftar/tambah bantuannya. Krn mau tambah bantuan udah isi semua tinggal klik setuju error terus. Tolong di bantu ya min....")</f>
        <v>Tolong di bantu donk min, biar bisa submit u/ daftar/tambah bantuannya. Krn mau tambah bantuan udah isi semua tinggal klik setuju error terus. Tolong di bantu ya min....</v>
      </c>
      <c r="D112" s="17" t="str">
        <f>IFERROR(__xludf.DUMMYFUNCTION("REGEXREPLACE(C112,$A$4, )"),"Tolong di bantu donk min, biar bisa submit u/ daftar/tambah bantuannya. Krn mau tambah bantuan udah isi semua tinggal klik setuju error terus. Tolong di bantu ya min....")</f>
        <v>Tolong di bantu donk min, biar bisa submit u/ daftar/tambah bantuannya. Krn mau tambah bantuan udah isi semua tinggal klik setuju error terus. Tolong di bantu ya min....</v>
      </c>
      <c r="E112" s="17" t="str">
        <f>IFERROR(__xludf.DUMMYFUNCTION("REGEXREPLACE(D112,$A$5, )"),"Tolong di bantu donk min, biar bisa submit u/ daftar/tambah bantuannya. Krn mau tambah bantuan udah isi semua tinggal klik setuju error terus. Tolong di bantu ya min....")</f>
        <v>Tolong di bantu donk min, biar bisa submit u/ daftar/tambah bantuannya. Krn mau tambah bantuan udah isi semua tinggal klik setuju error terus. Tolong di bantu ya min....</v>
      </c>
      <c r="F112" s="17" t="str">
        <f>IFERROR(__xludf.DUMMYFUNCTION("REGEXREPLACE(E112,$A$6, )"),"Tolong di bantu donk min biar bisa submit u daftartambah bantuannya Krn mau tambah bantuan udah isi semua tinggal klik setuju error terus Tolong di bantu ya min")</f>
        <v>Tolong di bantu donk min biar bisa submit u daftartambah bantuannya Krn mau tambah bantuan udah isi semua tinggal klik setuju error terus Tolong di bantu ya min</v>
      </c>
      <c r="G112" s="18" t="str">
        <f>IFERROR(__xludf.DUMMYFUNCTION("REGEXREPLACE(F112,$A$7, )"),"Tolong di bantu donk min biar bisa submit u daftartambah bantuannya Krn mau tambah bantuan udah isi semua tinggal klik setuju error terus Tolong di bantu ya min")</f>
        <v>Tolong di bantu donk min biar bisa submit u daftartambah bantuannya Krn mau tambah bantuan udah isi semua tinggal klik setuju error terus Tolong di bantu ya min</v>
      </c>
      <c r="H112" s="17" t="str">
        <f t="shared" si="1"/>
        <v>tolong di bantu donk min biar bisa submit u daftartambah bantuannya krn mau tambah bantuan udah isi semua tinggal klik setuju error terus tolong di bantu ya min</v>
      </c>
    </row>
    <row r="113">
      <c r="A113" s="16" t="s">
        <v>107</v>
      </c>
      <c r="B113" s="17" t="str">
        <f>IFERROR(__xludf.DUMMYFUNCTION("REGEXREPLACE(A113,$A$2, )"),"Saya pribadi di sini kasih bintang 5 walaupun terkadang agak eror tapi jika dilakukan berulang ulang bisa Alhamdulillah setelah sekian lama mencoba terus akhirnya saya bisa menambah usulan semoga segera di ACC aamiin Untuk temen2 yang masih belum bisa men"&amp;"ambah usulan karena eror Jersey kalian bisa pencet berulang2 kuncinya sabar Terimakasih")</f>
        <v>Saya pribadi di sini kasih bintang 5 walaupun terkadang agak eror tapi jika dilakukan berulang ulang bisa Alhamdulillah setelah sekian lama mencoba terus akhirnya saya bisa menambah usulan semoga segera di ACC aamiin Untuk temen2 yang masih belum bisa menambah usulan karena eror Jersey kalian bisa pencet berulang2 kuncinya sabar Terimakasih</v>
      </c>
      <c r="C113" s="17" t="str">
        <f>IFERROR(__xludf.DUMMYFUNCTION("REGEXREPLACE(B113,$A$3, )"),"Saya pribadi di sini kasih bintang 5 walaupun terkadang agak eror tapi jika dilakukan berulang ulang bisa Alhamdulillah setelah sekian lama mencoba terus akhirnya saya bisa menambah usulan semoga segera di ACC aamiin Untuk temen2 yang masih belum bisa men"&amp;"ambah usulan karena eror Jersey kalian bisa pencet berulang2 kuncinya sabar Terimakasih")</f>
        <v>Saya pribadi di sini kasih bintang 5 walaupun terkadang agak eror tapi jika dilakukan berulang ulang bisa Alhamdulillah setelah sekian lama mencoba terus akhirnya saya bisa menambah usulan semoga segera di ACC aamiin Untuk temen2 yang masih belum bisa menambah usulan karena eror Jersey kalian bisa pencet berulang2 kuncinya sabar Terimakasih</v>
      </c>
      <c r="D113" s="17" t="str">
        <f>IFERROR(__xludf.DUMMYFUNCTION("REGEXREPLACE(C113,$A$4, )"),"Saya pribadi di sini kasih bintang 5 walaupun terkadang agak eror tapi jika dilakukan berulang ulang bisa Alhamdulillah setelah sekian lama mencoba terus akhirnya saya bisa menambah usulan semoga segera di ACC aamiin Untuk temen2 yang masih belum bisa men"&amp;"ambah usulan karena eror Jersey kalian bisa pencet berulang2 kuncinya sabar Terimakasih")</f>
        <v>Saya pribadi di sini kasih bintang 5 walaupun terkadang agak eror tapi jika dilakukan berulang ulang bisa Alhamdulillah setelah sekian lama mencoba terus akhirnya saya bisa menambah usulan semoga segera di ACC aamiin Untuk temen2 yang masih belum bisa menambah usulan karena eror Jersey kalian bisa pencet berulang2 kuncinya sabar Terimakasih</v>
      </c>
      <c r="E113" s="17" t="str">
        <f>IFERROR(__xludf.DUMMYFUNCTION("REGEXREPLACE(D113,$A$5, )"),"Saya pribadi di sini kasih bintang  walaupun terkadang agak eror tapi jika dilakukan berulang ulang bisa Alhamdulillah setelah sekian lama mencoba terus akhirnya saya bisa menambah usulan semoga segera di ACC aamiin Untuk temen yang masih belum bisa menam"&amp;"bah usulan karena eror Jersey kalian bisa pencet berulang kuncinya sabar Terimakasih")</f>
        <v>Saya pribadi di sini kasih bintang  walaupun terkadang agak eror tapi jika dilakukan berulang ulang bisa Alhamdulillah setelah sekian lama mencoba terus akhirnya saya bisa menambah usulan semoga segera di ACC aamiin Untuk temen yang masih belum bisa menambah usulan karena eror Jersey kalian bisa pencet berulang kuncinya sabar Terimakasih</v>
      </c>
      <c r="F113" s="17" t="str">
        <f>IFERROR(__xludf.DUMMYFUNCTION("REGEXREPLACE(E113,$A$6, )"),"Saya pribadi di sini kasih bintang  walaupun terkadang agak eror tapi jika dilakukan berulang ulang bisa Alhamdulillah setelah sekian lama mencoba terus akhirnya saya bisa menambah usulan semoga segera di ACC aamiin Untuk temen yang masih belum bisa menam"&amp;"bah usulan karena eror Jersey kalian bisa pencet berulang kuncinya sabar Terimakasih")</f>
        <v>Saya pribadi di sini kasih bintang  walaupun terkadang agak eror tapi jika dilakukan berulang ulang bisa Alhamdulillah setelah sekian lama mencoba terus akhirnya saya bisa menambah usulan semoga segera di ACC aamiin Untuk temen yang masih belum bisa menambah usulan karena eror Jersey kalian bisa pencet berulang kuncinya sabar Terimakasih</v>
      </c>
      <c r="G113" s="18" t="str">
        <f>IFERROR(__xludf.DUMMYFUNCTION("REGEXREPLACE(F113,$A$7, )"),"Saya pribadi di sini kasih bintang  walaupun terkadang agak eror tapi jika dilakukan berulang ulang bisa Alhamdulillah setelah sekian lama mencoba terus akhirnya saya bisa menambah usulan semoga segera di ACC aamiin Untuk temen yang masih belum bisa menam"&amp;"bah usulan karena eror Jersey kalian bisa pencet berulang kuncinya sabar Terimakasih")</f>
        <v>Saya pribadi di sini kasih bintang  walaupun terkadang agak eror tapi jika dilakukan berulang ulang bisa Alhamdulillah setelah sekian lama mencoba terus akhirnya saya bisa menambah usulan semoga segera di ACC aamiin Untuk temen yang masih belum bisa menambah usulan karena eror Jersey kalian bisa pencet berulang kuncinya sabar Terimakasih</v>
      </c>
      <c r="H113" s="17" t="str">
        <f t="shared" si="1"/>
        <v>saya pribadi di sini kasih bintang  walaupun terkadang agak eror tapi jika dilakukan berulang ulang bisa alhamdulillah setelah sekian lama mencoba terus akhirnya saya bisa menambah usulan semoga segera di acc aamiin untuk temen yang masih belum bisa menambah usulan karena eror jersey kalian bisa pencet berulang kuncinya sabar terimakasih</v>
      </c>
    </row>
    <row r="114">
      <c r="A114" s="16" t="s">
        <v>108</v>
      </c>
      <c r="B114" s="17" t="str">
        <f>IFERROR(__xludf.DUMMYFUNCTION("REGEXREPLACE(A114,$A$2, )"),"Kok bulan bulan ini belum keluar juga ini sudah hampir 3bulan biasa ya 2bulan sekali ini mah gak keluar")</f>
        <v>Kok bulan bulan ini belum keluar juga ini sudah hampir 3bulan biasa ya 2bulan sekali ini mah gak keluar</v>
      </c>
      <c r="C114" s="17" t="str">
        <f>IFERROR(__xludf.DUMMYFUNCTION("REGEXREPLACE(B114,$A$3, )"),"Kok bulan bulan ini belum keluar juga ini sudah hampir 3bulan biasa ya 2bulan sekali ini mah gak keluar")</f>
        <v>Kok bulan bulan ini belum keluar juga ini sudah hampir 3bulan biasa ya 2bulan sekali ini mah gak keluar</v>
      </c>
      <c r="D114" s="17" t="str">
        <f>IFERROR(__xludf.DUMMYFUNCTION("REGEXREPLACE(C114,$A$4, )"),"Kok bulan bulan ini belum keluar juga ini sudah hampir 3bulan biasa ya 2bulan sekali ini mah gak keluar")</f>
        <v>Kok bulan bulan ini belum keluar juga ini sudah hampir 3bulan biasa ya 2bulan sekali ini mah gak keluar</v>
      </c>
      <c r="E114" s="17" t="str">
        <f>IFERROR(__xludf.DUMMYFUNCTION("REGEXREPLACE(D114,$A$5, )"),"Kok bulan bulan ini belum keluar juga ini sudah hampir bulan biasa ya bulan sekali ini mah gak keluar")</f>
        <v>Kok bulan bulan ini belum keluar juga ini sudah hampir bulan biasa ya bulan sekali ini mah gak keluar</v>
      </c>
      <c r="F114" s="17" t="str">
        <f>IFERROR(__xludf.DUMMYFUNCTION("REGEXREPLACE(E114,$A$6, )"),"Kok bulan bulan ini belum keluar juga ini sudah hampir bulan biasa ya bulan sekali ini mah gak keluar")</f>
        <v>Kok bulan bulan ini belum keluar juga ini sudah hampir bulan biasa ya bulan sekali ini mah gak keluar</v>
      </c>
      <c r="G114" s="18" t="str">
        <f>IFERROR(__xludf.DUMMYFUNCTION("REGEXREPLACE(F114,$A$7, )"),"Kok bulan bulan ini belum keluar juga ini sudah hampir bulan biasa ya bulan sekali ini mah gak keluar")</f>
        <v>Kok bulan bulan ini belum keluar juga ini sudah hampir bulan biasa ya bulan sekali ini mah gak keluar</v>
      </c>
      <c r="H114" s="17" t="str">
        <f t="shared" si="1"/>
        <v>kok bulan bulan ini belum keluar juga ini sudah hampir bulan biasa ya bulan sekali ini mah gak keluar</v>
      </c>
    </row>
    <row r="115">
      <c r="A115" s="16" t="s">
        <v>109</v>
      </c>
      <c r="B115" s="17" t="str">
        <f>IFERROR(__xludf.DUMMYFUNCTION("REGEXREPLACE(A115,$A$2, )"),"Daftarnya mudah.. Tapi aktivasinya hampir sebulan dan skrg gabisa2 untuk log in 😊 keren")</f>
        <v>Daftarnya mudah.. Tapi aktivasinya hampir sebulan dan skrg gabisa2 untuk log in 😊 keren</v>
      </c>
      <c r="C115" s="17" t="str">
        <f>IFERROR(__xludf.DUMMYFUNCTION("REGEXREPLACE(B115,$A$3, )"),"Daftarnya mudah.. Tapi aktivasinya hampir sebulan dan skrg gabisa2 untuk log in 😊 keren")</f>
        <v>Daftarnya mudah.. Tapi aktivasinya hampir sebulan dan skrg gabisa2 untuk log in 😊 keren</v>
      </c>
      <c r="D115" s="17" t="str">
        <f>IFERROR(__xludf.DUMMYFUNCTION("REGEXREPLACE(C115,$A$4, )"),"Daftarnya mudah.. Tapi aktivasinya hampir sebulan dan skrg gabisa2 untuk log in 😊 keren")</f>
        <v>Daftarnya mudah.. Tapi aktivasinya hampir sebulan dan skrg gabisa2 untuk log in 😊 keren</v>
      </c>
      <c r="E115" s="17" t="str">
        <f>IFERROR(__xludf.DUMMYFUNCTION("REGEXREPLACE(D115,$A$5, )"),"Daftarnya mudah.. Tapi aktivasinya hampir sebulan dan skrg gabisa untuk log in 😊 keren")</f>
        <v>Daftarnya mudah.. Tapi aktivasinya hampir sebulan dan skrg gabisa untuk log in 😊 keren</v>
      </c>
      <c r="F115" s="17" t="str">
        <f>IFERROR(__xludf.DUMMYFUNCTION("REGEXREPLACE(E115,$A$6, )"),"Daftarnya mudah Tapi aktivasinya hampir sebulan dan skrg gabisa untuk log in 😊 keren")</f>
        <v>Daftarnya mudah Tapi aktivasinya hampir sebulan dan skrg gabisa untuk log in 😊 keren</v>
      </c>
      <c r="G115" s="18" t="str">
        <f>IFERROR(__xludf.DUMMYFUNCTION("REGEXREPLACE(F115,$A$7, )"),"Daftarnya mudah Tapi aktivasinya hampir sebulan dan skrg gabisa untuk log in  keren")</f>
        <v>Daftarnya mudah Tapi aktivasinya hampir sebulan dan skrg gabisa untuk log in  keren</v>
      </c>
      <c r="H115" s="17" t="str">
        <f t="shared" si="1"/>
        <v>daftarnya mudah tapi aktivasinya hampir sebulan dan skrg gabisa untuk log in  keren</v>
      </c>
    </row>
    <row r="116">
      <c r="A116" s="16" t="s">
        <v>110</v>
      </c>
      <c r="B116" s="17" t="str">
        <f>IFERROR(__xludf.DUMMYFUNCTION("REGEXREPLACE(A116,$A$2, )"),"Sudah dilakukan berkali-kali dan beda waktu daftarnya, Penambahan data di menu Tambah Data Usulan tidak bisa dilakukan, dengan keterangan ""Error Json Parse"", mohon untuk segera diperbaiki, terimakasih")</f>
        <v>Sudah dilakukan berkali-kali dan beda waktu daftarnya, Penambahan data di menu Tambah Data Usulan tidak bisa dilakukan, dengan keterangan "Error Json Parse", mohon untuk segera diperbaiki, terimakasih</v>
      </c>
      <c r="C116" s="17" t="str">
        <f>IFERROR(__xludf.DUMMYFUNCTION("REGEXREPLACE(B116,$A$3, )"),"Sudah dilakukan berkali-kali dan beda waktu daftarnya, Penambahan data di menu Tambah Data Usulan tidak bisa dilakukan, dengan keterangan ""Error Json Parse"", mohon untuk segera diperbaiki, terimakasih")</f>
        <v>Sudah dilakukan berkali-kali dan beda waktu daftarnya, Penambahan data di menu Tambah Data Usulan tidak bisa dilakukan, dengan keterangan "Error Json Parse", mohon untuk segera diperbaiki, terimakasih</v>
      </c>
      <c r="D116" s="17" t="str">
        <f>IFERROR(__xludf.DUMMYFUNCTION("REGEXREPLACE(C116,$A$4, )"),"Sudah dilakukan berkali-kali dan beda waktu daftarnya, Penambahan data di menu Tambah Data Usulan tidak bisa dilakukan, dengan keterangan ""Error Json Parse"", mohon untuk segera diperbaiki, terimakasih")</f>
        <v>Sudah dilakukan berkali-kali dan beda waktu daftarnya, Penambahan data di menu Tambah Data Usulan tidak bisa dilakukan, dengan keterangan "Error Json Parse", mohon untuk segera diperbaiki, terimakasih</v>
      </c>
      <c r="E116" s="17" t="str">
        <f>IFERROR(__xludf.DUMMYFUNCTION("REGEXREPLACE(D116,$A$5, )"),"Sudah dilakukan berkali-kali dan beda waktu daftarnya, Penambahan data di menu Tambah Data Usulan tidak bisa dilakukan, dengan keterangan ""Error Json Parse"", mohon untuk segera diperbaiki, terimakasih")</f>
        <v>Sudah dilakukan berkali-kali dan beda waktu daftarnya, Penambahan data di menu Tambah Data Usulan tidak bisa dilakukan, dengan keterangan "Error Json Parse", mohon untuk segera diperbaiki, terimakasih</v>
      </c>
      <c r="F116" s="17" t="str">
        <f>IFERROR(__xludf.DUMMYFUNCTION("REGEXREPLACE(E116,$A$6, )"),"Sudah dilakukan berkalikali dan beda waktu daftarnya Penambahan data di menu Tambah Data Usulan tidak bisa dilakukan dengan keterangan Error Json Parse mohon untuk segera diperbaiki terimakasih")</f>
        <v>Sudah dilakukan berkalikali dan beda waktu daftarnya Penambahan data di menu Tambah Data Usulan tidak bisa dilakukan dengan keterangan Error Json Parse mohon untuk segera diperbaiki terimakasih</v>
      </c>
      <c r="G116" s="18" t="str">
        <f>IFERROR(__xludf.DUMMYFUNCTION("REGEXREPLACE(F116,$A$7, )"),"Sudah dilakukan berkalikali dan beda waktu daftarnya Penambahan data di menu Tambah Data Usulan tidak bisa dilakukan dengan keterangan Error Json Parse mohon untuk segera diperbaiki terimakasih")</f>
        <v>Sudah dilakukan berkalikali dan beda waktu daftarnya Penambahan data di menu Tambah Data Usulan tidak bisa dilakukan dengan keterangan Error Json Parse mohon untuk segera diperbaiki terimakasih</v>
      </c>
      <c r="H116" s="17" t="str">
        <f t="shared" si="1"/>
        <v>sudah dilakukan berkalikali dan beda waktu daftarnya penambahan data di menu tambah data usulan tidak bisa dilakukan dengan keterangan error json parse mohon untuk segera diperbaiki terimakasih</v>
      </c>
    </row>
    <row r="117">
      <c r="A117" s="16" t="s">
        <v>111</v>
      </c>
      <c r="B117" s="17" t="str">
        <f>IFERROR(__xludf.DUMMYFUNCTION("REGEXREPLACE(A117,$A$2, )"),"saya kasih rating full aplikasinya tapi masih ada yang kurang dari respon dinsos terlalu lambat dalam merespon pengajuan dan pengaduan masyarakat tolong di tingkatkan lagi tks.")</f>
        <v>saya kasih rating full aplikasinya tapi masih ada yang kurang dari respon dinsos terlalu lambat dalam merespon pengajuan dan pengaduan masyarakat tolong di tingkatkan lagi tks.</v>
      </c>
      <c r="C117" s="17" t="str">
        <f>IFERROR(__xludf.DUMMYFUNCTION("REGEXREPLACE(B117,$A$3, )"),"saya kasih rating full aplikasinya tapi masih ada yang kurang dari respon dinsos terlalu lambat dalam merespon pengajuan dan pengaduan masyarakat tolong di tingkatkan lagi tks.")</f>
        <v>saya kasih rating full aplikasinya tapi masih ada yang kurang dari respon dinsos terlalu lambat dalam merespon pengajuan dan pengaduan masyarakat tolong di tingkatkan lagi tks.</v>
      </c>
      <c r="D117" s="17" t="str">
        <f>IFERROR(__xludf.DUMMYFUNCTION("REGEXREPLACE(C117,$A$4, )"),"saya kasih rating full aplikasinya tapi masih ada yang kurang dari respon dinsos terlalu lambat dalam merespon pengajuan dan pengaduan masyarakat tolong di tingkatkan lagi tks.")</f>
        <v>saya kasih rating full aplikasinya tapi masih ada yang kurang dari respon dinsos terlalu lambat dalam merespon pengajuan dan pengaduan masyarakat tolong di tingkatkan lagi tks.</v>
      </c>
      <c r="E117" s="17" t="str">
        <f>IFERROR(__xludf.DUMMYFUNCTION("REGEXREPLACE(D117,$A$5, )"),"saya kasih rating full aplikasinya tapi masih ada yang kurang dari respon dinsos terlalu lambat dalam merespon pengajuan dan pengaduan masyarakat tolong di tingkatkan lagi tks.")</f>
        <v>saya kasih rating full aplikasinya tapi masih ada yang kurang dari respon dinsos terlalu lambat dalam merespon pengajuan dan pengaduan masyarakat tolong di tingkatkan lagi tks.</v>
      </c>
      <c r="F117" s="17" t="str">
        <f>IFERROR(__xludf.DUMMYFUNCTION("REGEXREPLACE(E117,$A$6, )"),"saya kasih rating full aplikasinya tapi masih ada yang kurang dari respon dinsos terlalu lambat dalam merespon pengajuan dan pengaduan masyarakat tolong di tingkatkan lagi tks")</f>
        <v>saya kasih rating full aplikasinya tapi masih ada yang kurang dari respon dinsos terlalu lambat dalam merespon pengajuan dan pengaduan masyarakat tolong di tingkatkan lagi tks</v>
      </c>
      <c r="G117" s="18" t="str">
        <f>IFERROR(__xludf.DUMMYFUNCTION("REGEXREPLACE(F117,$A$7, )"),"saya kasih rating full aplikasinya tapi masih ada yang kurang dari respon dinsos terlalu lambat dalam merespon pengajuan dan pengaduan masyarakat tolong di tingkatkan lagi tks")</f>
        <v>saya kasih rating full aplikasinya tapi masih ada yang kurang dari respon dinsos terlalu lambat dalam merespon pengajuan dan pengaduan masyarakat tolong di tingkatkan lagi tks</v>
      </c>
      <c r="H117" s="17" t="str">
        <f t="shared" si="1"/>
        <v>saya kasih rating full aplikasinya tapi masih ada yang kurang dari respon dinsos terlalu lambat dalam merespon pengajuan dan pengaduan masyarakat tolong di tingkatkan lagi tks</v>
      </c>
    </row>
    <row r="118">
      <c r="A118" s="16" t="s">
        <v>112</v>
      </c>
      <c r="B118" s="17" t="str">
        <f>IFERROR(__xludf.DUMMYFUNCTION("REGEXREPLACE(A118,$A$2, )"),"Aktivasi akun telah berhasil, disuruh login, tapi hingga sekarang belum bisa masuk, ERROR terus. KENAPA ? Akun sudah AKTIF, eh dibilang akun belum di aktivasi. Berarti yang kirim email 'selamat aktivasi akun telah berhasil' kui sopo ? 😂")</f>
        <v>Aktivasi akun telah berhasil, disuruh login, tapi hingga sekarang belum bisa masuk, ERROR terus. KENAPA ? Akun sudah AKTIF, eh dibilang akun belum di aktivasi. Berarti yang kirim email 'selamat aktivasi akun telah berhasil' kui sopo ? 😂</v>
      </c>
      <c r="C118" s="17" t="str">
        <f>IFERROR(__xludf.DUMMYFUNCTION("REGEXREPLACE(B118,$A$3, )"),"Aktivasi akun telah berhasil, disuruh login, tapi hingga sekarang belum bisa masuk, ERROR terus. KENAPA ? Akun sudah AKTIF, eh dibilang akun belum di aktivasi. Berarti yang kirim email 'selamat aktivasi akun telah berhasil' kui sopo ? 😂")</f>
        <v>Aktivasi akun telah berhasil, disuruh login, tapi hingga sekarang belum bisa masuk, ERROR terus. KENAPA ? Akun sudah AKTIF, eh dibilang akun belum di aktivasi. Berarti yang kirim email 'selamat aktivasi akun telah berhasil' kui sopo ? 😂</v>
      </c>
      <c r="D118" s="17" t="str">
        <f>IFERROR(__xludf.DUMMYFUNCTION("REGEXREPLACE(C118,$A$4, )"),"Aktivasi akun telah berhasil, disuruh login, tapi hingga sekarang belum bisa masuk, ERROR terus. KENAPA ? Akun sudah AKTIF, eh dibilang akun belum di aktivasi. Berarti yang kirim email 'selamat aktivasi akun telah berhasil' kui sopo ? 😂")</f>
        <v>Aktivasi akun telah berhasil, disuruh login, tapi hingga sekarang belum bisa masuk, ERROR terus. KENAPA ? Akun sudah AKTIF, eh dibilang akun belum di aktivasi. Berarti yang kirim email 'selamat aktivasi akun telah berhasil' kui sopo ? 😂</v>
      </c>
      <c r="E118" s="17" t="str">
        <f>IFERROR(__xludf.DUMMYFUNCTION("REGEXREPLACE(D118,$A$5, )"),"Aktivasi akun telah berhasil, disuruh login, tapi hingga sekarang belum bisa masuk, ERROR terus. KENAPA ? Akun sudah AKTIF, eh dibilang akun belum di aktivasi. Berarti yang kirim email 'selamat aktivasi akun telah berhasil' kui sopo ? 😂")</f>
        <v>Aktivasi akun telah berhasil, disuruh login, tapi hingga sekarang belum bisa masuk, ERROR terus. KENAPA ? Akun sudah AKTIF, eh dibilang akun belum di aktivasi. Berarti yang kirim email 'selamat aktivasi akun telah berhasil' kui sopo ? 😂</v>
      </c>
      <c r="F118" s="17" t="str">
        <f>IFERROR(__xludf.DUMMYFUNCTION("REGEXREPLACE(E118,$A$6, )"),"Aktivasi akun telah berhasil disuruh login tapi hingga sekarang belum bisa masuk ERROR terus KENAPA  Akun sudah AKTIF eh dibilang akun belum di aktivasi Berarti yang kirim email selamat aktivasi akun telah berhasil kui sopo  😂")</f>
        <v>Aktivasi akun telah berhasil disuruh login tapi hingga sekarang belum bisa masuk ERROR terus KENAPA  Akun sudah AKTIF eh dibilang akun belum di aktivasi Berarti yang kirim email selamat aktivasi akun telah berhasil kui sopo  😂</v>
      </c>
      <c r="G118" s="18" t="str">
        <f>IFERROR(__xludf.DUMMYFUNCTION("REGEXREPLACE(F118,$A$7, )"),"Aktivasi akun telah berhasil disuruh login tapi hingga sekarang belum bisa masuk ERROR terus KENAPA  Akun sudah AKTIF eh dibilang akun belum di aktivasi Berarti yang kirim email selamat aktivasi akun telah berhasil kui sopo  ")</f>
        <v>Aktivasi akun telah berhasil disuruh login tapi hingga sekarang belum bisa masuk ERROR terus KENAPA  Akun sudah AKTIF eh dibilang akun belum di aktivasi Berarti yang kirim email selamat aktivasi akun telah berhasil kui sopo  </v>
      </c>
      <c r="H118" s="17" t="str">
        <f t="shared" si="1"/>
        <v>aktivasi akun telah berhasil disuruh login tapi hingga sekarang belum bisa masuk error terus kenapa  akun sudah aktif eh dibilang akun belum di aktivasi berarti yang kirim email selamat aktivasi akun telah berhasil kui sopo  </v>
      </c>
    </row>
    <row r="119">
      <c r="A119" s="16" t="s">
        <v>113</v>
      </c>
      <c r="B119" s="17" t="str">
        <f>IFERROR(__xludf.DUMMYFUNCTION("REGEXREPLACE(A119,$A$2, )"),"Sebelum di update bisa login.. sesudah di update sampai sekarang gak bisa login😟")</f>
        <v>Sebelum di update bisa login.. sesudah di update sampai sekarang gak bisa login😟</v>
      </c>
      <c r="C119" s="17" t="str">
        <f>IFERROR(__xludf.DUMMYFUNCTION("REGEXREPLACE(B119,$A$3, )"),"Sebelum di update bisa login.. sesudah di update sampai sekarang gak bisa login😟")</f>
        <v>Sebelum di update bisa login.. sesudah di update sampai sekarang gak bisa login😟</v>
      </c>
      <c r="D119" s="17" t="str">
        <f>IFERROR(__xludf.DUMMYFUNCTION("REGEXREPLACE(C119,$A$4, )"),"Sebelum di update bisa login.. sesudah di update sampai sekarang gak bisa login😟")</f>
        <v>Sebelum di update bisa login.. sesudah di update sampai sekarang gak bisa login😟</v>
      </c>
      <c r="E119" s="17" t="str">
        <f>IFERROR(__xludf.DUMMYFUNCTION("REGEXREPLACE(D119,$A$5, )"),"Sebelum di update bisa login.. sesudah di update sampai sekarang gak bisa login😟")</f>
        <v>Sebelum di update bisa login.. sesudah di update sampai sekarang gak bisa login😟</v>
      </c>
      <c r="F119" s="17" t="str">
        <f>IFERROR(__xludf.DUMMYFUNCTION("REGEXREPLACE(E119,$A$6, )"),"Sebelum di update bisa login sesudah di update sampai sekarang gak bisa login😟")</f>
        <v>Sebelum di update bisa login sesudah di update sampai sekarang gak bisa login😟</v>
      </c>
      <c r="G119" s="18" t="str">
        <f>IFERROR(__xludf.DUMMYFUNCTION("REGEXREPLACE(F119,$A$7, )"),"Sebelum di update bisa login sesudah di update sampai sekarang gak bisa login")</f>
        <v>Sebelum di update bisa login sesudah di update sampai sekarang gak bisa login</v>
      </c>
      <c r="H119" s="17" t="str">
        <f t="shared" si="1"/>
        <v>sebelum di update bisa login sesudah di update sampai sekarang gak bisa login</v>
      </c>
    </row>
    <row r="120">
      <c r="A120" s="16" t="s">
        <v>114</v>
      </c>
      <c r="B120" s="17" t="str">
        <f>IFERROR(__xludf.DUMMYFUNCTION("REGEXREPLACE(A120,$A$2, )"),"Aplikasi Saat pendaftaran Ampe 10001 X Saya Coba Selalu Error' jperson lah apa lah Mungkin kayak Yang Buat Aplikasi Error' wkkwkwwk Pemerintah Banyak Korupsi👍🤢🤮🖕")</f>
        <v>Aplikasi Saat pendaftaran Ampe 10001 X Saya Coba Selalu Error' jperson lah apa lah Mungkin kayak Yang Buat Aplikasi Error' wkkwkwwk Pemerintah Banyak Korupsi👍🤢🤮🖕</v>
      </c>
      <c r="C120" s="17" t="str">
        <f>IFERROR(__xludf.DUMMYFUNCTION("REGEXREPLACE(B120,$A$3, )"),"Aplikasi Saat pendaftaran Ampe 10001 X Saya Coba Selalu Error' jperson lah apa lah Mungkin kayak Yang Buat Aplikasi Error' wkkwkwwk Pemerintah Banyak Korupsi👍🤢🤮🖕")</f>
        <v>Aplikasi Saat pendaftaran Ampe 10001 X Saya Coba Selalu Error' jperson lah apa lah Mungkin kayak Yang Buat Aplikasi Error' wkkwkwwk Pemerintah Banyak Korupsi👍🤢🤮🖕</v>
      </c>
      <c r="D120" s="17" t="str">
        <f>IFERROR(__xludf.DUMMYFUNCTION("REGEXREPLACE(C120,$A$4, )"),"Aplikasi Saat pendaftaran Ampe 10001 X Saya Coba Selalu Error' jperson lah apa lah Mungkin kayak Yang Buat Aplikasi Error' wkkwkwwk Pemerintah Banyak Korupsi👍🤢🤮🖕")</f>
        <v>Aplikasi Saat pendaftaran Ampe 10001 X Saya Coba Selalu Error' jperson lah apa lah Mungkin kayak Yang Buat Aplikasi Error' wkkwkwwk Pemerintah Banyak Korupsi👍🤢🤮🖕</v>
      </c>
      <c r="E120" s="17" t="str">
        <f>IFERROR(__xludf.DUMMYFUNCTION("REGEXREPLACE(D120,$A$5, )"),"Aplikasi Saat pendaftaran Ampe  X Saya Coba Selalu Error' jperson lah apa lah Mungkin kayak Yang Buat Aplikasi Error' wkkwkwwk Pemerintah Banyak Korupsi👍🤢🤮🖕")</f>
        <v>Aplikasi Saat pendaftaran Ampe  X Saya Coba Selalu Error' jperson lah apa lah Mungkin kayak Yang Buat Aplikasi Error' wkkwkwwk Pemerintah Banyak Korupsi👍🤢🤮🖕</v>
      </c>
      <c r="F120" s="17" t="str">
        <f>IFERROR(__xludf.DUMMYFUNCTION("REGEXREPLACE(E120,$A$6, )"),"Aplikasi Saat pendaftaran Ampe  X Saya Coba Selalu Error jperson lah apa lah Mungkin kayak Yang Buat Aplikasi Error wkkwkwwk Pemerintah Banyak Korupsi👍🤢🤮🖕")</f>
        <v>Aplikasi Saat pendaftaran Ampe  X Saya Coba Selalu Error jperson lah apa lah Mungkin kayak Yang Buat Aplikasi Error wkkwkwwk Pemerintah Banyak Korupsi👍🤢🤮🖕</v>
      </c>
      <c r="G120" s="18" t="str">
        <f>IFERROR(__xludf.DUMMYFUNCTION("REGEXREPLACE(F120,$A$7, )"),"Aplikasi Saat pendaftaran Ampe  X Saya Coba Selalu Error jperson lah apa lah Mungkin kayak Yang Buat Aplikasi Error wkkwkwwk Pemerintah Banyak Korupsi")</f>
        <v>Aplikasi Saat pendaftaran Ampe  X Saya Coba Selalu Error jperson lah apa lah Mungkin kayak Yang Buat Aplikasi Error wkkwkwwk Pemerintah Banyak Korupsi</v>
      </c>
      <c r="H120" s="17" t="str">
        <f t="shared" si="1"/>
        <v>aplikasi saat pendaftaran ampe  x saya coba selalu error jperson lah apa lah mungkin kayak yang buat aplikasi error wkkwkwwk pemerintah banyak korupsi</v>
      </c>
    </row>
    <row r="121">
      <c r="A121" s="16" t="s">
        <v>115</v>
      </c>
      <c r="B121" s="17" t="str">
        <f>IFERROR(__xludf.DUMMYFUNCTION("REGEXREPLACE(A121,$A$2, )"),"Aplikasinya bagus,,tapi kalau boleh kasih masukan.Buat ngecek jangan pakai nama,karena nama banyak yg sama.Lebih akurat kalau pakai nik,karena kalau nik ngga ada yg sama.")</f>
        <v>Aplikasinya bagus,,tapi kalau boleh kasih masukan.Buat ngecek jangan pakai nama,karena nama banyak yg sama.Lebih akurat kalau pakai nik,karena kalau nik ngga ada yg sama.</v>
      </c>
      <c r="C121" s="17" t="str">
        <f>IFERROR(__xludf.DUMMYFUNCTION("REGEXREPLACE(B121,$A$3, )"),"Aplikasinya bagus,,tapi kalau boleh kasih masukan.Buat ngecek jangan pakai nama,karena nama banyak yg sama.Lebih akurat kalau pakai nik,karena kalau nik ngga ada yg sama.")</f>
        <v>Aplikasinya bagus,,tapi kalau boleh kasih masukan.Buat ngecek jangan pakai nama,karena nama banyak yg sama.Lebih akurat kalau pakai nik,karena kalau nik ngga ada yg sama.</v>
      </c>
      <c r="D121" s="17" t="str">
        <f>IFERROR(__xludf.DUMMYFUNCTION("REGEXREPLACE(C121,$A$4, )"),"Aplikasinya bagus,,tapi kalau boleh kasih masukan.Buat ngecek jangan pakai nama,karena nama banyak yg sama.Lebih akurat kalau pakai nik,karena kalau nik ngga ada yg sama.")</f>
        <v>Aplikasinya bagus,,tapi kalau boleh kasih masukan.Buat ngecek jangan pakai nama,karena nama banyak yg sama.Lebih akurat kalau pakai nik,karena kalau nik ngga ada yg sama.</v>
      </c>
      <c r="E121" s="17" t="str">
        <f>IFERROR(__xludf.DUMMYFUNCTION("REGEXREPLACE(D121,$A$5, )"),"Aplikasinya bagus,,tapi kalau boleh kasih masukan.Buat ngecek jangan pakai nama,karena nama banyak yg sama.Lebih akurat kalau pakai nik,karena kalau nik ngga ada yg sama.")</f>
        <v>Aplikasinya bagus,,tapi kalau boleh kasih masukan.Buat ngecek jangan pakai nama,karena nama banyak yg sama.Lebih akurat kalau pakai nik,karena kalau nik ngga ada yg sama.</v>
      </c>
      <c r="F121" s="17" t="str">
        <f>IFERROR(__xludf.DUMMYFUNCTION("REGEXREPLACE(E121,$A$6, )"),"Aplikasinya bagustapi kalau boleh kasih masukanBuat ngecek jangan pakai namakarena nama banyak yg samaLebih akurat kalau pakai nikkarena kalau nik ngga ada yg sama")</f>
        <v>Aplikasinya bagustapi kalau boleh kasih masukanBuat ngecek jangan pakai namakarena nama banyak yg samaLebih akurat kalau pakai nikkarena kalau nik ngga ada yg sama</v>
      </c>
      <c r="G121" s="18" t="str">
        <f>IFERROR(__xludf.DUMMYFUNCTION("REGEXREPLACE(F121,$A$7, )"),"Aplikasinya bagustapi kalau boleh kasih masukanBuat ngecek jangan pakai namakarena nama banyak yg samaLebih akurat kalau pakai nikkarena kalau nik ngga ada yg sama")</f>
        <v>Aplikasinya bagustapi kalau boleh kasih masukanBuat ngecek jangan pakai namakarena nama banyak yg samaLebih akurat kalau pakai nikkarena kalau nik ngga ada yg sama</v>
      </c>
      <c r="H121" s="17" t="str">
        <f t="shared" si="1"/>
        <v>aplikasinya bagustapi kalau boleh kasih masukanbuat ngecek jangan pakai namakarena nama banyak yg samalebih akurat kalau pakai nikkarena kalau nik ngga ada yg sama</v>
      </c>
    </row>
    <row r="122">
      <c r="A122" s="16" t="s">
        <v>116</v>
      </c>
      <c r="B122" s="17" t="str">
        <f>IFERROR(__xludf.DUMMYFUNCTION("REGEXREPLACE(A122,$A$2, )"),"Kenapa ga bisa login saya cari propinsi juga error terus aplikasi nya mohon diperbaiki lagi")</f>
        <v>Kenapa ga bisa login saya cari propinsi juga error terus aplikasi nya mohon diperbaiki lagi</v>
      </c>
      <c r="C122" s="17" t="str">
        <f>IFERROR(__xludf.DUMMYFUNCTION("REGEXREPLACE(B122,$A$3, )"),"Kenapa ga bisa login saya cari propinsi juga error terus aplikasi nya mohon diperbaiki lagi")</f>
        <v>Kenapa ga bisa login saya cari propinsi juga error terus aplikasi nya mohon diperbaiki lagi</v>
      </c>
      <c r="D122" s="17" t="str">
        <f>IFERROR(__xludf.DUMMYFUNCTION("REGEXREPLACE(C122,$A$4, )"),"Kenapa ga bisa login saya cari propinsi juga error terus aplikasi nya mohon diperbaiki lagi")</f>
        <v>Kenapa ga bisa login saya cari propinsi juga error terus aplikasi nya mohon diperbaiki lagi</v>
      </c>
      <c r="E122" s="17" t="str">
        <f>IFERROR(__xludf.DUMMYFUNCTION("REGEXREPLACE(D122,$A$5, )"),"Kenapa ga bisa login saya cari propinsi juga error terus aplikasi nya mohon diperbaiki lagi")</f>
        <v>Kenapa ga bisa login saya cari propinsi juga error terus aplikasi nya mohon diperbaiki lagi</v>
      </c>
      <c r="F122" s="17" t="str">
        <f>IFERROR(__xludf.DUMMYFUNCTION("REGEXREPLACE(E122,$A$6, )"),"Kenapa ga bisa login saya cari propinsi juga error terus aplikasi nya mohon diperbaiki lagi")</f>
        <v>Kenapa ga bisa login saya cari propinsi juga error terus aplikasi nya mohon diperbaiki lagi</v>
      </c>
      <c r="G122" s="18" t="str">
        <f>IFERROR(__xludf.DUMMYFUNCTION("REGEXREPLACE(F122,$A$7, )"),"Kenapa ga bisa login saya cari propinsi juga error terus aplikasi nya mohon diperbaiki lagi")</f>
        <v>Kenapa ga bisa login saya cari propinsi juga error terus aplikasi nya mohon diperbaiki lagi</v>
      </c>
      <c r="H122" s="17" t="str">
        <f t="shared" si="1"/>
        <v>kenapa ga bisa login saya cari propinsi juga error terus aplikasi nya mohon diperbaiki lagi</v>
      </c>
    </row>
    <row r="123">
      <c r="A123" s="16" t="s">
        <v>117</v>
      </c>
      <c r="B123" s="17" t="str">
        <f>IFERROR(__xludf.DUMMYFUNCTION("REGEXREPLACE(A123,$A$2, )"),"Ma.af mau daftar login kok susah sekali.mohon di perbaiki lagi. Supaya lancar")</f>
        <v>Ma.af mau daftar login kok susah sekali.mohon di perbaiki lagi. Supaya lancar</v>
      </c>
      <c r="C123" s="17" t="str">
        <f>IFERROR(__xludf.DUMMYFUNCTION("REGEXREPLACE(B123,$A$3, )"),"Ma.af mau daftar login kok susah sekali.mohon di perbaiki lagi. Supaya lancar")</f>
        <v>Ma.af mau daftar login kok susah sekali.mohon di perbaiki lagi. Supaya lancar</v>
      </c>
      <c r="D123" s="17" t="str">
        <f>IFERROR(__xludf.DUMMYFUNCTION("REGEXREPLACE(C123,$A$4, )"),"Ma.af mau daftar login kok susah sekali.mohon di perbaiki lagi. Supaya lancar")</f>
        <v>Ma.af mau daftar login kok susah sekali.mohon di perbaiki lagi. Supaya lancar</v>
      </c>
      <c r="E123" s="17" t="str">
        <f>IFERROR(__xludf.DUMMYFUNCTION("REGEXREPLACE(D123,$A$5, )"),"Ma.af mau daftar login kok susah sekali.mohon di perbaiki lagi. Supaya lancar")</f>
        <v>Ma.af mau daftar login kok susah sekali.mohon di perbaiki lagi. Supaya lancar</v>
      </c>
      <c r="F123" s="17" t="str">
        <f>IFERROR(__xludf.DUMMYFUNCTION("REGEXREPLACE(E123,$A$6, )"),"Maaf mau daftar login kok susah sekalimohon di perbaiki lagi Supaya lancar")</f>
        <v>Maaf mau daftar login kok susah sekalimohon di perbaiki lagi Supaya lancar</v>
      </c>
      <c r="G123" s="18" t="str">
        <f>IFERROR(__xludf.DUMMYFUNCTION("REGEXREPLACE(F123,$A$7, )"),"Maaf mau daftar login kok susah sekalimohon di perbaiki lagi Supaya lancar")</f>
        <v>Maaf mau daftar login kok susah sekalimohon di perbaiki lagi Supaya lancar</v>
      </c>
      <c r="H123" s="17" t="str">
        <f t="shared" si="1"/>
        <v>maaf mau daftar login kok susah sekalimohon di perbaiki lagi supaya lancar</v>
      </c>
    </row>
    <row r="124">
      <c r="A124" s="16" t="s">
        <v>118</v>
      </c>
      <c r="B124" s="17" t="str">
        <f>IFERROR(__xludf.DUMMYFUNCTION("REGEXREPLACE(A124,$A$2, )"),"Selama ini kehilangan hak saya dikarnakan hilang, itu dah berjalan lama sekali sampai sekarang. Kartu atm nya hilang jadi tdk bisa mengabil'y")</f>
        <v>Selama ini kehilangan hak saya dikarnakan hilang, itu dah berjalan lama sekali sampai sekarang. Kartu atm nya hilang jadi tdk bisa mengabil'y</v>
      </c>
      <c r="C124" s="17" t="str">
        <f>IFERROR(__xludf.DUMMYFUNCTION("REGEXREPLACE(B124,$A$3, )"),"Selama ini kehilangan hak saya dikarnakan hilang, itu dah berjalan lama sekali sampai sekarang. Kartu atm nya hilang jadi tdk bisa mengabil'y")</f>
        <v>Selama ini kehilangan hak saya dikarnakan hilang, itu dah berjalan lama sekali sampai sekarang. Kartu atm nya hilang jadi tdk bisa mengabil'y</v>
      </c>
      <c r="D124" s="17" t="str">
        <f>IFERROR(__xludf.DUMMYFUNCTION("REGEXREPLACE(C124,$A$4, )"),"Selama ini kehilangan hak saya dikarnakan hilang, itu dah berjalan lama sekali sampai sekarang. Kartu atm nya hilang jadi tdk bisa mengabil'y")</f>
        <v>Selama ini kehilangan hak saya dikarnakan hilang, itu dah berjalan lama sekali sampai sekarang. Kartu atm nya hilang jadi tdk bisa mengabil'y</v>
      </c>
      <c r="E124" s="17" t="str">
        <f>IFERROR(__xludf.DUMMYFUNCTION("REGEXREPLACE(D124,$A$5, )"),"Selama ini kehilangan hak saya dikarnakan hilang, itu dah berjalan lama sekali sampai sekarang. Kartu atm nya hilang jadi tdk bisa mengabil'y")</f>
        <v>Selama ini kehilangan hak saya dikarnakan hilang, itu dah berjalan lama sekali sampai sekarang. Kartu atm nya hilang jadi tdk bisa mengabil'y</v>
      </c>
      <c r="F124" s="17" t="str">
        <f>IFERROR(__xludf.DUMMYFUNCTION("REGEXREPLACE(E124,$A$6, )"),"Selama ini kehilangan hak saya dikarnakan hilang itu dah berjalan lama sekali sampai sekarang Kartu atm nya hilang jadi tdk bisa mengabily")</f>
        <v>Selama ini kehilangan hak saya dikarnakan hilang itu dah berjalan lama sekali sampai sekarang Kartu atm nya hilang jadi tdk bisa mengabily</v>
      </c>
      <c r="G124" s="18" t="str">
        <f>IFERROR(__xludf.DUMMYFUNCTION("REGEXREPLACE(F124,$A$7, )"),"Selama ini kehilangan hak saya dikarnakan hilang itu dah berjalan lama sekali sampai sekarang Kartu atm nya hilang jadi tdk bisa mengabily")</f>
        <v>Selama ini kehilangan hak saya dikarnakan hilang itu dah berjalan lama sekali sampai sekarang Kartu atm nya hilang jadi tdk bisa mengabily</v>
      </c>
      <c r="H124" s="17" t="str">
        <f t="shared" si="1"/>
        <v>selama ini kehilangan hak saya dikarnakan hilang itu dah berjalan lama sekali sampai sekarang kartu atm nya hilang jadi tdk bisa mengabily</v>
      </c>
    </row>
    <row r="125">
      <c r="A125" s="16" t="s">
        <v>119</v>
      </c>
      <c r="B125" s="17" t="str">
        <f>IFERROR(__xludf.DUMMYFUNCTION("REGEXREPLACE(A125,$A$2, )"),"Terimakasih sangat membantu, meskipun agak lama verifikasinya. Bisa cek siapa sj tetangga yg dpt bansos.")</f>
        <v>Terimakasih sangat membantu, meskipun agak lama verifikasinya. Bisa cek siapa sj tetangga yg dpt bansos.</v>
      </c>
      <c r="C125" s="17" t="str">
        <f>IFERROR(__xludf.DUMMYFUNCTION("REGEXREPLACE(B125,$A$3, )"),"Terimakasih sangat membantu, meskipun agak lama verifikasinya. Bisa cek siapa sj tetangga yg dpt bansos.")</f>
        <v>Terimakasih sangat membantu, meskipun agak lama verifikasinya. Bisa cek siapa sj tetangga yg dpt bansos.</v>
      </c>
      <c r="D125" s="17" t="str">
        <f>IFERROR(__xludf.DUMMYFUNCTION("REGEXREPLACE(C125,$A$4, )"),"Terimakasih sangat membantu, meskipun agak lama verifikasinya. Bisa cek siapa sj tetangga yg dpt bansos.")</f>
        <v>Terimakasih sangat membantu, meskipun agak lama verifikasinya. Bisa cek siapa sj tetangga yg dpt bansos.</v>
      </c>
      <c r="E125" s="17" t="str">
        <f>IFERROR(__xludf.DUMMYFUNCTION("REGEXREPLACE(D125,$A$5, )"),"Terimakasih sangat membantu, meskipun agak lama verifikasinya. Bisa cek siapa sj tetangga yg dpt bansos.")</f>
        <v>Terimakasih sangat membantu, meskipun agak lama verifikasinya. Bisa cek siapa sj tetangga yg dpt bansos.</v>
      </c>
      <c r="F125" s="17" t="str">
        <f>IFERROR(__xludf.DUMMYFUNCTION("REGEXREPLACE(E125,$A$6, )"),"Terimakasih sangat membantu meskipun agak lama verifikasinya Bisa cek siapa sj tetangga yg dpt bansos")</f>
        <v>Terimakasih sangat membantu meskipun agak lama verifikasinya Bisa cek siapa sj tetangga yg dpt bansos</v>
      </c>
      <c r="G125" s="18" t="str">
        <f>IFERROR(__xludf.DUMMYFUNCTION("REGEXREPLACE(F125,$A$7, )"),"Terimakasih sangat membantu meskipun agak lama verifikasinya Bisa cek siapa sj tetangga yg dpt bansos")</f>
        <v>Terimakasih sangat membantu meskipun agak lama verifikasinya Bisa cek siapa sj tetangga yg dpt bansos</v>
      </c>
      <c r="H125" s="17" t="str">
        <f t="shared" si="1"/>
        <v>terimakasih sangat membantu meskipun agak lama verifikasinya bisa cek siapa sj tetangga yg dpt bansos</v>
      </c>
    </row>
    <row r="126">
      <c r="A126" s="16" t="s">
        <v>120</v>
      </c>
      <c r="B126" s="17" t="str">
        <f>IFERROR(__xludf.DUMMYFUNCTION("REGEXREPLACE(A126,$A$2, )"),"Sy sudah dftr lewat aplikasi cek bansos tapi belum respon dari dinsos alasannya knp ys .sulit sekali cari bansos sy blm pernah mndptkn. Org2 yg dpt punya mobil rumah layak.kalau sy rumah sdh dibbrapa sisi.sy sdh pensiun sdh hampir 1 thn .gmn ya bpk/ ibu.j"&amp;"ngankan punya mobil makan aja sering utang di warung sebelah.sdh bawa ktp dan kk ke kantor desa tapi ktnya tidak ada bansos ysb.")</f>
        <v>Sy sudah dftr lewat aplikasi cek bansos tapi belum respon dari dinsos alasannya knp ys .sulit sekali cari bansos sy blm pernah mndptkn. Org2 yg dpt punya mobil rumah layak.kalau sy rumah sdh dibbrapa sisi.sy sdh pensiun sdh hampir 1 thn .gmn ya bpk/ ibu.jngankan punya mobil makan aja sering utang di warung sebelah.sdh bawa ktp dan kk ke kantor desa tapi ktnya tidak ada bansos ysb.</v>
      </c>
      <c r="C126" s="17" t="str">
        <f>IFERROR(__xludf.DUMMYFUNCTION("REGEXREPLACE(B126,$A$3, )"),"Sy sudah dftr lewat aplikasi cek bansos tapi belum respon dari dinsos alasannya knp ys .sulit sekali cari bansos sy blm pernah mndptkn. Org2 yg dpt punya mobil rumah layak.kalau sy rumah sdh dibbrapa sisi.sy sdh pensiun sdh hampir 1 thn .gmn ya bpk/ ibu.j"&amp;"ngankan punya mobil makan aja sering utang di warung sebelah.sdh bawa ktp dan kk ke kantor desa tapi ktnya tidak ada bansos ysb.")</f>
        <v>Sy sudah dftr lewat aplikasi cek bansos tapi belum respon dari dinsos alasannya knp ys .sulit sekali cari bansos sy blm pernah mndptkn. Org2 yg dpt punya mobil rumah layak.kalau sy rumah sdh dibbrapa sisi.sy sdh pensiun sdh hampir 1 thn .gmn ya bpk/ ibu.jngankan punya mobil makan aja sering utang di warung sebelah.sdh bawa ktp dan kk ke kantor desa tapi ktnya tidak ada bansos ysb.</v>
      </c>
      <c r="D126" s="17" t="str">
        <f>IFERROR(__xludf.DUMMYFUNCTION("REGEXREPLACE(C126,$A$4, )"),"Sy sudah dftr lewat aplikasi cek bansos tapi belum respon dari dinsos alasannya knp ys .sulit sekali cari bansos sy blm pernah mndptkn. Org2 yg dpt punya mobil rumah layak.kalau sy rumah sdh dibbrapa sisi.sy sdh pensiun sdh hampir 1 thn .gmn ya bpk/ ibu.j"&amp;"ngankan punya mobil makan aja sering utang di warung sebelah.sdh bawa ktp dan kk ke kantor desa tapi ktnya tidak ada bansos ysb.")</f>
        <v>Sy sudah dftr lewat aplikasi cek bansos tapi belum respon dari dinsos alasannya knp ys .sulit sekali cari bansos sy blm pernah mndptkn. Org2 yg dpt punya mobil rumah layak.kalau sy rumah sdh dibbrapa sisi.sy sdh pensiun sdh hampir 1 thn .gmn ya bpk/ ibu.jngankan punya mobil makan aja sering utang di warung sebelah.sdh bawa ktp dan kk ke kantor desa tapi ktnya tidak ada bansos ysb.</v>
      </c>
      <c r="E126" s="17" t="str">
        <f>IFERROR(__xludf.DUMMYFUNCTION("REGEXREPLACE(D126,$A$5, )"),"Sy sudah dftr lewat aplikasi cek bansos tapi belum respon dari dinsos alasannya knp ys .sulit sekali cari bansos sy blm pernah mndptkn. Org yg dpt punya mobil rumah layak.kalau sy rumah sdh dibbrapa sisi.sy sdh pensiun sdh hampir  thn .gmn ya bpk/ ibu.jng"&amp;"ankan punya mobil makan aja sering utang di warung sebelah.sdh bawa ktp dan kk ke kantor desa tapi ktnya tidak ada bansos ysb.")</f>
        <v>Sy sudah dftr lewat aplikasi cek bansos tapi belum respon dari dinsos alasannya knp ys .sulit sekali cari bansos sy blm pernah mndptkn. Org yg dpt punya mobil rumah layak.kalau sy rumah sdh dibbrapa sisi.sy sdh pensiun sdh hampir  thn .gmn ya bpk/ ibu.jngankan punya mobil makan aja sering utang di warung sebelah.sdh bawa ktp dan kk ke kantor desa tapi ktnya tidak ada bansos ysb.</v>
      </c>
      <c r="F126" s="17" t="str">
        <f>IFERROR(__xludf.DUMMYFUNCTION("REGEXREPLACE(E126,$A$6, )"),"Sy sudah dftr lewat aplikasi cek bansos tapi belum respon dari dinsos alasannya knp ys sulit sekali cari bansos sy blm pernah mndptkn Org yg dpt punya mobil rumah layakkalau sy rumah sdh dibbrapa sisisy sdh pensiun sdh hampir  thn gmn ya bpk ibujngankan p"&amp;"unya mobil makan aja sering utang di warung sebelahsdh bawa ktp dan kk ke kantor desa tapi ktnya tidak ada bansos ysb")</f>
        <v>Sy sudah dftr lewat aplikasi cek bansos tapi belum respon dari dinsos alasannya knp ys sulit sekali cari bansos sy blm pernah mndptkn Org yg dpt punya mobil rumah layakkalau sy rumah sdh dibbrapa sisisy sdh pensiun sdh hampir  thn gmn ya bpk ibujngankan punya mobil makan aja sering utang di warung sebelahsdh bawa ktp dan kk ke kantor desa tapi ktnya tidak ada bansos ysb</v>
      </c>
      <c r="G126" s="18" t="str">
        <f>IFERROR(__xludf.DUMMYFUNCTION("REGEXREPLACE(F126,$A$7, )"),"Sy sudah dftr lewat aplikasi cek bansos tapi belum respon dari dinsos alasannya knp ys sulit sekali cari bansos sy blm pernah mndptkn Org yg dpt punya mobil rumah layakkalau sy rumah sdh dibbrapa sisisy sdh pensiun sdh hampir  thn gmn ya bpk ibujngankan p"&amp;"unya mobil makan aja sering utang di warung sebelahsdh bawa ktp dan kk ke kantor desa tapi ktnya tidak ada bansos ysb")</f>
        <v>Sy sudah dftr lewat aplikasi cek bansos tapi belum respon dari dinsos alasannya knp ys sulit sekali cari bansos sy blm pernah mndptkn Org yg dpt punya mobil rumah layakkalau sy rumah sdh dibbrapa sisisy sdh pensiun sdh hampir  thn gmn ya bpk ibujngankan punya mobil makan aja sering utang di warung sebelahsdh bawa ktp dan kk ke kantor desa tapi ktnya tidak ada bansos ysb</v>
      </c>
      <c r="H126" s="17" t="str">
        <f t="shared" si="1"/>
        <v>sy sudah dftr lewat aplikasi cek bansos tapi belum respon dari dinsos alasannya knp ys sulit sekali cari bansos sy blm pernah mndptkn org yg dpt punya mobil rumah layakkalau sy rumah sdh dibbrapa sisisy sdh pensiun sdh hampir  thn gmn ya bpk ibujngankan punya mobil makan aja sering utang di warung sebelahsdh bawa ktp dan kk ke kantor desa tapi ktnya tidak ada bansos ysb</v>
      </c>
    </row>
    <row r="127">
      <c r="A127" s="16" t="s">
        <v>121</v>
      </c>
      <c r="B127" s="17" t="str">
        <f>IFERROR(__xludf.DUMMYFUNCTION("REGEXREPLACE(A127,$A$2, )"),"Kenapa error' trus, padahal sudah foto. Tinggal langkah terakhir ?? Gmn mau daftar nya")</f>
        <v>Kenapa error' trus, padahal sudah foto. Tinggal langkah terakhir ?? Gmn mau daftar nya</v>
      </c>
      <c r="C127" s="17" t="str">
        <f>IFERROR(__xludf.DUMMYFUNCTION("REGEXREPLACE(B127,$A$3, )"),"Kenapa error' trus, padahal sudah foto. Tinggal langkah terakhir ?? Gmn mau daftar nya")</f>
        <v>Kenapa error' trus, padahal sudah foto. Tinggal langkah terakhir ?? Gmn mau daftar nya</v>
      </c>
      <c r="D127" s="17" t="str">
        <f>IFERROR(__xludf.DUMMYFUNCTION("REGEXREPLACE(C127,$A$4, )"),"Kenapa error' trus, padahal sudah foto. Tinggal langkah terakhir ?? Gmn mau daftar nya")</f>
        <v>Kenapa error' trus, padahal sudah foto. Tinggal langkah terakhir ?? Gmn mau daftar nya</v>
      </c>
      <c r="E127" s="17" t="str">
        <f>IFERROR(__xludf.DUMMYFUNCTION("REGEXREPLACE(D127,$A$5, )"),"Kenapa error' trus, padahal sudah foto. Tinggal langkah terakhir ?? Gmn mau daftar nya")</f>
        <v>Kenapa error' trus, padahal sudah foto. Tinggal langkah terakhir ?? Gmn mau daftar nya</v>
      </c>
      <c r="F127" s="17" t="str">
        <f>IFERROR(__xludf.DUMMYFUNCTION("REGEXREPLACE(E127,$A$6, )"),"Kenapa error trus padahal sudah foto Tinggal langkah terakhir  Gmn mau daftar nya")</f>
        <v>Kenapa error trus padahal sudah foto Tinggal langkah terakhir  Gmn mau daftar nya</v>
      </c>
      <c r="G127" s="18" t="str">
        <f>IFERROR(__xludf.DUMMYFUNCTION("REGEXREPLACE(F127,$A$7, )"),"Kenapa error trus padahal sudah foto Tinggal langkah terakhir  Gmn mau daftar nya")</f>
        <v>Kenapa error trus padahal sudah foto Tinggal langkah terakhir  Gmn mau daftar nya</v>
      </c>
      <c r="H127" s="17" t="str">
        <f t="shared" si="1"/>
        <v>kenapa error trus padahal sudah foto tinggal langkah terakhir  gmn mau daftar nya</v>
      </c>
    </row>
    <row r="128">
      <c r="A128" s="16" t="s">
        <v>122</v>
      </c>
      <c r="B128" s="17" t="str">
        <f>IFERROR(__xludf.DUMMYFUNCTION("REGEXREPLACE(A128,$A$2, )"),"Saya sudah mencoba untuk mendaftar akun, tetapi tidak bisa terdaftar akun saya. Tertulis ""Error Json Parse""")</f>
        <v>Saya sudah mencoba untuk mendaftar akun, tetapi tidak bisa terdaftar akun saya. Tertulis "Error Json Parse"</v>
      </c>
      <c r="C128" s="17" t="str">
        <f>IFERROR(__xludf.DUMMYFUNCTION("REGEXREPLACE(B128,$A$3, )"),"Saya sudah mencoba untuk mendaftar akun, tetapi tidak bisa terdaftar akun saya. Tertulis ""Error Json Parse""")</f>
        <v>Saya sudah mencoba untuk mendaftar akun, tetapi tidak bisa terdaftar akun saya. Tertulis "Error Json Parse"</v>
      </c>
      <c r="D128" s="17" t="str">
        <f>IFERROR(__xludf.DUMMYFUNCTION("REGEXREPLACE(C128,$A$4, )"),"Saya sudah mencoba untuk mendaftar akun, tetapi tidak bisa terdaftar akun saya. Tertulis ""Error Json Parse""")</f>
        <v>Saya sudah mencoba untuk mendaftar akun, tetapi tidak bisa terdaftar akun saya. Tertulis "Error Json Parse"</v>
      </c>
      <c r="E128" s="17" t="str">
        <f>IFERROR(__xludf.DUMMYFUNCTION("REGEXREPLACE(D128,$A$5, )"),"Saya sudah mencoba untuk mendaftar akun, tetapi tidak bisa terdaftar akun saya. Tertulis ""Error Json Parse""")</f>
        <v>Saya sudah mencoba untuk mendaftar akun, tetapi tidak bisa terdaftar akun saya. Tertulis "Error Json Parse"</v>
      </c>
      <c r="F128" s="17" t="str">
        <f>IFERROR(__xludf.DUMMYFUNCTION("REGEXREPLACE(E128,$A$6, )"),"Saya sudah mencoba untuk mendaftar akun tetapi tidak bisa terdaftar akun saya Tertulis Error Json Parse")</f>
        <v>Saya sudah mencoba untuk mendaftar akun tetapi tidak bisa terdaftar akun saya Tertulis Error Json Parse</v>
      </c>
      <c r="G128" s="18" t="str">
        <f>IFERROR(__xludf.DUMMYFUNCTION("REGEXREPLACE(F128,$A$7, )"),"Saya sudah mencoba untuk mendaftar akun tetapi tidak bisa terdaftar akun saya Tertulis Error Json Parse")</f>
        <v>Saya sudah mencoba untuk mendaftar akun tetapi tidak bisa terdaftar akun saya Tertulis Error Json Parse</v>
      </c>
      <c r="H128" s="17" t="str">
        <f t="shared" si="1"/>
        <v>saya sudah mencoba untuk mendaftar akun tetapi tidak bisa terdaftar akun saya tertulis error json parse</v>
      </c>
    </row>
    <row r="129">
      <c r="A129" s="16" t="s">
        <v>123</v>
      </c>
      <c r="B129" s="17" t="str">
        <f>IFERROR(__xludf.DUMMYFUNCTION("REGEXREPLACE(A129,$A$2, )"),"Susah ya buat upload foto. Error terus. Padahal aplikasi baru update.")</f>
        <v>Susah ya buat upload foto. Error terus. Padahal aplikasi baru update.</v>
      </c>
      <c r="C129" s="17" t="str">
        <f>IFERROR(__xludf.DUMMYFUNCTION("REGEXREPLACE(B129,$A$3, )"),"Susah ya buat upload foto. Error terus. Padahal aplikasi baru update.")</f>
        <v>Susah ya buat upload foto. Error terus. Padahal aplikasi baru update.</v>
      </c>
      <c r="D129" s="17" t="str">
        <f>IFERROR(__xludf.DUMMYFUNCTION("REGEXREPLACE(C129,$A$4, )"),"Susah ya buat upload foto. Error terus. Padahal aplikasi baru update.")</f>
        <v>Susah ya buat upload foto. Error terus. Padahal aplikasi baru update.</v>
      </c>
      <c r="E129" s="17" t="str">
        <f>IFERROR(__xludf.DUMMYFUNCTION("REGEXREPLACE(D129,$A$5, )"),"Susah ya buat upload foto. Error terus. Padahal aplikasi baru update.")</f>
        <v>Susah ya buat upload foto. Error terus. Padahal aplikasi baru update.</v>
      </c>
      <c r="F129" s="17" t="str">
        <f>IFERROR(__xludf.DUMMYFUNCTION("REGEXREPLACE(E129,$A$6, )"),"Susah ya buat upload foto Error terus Padahal aplikasi baru update")</f>
        <v>Susah ya buat upload foto Error terus Padahal aplikasi baru update</v>
      </c>
      <c r="G129" s="18" t="str">
        <f>IFERROR(__xludf.DUMMYFUNCTION("REGEXREPLACE(F129,$A$7, )"),"Susah ya buat upload foto Error terus Padahal aplikasi baru update")</f>
        <v>Susah ya buat upload foto Error terus Padahal aplikasi baru update</v>
      </c>
      <c r="H129" s="17" t="str">
        <f t="shared" si="1"/>
        <v>susah ya buat upload foto error terus padahal aplikasi baru update</v>
      </c>
    </row>
    <row r="130">
      <c r="A130" s="16" t="s">
        <v>124</v>
      </c>
      <c r="B130" s="17" t="str">
        <f>IFERROR(__xludf.DUMMYFUNCTION("REGEXREPLACE(A130,$A$2, )"),"Aplikasi yang lama harus di instal ulang di play store baru bisa login 👍😘♥️🙏😇")</f>
        <v>Aplikasi yang lama harus di instal ulang di play store baru bisa login 👍😘♥️🙏😇</v>
      </c>
      <c r="C130" s="17" t="str">
        <f>IFERROR(__xludf.DUMMYFUNCTION("REGEXREPLACE(B130,$A$3, )"),"Aplikasi yang lama harus di instal ulang di play store baru bisa login 👍😘♥️🙏😇")</f>
        <v>Aplikasi yang lama harus di instal ulang di play store baru bisa login 👍😘♥️🙏😇</v>
      </c>
      <c r="D130" s="17" t="str">
        <f>IFERROR(__xludf.DUMMYFUNCTION("REGEXREPLACE(C130,$A$4, )"),"Aplikasi yang lama harus di instal ulang di play store baru bisa login 👍😘♥️🙏😇")</f>
        <v>Aplikasi yang lama harus di instal ulang di play store baru bisa login 👍😘♥️🙏😇</v>
      </c>
      <c r="E130" s="17" t="str">
        <f>IFERROR(__xludf.DUMMYFUNCTION("REGEXREPLACE(D130,$A$5, )"),"Aplikasi yang lama harus di instal ulang di play store baru bisa login 👍😘♥️🙏😇")</f>
        <v>Aplikasi yang lama harus di instal ulang di play store baru bisa login 👍😘♥️🙏😇</v>
      </c>
      <c r="F130" s="17" t="str">
        <f>IFERROR(__xludf.DUMMYFUNCTION("REGEXREPLACE(E130,$A$6, )"),"Aplikasi yang lama harus di instal ulang di play store baru bisa login 👍😘♥️🙏😇")</f>
        <v>Aplikasi yang lama harus di instal ulang di play store baru bisa login 👍😘♥️🙏😇</v>
      </c>
      <c r="G130" s="18" t="str">
        <f>IFERROR(__xludf.DUMMYFUNCTION("REGEXREPLACE(F130,$A$7, )"),"Aplikasi yang lama harus di instal ulang di play store baru bisa login ")</f>
        <v>Aplikasi yang lama harus di instal ulang di play store baru bisa login </v>
      </c>
      <c r="H130" s="17" t="str">
        <f t="shared" si="1"/>
        <v>aplikasi yang lama harus di instal ulang di play store baru bisa login </v>
      </c>
    </row>
    <row r="131">
      <c r="A131" s="16" t="s">
        <v>125</v>
      </c>
      <c r="B131" s="17" t="str">
        <f>IFERROR(__xludf.DUMMYFUNCTION("REGEXREPLACE(A131,$A$2, )"),"Error susah daftar intuk masuk. Kacau banget. Niat engk sih nih aplikasi")</f>
        <v>Error susah daftar intuk masuk. Kacau banget. Niat engk sih nih aplikasi</v>
      </c>
      <c r="C131" s="17" t="str">
        <f>IFERROR(__xludf.DUMMYFUNCTION("REGEXREPLACE(B131,$A$3, )"),"Error susah daftar intuk masuk. Kacau banget. Niat engk sih nih aplikasi")</f>
        <v>Error susah daftar intuk masuk. Kacau banget. Niat engk sih nih aplikasi</v>
      </c>
      <c r="D131" s="17" t="str">
        <f>IFERROR(__xludf.DUMMYFUNCTION("REGEXREPLACE(C131,$A$4, )"),"Error susah daftar intuk masuk. Kacau banget. Niat engk sih nih aplikasi")</f>
        <v>Error susah daftar intuk masuk. Kacau banget. Niat engk sih nih aplikasi</v>
      </c>
      <c r="E131" s="17" t="str">
        <f>IFERROR(__xludf.DUMMYFUNCTION("REGEXREPLACE(D131,$A$5, )"),"Error susah daftar intuk masuk. Kacau banget. Niat engk sih nih aplikasi")</f>
        <v>Error susah daftar intuk masuk. Kacau banget. Niat engk sih nih aplikasi</v>
      </c>
      <c r="F131" s="17" t="str">
        <f>IFERROR(__xludf.DUMMYFUNCTION("REGEXREPLACE(E131,$A$6, )"),"Error susah daftar intuk masuk Kacau banget Niat engk sih nih aplikasi")</f>
        <v>Error susah daftar intuk masuk Kacau banget Niat engk sih nih aplikasi</v>
      </c>
      <c r="G131" s="18" t="str">
        <f>IFERROR(__xludf.DUMMYFUNCTION("REGEXREPLACE(F131,$A$7, )"),"Error susah daftar intuk masuk Kacau banget Niat engk sih nih aplikasi")</f>
        <v>Error susah daftar intuk masuk Kacau banget Niat engk sih nih aplikasi</v>
      </c>
      <c r="H131" s="17" t="str">
        <f t="shared" si="1"/>
        <v>error susah daftar intuk masuk kacau banget niat engk sih nih aplikasi</v>
      </c>
    </row>
    <row r="132">
      <c r="A132" s="16" t="s">
        <v>126</v>
      </c>
      <c r="B132" s="17" t="str">
        <f>IFERROR(__xludf.DUMMYFUNCTION("REGEXREPLACE(A132,$A$2, )"),"Setelah di update, jadi tidak bisa,, error john parse")</f>
        <v>Setelah di update, jadi tidak bisa,, error john parse</v>
      </c>
      <c r="C132" s="17" t="str">
        <f>IFERROR(__xludf.DUMMYFUNCTION("REGEXREPLACE(B132,$A$3, )"),"Setelah di update, jadi tidak bisa,, error john parse")</f>
        <v>Setelah di update, jadi tidak bisa,, error john parse</v>
      </c>
      <c r="D132" s="17" t="str">
        <f>IFERROR(__xludf.DUMMYFUNCTION("REGEXREPLACE(C132,$A$4, )"),"Setelah di update, jadi tidak bisa,, error john parse")</f>
        <v>Setelah di update, jadi tidak bisa,, error john parse</v>
      </c>
      <c r="E132" s="17" t="str">
        <f>IFERROR(__xludf.DUMMYFUNCTION("REGEXREPLACE(D132,$A$5, )"),"Setelah di update, jadi tidak bisa,, error john parse")</f>
        <v>Setelah di update, jadi tidak bisa,, error john parse</v>
      </c>
      <c r="F132" s="17" t="str">
        <f>IFERROR(__xludf.DUMMYFUNCTION("REGEXREPLACE(E132,$A$6, )"),"Setelah di update jadi tidak bisa error john parse")</f>
        <v>Setelah di update jadi tidak bisa error john parse</v>
      </c>
      <c r="G132" s="18" t="str">
        <f>IFERROR(__xludf.DUMMYFUNCTION("REGEXREPLACE(F132,$A$7, )"),"Setelah di update jadi tidak bisa error john parse")</f>
        <v>Setelah di update jadi tidak bisa error john parse</v>
      </c>
      <c r="H132" s="17" t="str">
        <f t="shared" si="1"/>
        <v>setelah di update jadi tidak bisa error john parse</v>
      </c>
    </row>
    <row r="133">
      <c r="A133" s="16" t="s">
        <v>127</v>
      </c>
      <c r="B133" s="17" t="str">
        <f>IFERROR(__xludf.DUMMYFUNCTION("REGEXREPLACE(A133,$A$2, )"),"Aplikasi error... Tidak bisa melakukan pendaftaran... Hebat aplikasinya...")</f>
        <v>Aplikasi error... Tidak bisa melakukan pendaftaran... Hebat aplikasinya...</v>
      </c>
      <c r="C133" s="17" t="str">
        <f>IFERROR(__xludf.DUMMYFUNCTION("REGEXREPLACE(B133,$A$3, )"),"Aplikasi error... Tidak bisa melakukan pendaftaran... Hebat aplikasinya...")</f>
        <v>Aplikasi error... Tidak bisa melakukan pendaftaran... Hebat aplikasinya...</v>
      </c>
      <c r="D133" s="17" t="str">
        <f>IFERROR(__xludf.DUMMYFUNCTION("REGEXREPLACE(C133,$A$4, )"),"Aplikasi error... Tidak bisa melakukan pendaftaran... Hebat aplikasinya...")</f>
        <v>Aplikasi error... Tidak bisa melakukan pendaftaran... Hebat aplikasinya...</v>
      </c>
      <c r="E133" s="17" t="str">
        <f>IFERROR(__xludf.DUMMYFUNCTION("REGEXREPLACE(D133,$A$5, )"),"Aplikasi error... Tidak bisa melakukan pendaftaran... Hebat aplikasinya...")</f>
        <v>Aplikasi error... Tidak bisa melakukan pendaftaran... Hebat aplikasinya...</v>
      </c>
      <c r="F133" s="17" t="str">
        <f>IFERROR(__xludf.DUMMYFUNCTION("REGEXREPLACE(E133,$A$6, )"),"Aplikasi error Tidak bisa melakukan pendaftaran Hebat aplikasinya")</f>
        <v>Aplikasi error Tidak bisa melakukan pendaftaran Hebat aplikasinya</v>
      </c>
      <c r="G133" s="18" t="str">
        <f>IFERROR(__xludf.DUMMYFUNCTION("REGEXREPLACE(F133,$A$7, )"),"Aplikasi error Tidak bisa melakukan pendaftaran Hebat aplikasinya")</f>
        <v>Aplikasi error Tidak bisa melakukan pendaftaran Hebat aplikasinya</v>
      </c>
      <c r="H133" s="17" t="str">
        <f t="shared" si="1"/>
        <v>aplikasi error tidak bisa melakukan pendaftaran hebat aplikasinya</v>
      </c>
    </row>
    <row r="134">
      <c r="A134" s="16" t="s">
        <v>128</v>
      </c>
      <c r="B134" s="17" t="str">
        <f>IFERROR(__xludf.DUMMYFUNCTION("REGEXREPLACE(A134,$A$2, )"),"Maaf ni mau tanya. Berapa lama pemeliharaan aplikasinya yah? Soalnya saya mau cek penerimaan bantuan BBM tp gak masuk-masuk 🙏")</f>
        <v>Maaf ni mau tanya. Berapa lama pemeliharaan aplikasinya yah? Soalnya saya mau cek penerimaan bantuan BBM tp gak masuk-masuk 🙏</v>
      </c>
      <c r="C134" s="17" t="str">
        <f>IFERROR(__xludf.DUMMYFUNCTION("REGEXREPLACE(B134,$A$3, )"),"Maaf ni mau tanya. Berapa lama pemeliharaan aplikasinya yah? Soalnya saya mau cek penerimaan bantuan BBM tp gak masuk-masuk 🙏")</f>
        <v>Maaf ni mau tanya. Berapa lama pemeliharaan aplikasinya yah? Soalnya saya mau cek penerimaan bantuan BBM tp gak masuk-masuk 🙏</v>
      </c>
      <c r="D134" s="17" t="str">
        <f>IFERROR(__xludf.DUMMYFUNCTION("REGEXREPLACE(C134,$A$4, )"),"Maaf ni mau tanya. Berapa lama pemeliharaan aplikasinya yah? Soalnya saya mau cek penerimaan bantuan BBM tp gak masuk-masuk 🙏")</f>
        <v>Maaf ni mau tanya. Berapa lama pemeliharaan aplikasinya yah? Soalnya saya mau cek penerimaan bantuan BBM tp gak masuk-masuk 🙏</v>
      </c>
      <c r="E134" s="17" t="str">
        <f>IFERROR(__xludf.DUMMYFUNCTION("REGEXREPLACE(D134,$A$5, )"),"Maaf ni mau tanya. Berapa lama pemeliharaan aplikasinya yah? Soalnya saya mau cek penerimaan bantuan BBM tp gak masuk-masuk 🙏")</f>
        <v>Maaf ni mau tanya. Berapa lama pemeliharaan aplikasinya yah? Soalnya saya mau cek penerimaan bantuan BBM tp gak masuk-masuk 🙏</v>
      </c>
      <c r="F134" s="17" t="str">
        <f>IFERROR(__xludf.DUMMYFUNCTION("REGEXREPLACE(E134,$A$6, )"),"Maaf ni mau tanya Berapa lama pemeliharaan aplikasinya yah Soalnya saya mau cek penerimaan bantuan BBM tp gak masukmasuk 🙏")</f>
        <v>Maaf ni mau tanya Berapa lama pemeliharaan aplikasinya yah Soalnya saya mau cek penerimaan bantuan BBM tp gak masukmasuk 🙏</v>
      </c>
      <c r="G134" s="18" t="str">
        <f>IFERROR(__xludf.DUMMYFUNCTION("REGEXREPLACE(F134,$A$7, )"),"Maaf ni mau tanya Berapa lama pemeliharaan aplikasinya yah Soalnya saya mau cek penerimaan bantuan BBM tp gak masukmasuk ")</f>
        <v>Maaf ni mau tanya Berapa lama pemeliharaan aplikasinya yah Soalnya saya mau cek penerimaan bantuan BBM tp gak masukmasuk </v>
      </c>
      <c r="H134" s="17" t="str">
        <f t="shared" si="1"/>
        <v>maaf ni mau tanya berapa lama pemeliharaan aplikasinya yah soalnya saya mau cek penerimaan bantuan bbm tp gak masukmasuk </v>
      </c>
    </row>
    <row r="135">
      <c r="A135" s="16" t="s">
        <v>129</v>
      </c>
      <c r="B135" s="17" t="str">
        <f>IFERROR(__xludf.DUMMYFUNCTION("REGEXREPLACE(A135,$A$2, )"),"Untuk sementara pelayanan dan pengalaman yang dialami belum bisa direkomendasikan atau dikonfirmasi karena pendaftaran selalu error")</f>
        <v>Untuk sementara pelayanan dan pengalaman yang dialami belum bisa direkomendasikan atau dikonfirmasi karena pendaftaran selalu error</v>
      </c>
      <c r="C135" s="17" t="str">
        <f>IFERROR(__xludf.DUMMYFUNCTION("REGEXREPLACE(B135,$A$3, )"),"Untuk sementara pelayanan dan pengalaman yang dialami belum bisa direkomendasikan atau dikonfirmasi karena pendaftaran selalu error")</f>
        <v>Untuk sementara pelayanan dan pengalaman yang dialami belum bisa direkomendasikan atau dikonfirmasi karena pendaftaran selalu error</v>
      </c>
      <c r="D135" s="17" t="str">
        <f>IFERROR(__xludf.DUMMYFUNCTION("REGEXREPLACE(C135,$A$4, )"),"Untuk sementara pelayanan dan pengalaman yang dialami belum bisa direkomendasikan atau dikonfirmasi karena pendaftaran selalu error")</f>
        <v>Untuk sementara pelayanan dan pengalaman yang dialami belum bisa direkomendasikan atau dikonfirmasi karena pendaftaran selalu error</v>
      </c>
      <c r="E135" s="17" t="str">
        <f>IFERROR(__xludf.DUMMYFUNCTION("REGEXREPLACE(D135,$A$5, )"),"Untuk sementara pelayanan dan pengalaman yang dialami belum bisa direkomendasikan atau dikonfirmasi karena pendaftaran selalu error")</f>
        <v>Untuk sementara pelayanan dan pengalaman yang dialami belum bisa direkomendasikan atau dikonfirmasi karena pendaftaran selalu error</v>
      </c>
      <c r="F135" s="17" t="str">
        <f>IFERROR(__xludf.DUMMYFUNCTION("REGEXREPLACE(E135,$A$6, )"),"Untuk sementara pelayanan dan pengalaman yang dialami belum bisa direkomendasikan atau dikonfirmasi karena pendaftaran selalu error")</f>
        <v>Untuk sementara pelayanan dan pengalaman yang dialami belum bisa direkomendasikan atau dikonfirmasi karena pendaftaran selalu error</v>
      </c>
      <c r="G135" s="18" t="str">
        <f>IFERROR(__xludf.DUMMYFUNCTION("REGEXREPLACE(F135,$A$7, )"),"Untuk sementara pelayanan dan pengalaman yang dialami belum bisa direkomendasikan atau dikonfirmasi karena pendaftaran selalu error")</f>
        <v>Untuk sementara pelayanan dan pengalaman yang dialami belum bisa direkomendasikan atau dikonfirmasi karena pendaftaran selalu error</v>
      </c>
      <c r="H135" s="17" t="str">
        <f t="shared" si="1"/>
        <v>untuk sementara pelayanan dan pengalaman yang dialami belum bisa direkomendasikan atau dikonfirmasi karena pendaftaran selalu error</v>
      </c>
    </row>
    <row r="136">
      <c r="A136" s="16" t="s">
        <v>130</v>
      </c>
      <c r="B136" s="17" t="str">
        <f>IFERROR(__xludf.DUMMYFUNCTION("REGEXREPLACE(A136,$A$2, )"),"Terlalu banyak pengguna jadi error terus,buat akun belum bisa")</f>
        <v>Terlalu banyak pengguna jadi error terus,buat akun belum bisa</v>
      </c>
      <c r="C136" s="17" t="str">
        <f>IFERROR(__xludf.DUMMYFUNCTION("REGEXREPLACE(B136,$A$3, )"),"Terlalu banyak pengguna jadi error terus,buat akun belum bisa")</f>
        <v>Terlalu banyak pengguna jadi error terus,buat akun belum bisa</v>
      </c>
      <c r="D136" s="17" t="str">
        <f>IFERROR(__xludf.DUMMYFUNCTION("REGEXREPLACE(C136,$A$4, )"),"Terlalu banyak pengguna jadi error terus,buat akun belum bisa")</f>
        <v>Terlalu banyak pengguna jadi error terus,buat akun belum bisa</v>
      </c>
      <c r="E136" s="17" t="str">
        <f>IFERROR(__xludf.DUMMYFUNCTION("REGEXREPLACE(D136,$A$5, )"),"Terlalu banyak pengguna jadi error terus,buat akun belum bisa")</f>
        <v>Terlalu banyak pengguna jadi error terus,buat akun belum bisa</v>
      </c>
      <c r="F136" s="17" t="str">
        <f>IFERROR(__xludf.DUMMYFUNCTION("REGEXREPLACE(E136,$A$6, )"),"Terlalu banyak pengguna jadi error terusbuat akun belum bisa")</f>
        <v>Terlalu banyak pengguna jadi error terusbuat akun belum bisa</v>
      </c>
      <c r="G136" s="18" t="str">
        <f>IFERROR(__xludf.DUMMYFUNCTION("REGEXREPLACE(F136,$A$7, )"),"Terlalu banyak pengguna jadi error terusbuat akun belum bisa")</f>
        <v>Terlalu banyak pengguna jadi error terusbuat akun belum bisa</v>
      </c>
      <c r="H136" s="17" t="str">
        <f t="shared" si="1"/>
        <v>terlalu banyak pengguna jadi error terusbuat akun belum bisa</v>
      </c>
    </row>
    <row r="137">
      <c r="A137" s="16" t="s">
        <v>131</v>
      </c>
      <c r="B137" s="17" t="str">
        <f>IFERROR(__xludf.DUMMYFUNCTION("REGEXREPLACE(A137,$A$2, )"),"Aplikasi error'terus dan link ubah password nya gak bisa di buka")</f>
        <v>Aplikasi error'terus dan link ubah password nya gak bisa di buka</v>
      </c>
      <c r="C137" s="17" t="str">
        <f>IFERROR(__xludf.DUMMYFUNCTION("REGEXREPLACE(B137,$A$3, )"),"Aplikasi error'terus dan link ubah password nya gak bisa di buka")</f>
        <v>Aplikasi error'terus dan link ubah password nya gak bisa di buka</v>
      </c>
      <c r="D137" s="17" t="str">
        <f>IFERROR(__xludf.DUMMYFUNCTION("REGEXREPLACE(C137,$A$4, )"),"Aplikasi error'terus dan link ubah password nya gak bisa di buka")</f>
        <v>Aplikasi error'terus dan link ubah password nya gak bisa di buka</v>
      </c>
      <c r="E137" s="17" t="str">
        <f>IFERROR(__xludf.DUMMYFUNCTION("REGEXREPLACE(D137,$A$5, )"),"Aplikasi error'terus dan link ubah password nya gak bisa di buka")</f>
        <v>Aplikasi error'terus dan link ubah password nya gak bisa di buka</v>
      </c>
      <c r="F137" s="17" t="str">
        <f>IFERROR(__xludf.DUMMYFUNCTION("REGEXREPLACE(E137,$A$6, )"),"Aplikasi errorterus dan link ubah password nya gak bisa di buka")</f>
        <v>Aplikasi errorterus dan link ubah password nya gak bisa di buka</v>
      </c>
      <c r="G137" s="18" t="str">
        <f>IFERROR(__xludf.DUMMYFUNCTION("REGEXREPLACE(F137,$A$7, )"),"Aplikasi errorterus dan link ubah password nya gak bisa di buka")</f>
        <v>Aplikasi errorterus dan link ubah password nya gak bisa di buka</v>
      </c>
      <c r="H137" s="17" t="str">
        <f t="shared" si="1"/>
        <v>aplikasi errorterus dan link ubah password nya gak bisa di buka</v>
      </c>
    </row>
    <row r="138">
      <c r="A138" s="16" t="s">
        <v>132</v>
      </c>
      <c r="B138" s="17" t="str">
        <f>IFERROR(__xludf.DUMMYFUNCTION("REGEXREPLACE(A138,$A$2, )"),"Gagal daftar terus, alasannya attribute tidak sesuai .ga jelas aplikasinya")</f>
        <v>Gagal daftar terus, alasannya attribute tidak sesuai .ga jelas aplikasinya</v>
      </c>
      <c r="C138" s="17" t="str">
        <f>IFERROR(__xludf.DUMMYFUNCTION("REGEXREPLACE(B138,$A$3, )"),"Gagal daftar terus, alasannya attribute tidak sesuai .ga jelas aplikasinya")</f>
        <v>Gagal daftar terus, alasannya attribute tidak sesuai .ga jelas aplikasinya</v>
      </c>
      <c r="D138" s="17" t="str">
        <f>IFERROR(__xludf.DUMMYFUNCTION("REGEXREPLACE(C138,$A$4, )"),"Gagal daftar terus, alasannya attribute tidak sesuai .ga jelas aplikasinya")</f>
        <v>Gagal daftar terus, alasannya attribute tidak sesuai .ga jelas aplikasinya</v>
      </c>
      <c r="E138" s="17" t="str">
        <f>IFERROR(__xludf.DUMMYFUNCTION("REGEXREPLACE(D138,$A$5, )"),"Gagal daftar terus, alasannya attribute tidak sesuai .ga jelas aplikasinya")</f>
        <v>Gagal daftar terus, alasannya attribute tidak sesuai .ga jelas aplikasinya</v>
      </c>
      <c r="F138" s="17" t="str">
        <f>IFERROR(__xludf.DUMMYFUNCTION("REGEXREPLACE(E138,$A$6, )"),"Gagal daftar terus alasannya attribute tidak sesuai ga jelas aplikasinya")</f>
        <v>Gagal daftar terus alasannya attribute tidak sesuai ga jelas aplikasinya</v>
      </c>
      <c r="G138" s="18" t="str">
        <f>IFERROR(__xludf.DUMMYFUNCTION("REGEXREPLACE(F138,$A$7, )"),"Gagal daftar terus alasannya attribute tidak sesuai ga jelas aplikasinya")</f>
        <v>Gagal daftar terus alasannya attribute tidak sesuai ga jelas aplikasinya</v>
      </c>
      <c r="H138" s="17" t="str">
        <f t="shared" si="1"/>
        <v>gagal daftar terus alasannya attribute tidak sesuai ga jelas aplikasinya</v>
      </c>
    </row>
    <row r="139">
      <c r="A139" s="16" t="s">
        <v>133</v>
      </c>
      <c r="B139" s="17" t="str">
        <f>IFERROR(__xludf.DUMMYFUNCTION("REGEXREPLACE(A139,$A$2, )"),"kepada devplover dan pihak yang ada,,kok aplikasi nya,erorr ??saat mau digunakan,,trimakasih")</f>
        <v>kepada devplover dan pihak yang ada,,kok aplikasi nya,erorr ??saat mau digunakan,,trimakasih</v>
      </c>
      <c r="C139" s="17" t="str">
        <f>IFERROR(__xludf.DUMMYFUNCTION("REGEXREPLACE(B139,$A$3, )"),"kepada devplover dan pihak yang ada,,kok aplikasi nya,erorr ??saat mau digunakan,,trimakasih")</f>
        <v>kepada devplover dan pihak yang ada,,kok aplikasi nya,erorr ??saat mau digunakan,,trimakasih</v>
      </c>
      <c r="D139" s="17" t="str">
        <f>IFERROR(__xludf.DUMMYFUNCTION("REGEXREPLACE(C139,$A$4, )"),"kepada devplover dan pihak yang ada,,kok aplikasi nya,erorr ??saat mau digunakan,,trimakasih")</f>
        <v>kepada devplover dan pihak yang ada,,kok aplikasi nya,erorr ??saat mau digunakan,,trimakasih</v>
      </c>
      <c r="E139" s="17" t="str">
        <f>IFERROR(__xludf.DUMMYFUNCTION("REGEXREPLACE(D139,$A$5, )"),"kepada devplover dan pihak yang ada,,kok aplikasi nya,erorr ??saat mau digunakan,,trimakasih")</f>
        <v>kepada devplover dan pihak yang ada,,kok aplikasi nya,erorr ??saat mau digunakan,,trimakasih</v>
      </c>
      <c r="F139" s="17" t="str">
        <f>IFERROR(__xludf.DUMMYFUNCTION("REGEXREPLACE(E139,$A$6, )"),"kepada devplover dan pihak yang adakok aplikasi nyaerorr saat mau digunakantrimakasih")</f>
        <v>kepada devplover dan pihak yang adakok aplikasi nyaerorr saat mau digunakantrimakasih</v>
      </c>
      <c r="G139" s="18" t="str">
        <f>IFERROR(__xludf.DUMMYFUNCTION("REGEXREPLACE(F139,$A$7, )"),"kepada devplover dan pihak yang adakok aplikasi nyaerorr saat mau digunakantrimakasih")</f>
        <v>kepada devplover dan pihak yang adakok aplikasi nyaerorr saat mau digunakantrimakasih</v>
      </c>
      <c r="H139" s="17" t="str">
        <f t="shared" si="1"/>
        <v>kepada devplover dan pihak yang adakok aplikasi nyaerorr saat mau digunakantrimakasih</v>
      </c>
    </row>
    <row r="140">
      <c r="A140" s="16" t="s">
        <v>134</v>
      </c>
      <c r="B140" s="17" t="str">
        <f>IFERROR(__xludf.DUMMYFUNCTION("REGEXREPLACE(A140,$A$2, )"),"Aplikasi error terus ga bisa login kaya ga niat bikin aplikasi")</f>
        <v>Aplikasi error terus ga bisa login kaya ga niat bikin aplikasi</v>
      </c>
      <c r="C140" s="17" t="str">
        <f>IFERROR(__xludf.DUMMYFUNCTION("REGEXREPLACE(B140,$A$3, )"),"Aplikasi error terus ga bisa login kaya ga niat bikin aplikasi")</f>
        <v>Aplikasi error terus ga bisa login kaya ga niat bikin aplikasi</v>
      </c>
      <c r="D140" s="17" t="str">
        <f>IFERROR(__xludf.DUMMYFUNCTION("REGEXREPLACE(C140,$A$4, )"),"Aplikasi error terus ga bisa login kaya ga niat bikin aplikasi")</f>
        <v>Aplikasi error terus ga bisa login kaya ga niat bikin aplikasi</v>
      </c>
      <c r="E140" s="17" t="str">
        <f>IFERROR(__xludf.DUMMYFUNCTION("REGEXREPLACE(D140,$A$5, )"),"Aplikasi error terus ga bisa login kaya ga niat bikin aplikasi")</f>
        <v>Aplikasi error terus ga bisa login kaya ga niat bikin aplikasi</v>
      </c>
      <c r="F140" s="17" t="str">
        <f>IFERROR(__xludf.DUMMYFUNCTION("REGEXREPLACE(E140,$A$6, )"),"Aplikasi error terus ga bisa login kaya ga niat bikin aplikasi")</f>
        <v>Aplikasi error terus ga bisa login kaya ga niat bikin aplikasi</v>
      </c>
      <c r="G140" s="18" t="str">
        <f>IFERROR(__xludf.DUMMYFUNCTION("REGEXREPLACE(F140,$A$7, )"),"Aplikasi error terus ga bisa login kaya ga niat bikin aplikasi")</f>
        <v>Aplikasi error terus ga bisa login kaya ga niat bikin aplikasi</v>
      </c>
      <c r="H140" s="17" t="str">
        <f t="shared" si="1"/>
        <v>aplikasi error terus ga bisa login kaya ga niat bikin aplikasi</v>
      </c>
    </row>
    <row r="141">
      <c r="A141" s="16" t="s">
        <v>135</v>
      </c>
      <c r="B141" s="17" t="str">
        <f>IFERROR(__xludf.DUMMYFUNCTION("REGEXREPLACE(A141,$A$2, )"),"aplikasi tidak bekerja sudah coba daptar pas login minta akun baru lagi dan ber ulang")</f>
        <v>aplikasi tidak bekerja sudah coba daptar pas login minta akun baru lagi dan ber ulang</v>
      </c>
      <c r="C141" s="17" t="str">
        <f>IFERROR(__xludf.DUMMYFUNCTION("REGEXREPLACE(B141,$A$3, )"),"aplikasi tidak bekerja sudah coba daptar pas login minta akun baru lagi dan ber ulang")</f>
        <v>aplikasi tidak bekerja sudah coba daptar pas login minta akun baru lagi dan ber ulang</v>
      </c>
      <c r="D141" s="17" t="str">
        <f>IFERROR(__xludf.DUMMYFUNCTION("REGEXREPLACE(C141,$A$4, )"),"aplikasi tidak bekerja sudah coba daptar pas login minta akun baru lagi dan ber ulang")</f>
        <v>aplikasi tidak bekerja sudah coba daptar pas login minta akun baru lagi dan ber ulang</v>
      </c>
      <c r="E141" s="17" t="str">
        <f>IFERROR(__xludf.DUMMYFUNCTION("REGEXREPLACE(D141,$A$5, )"),"aplikasi tidak bekerja sudah coba daptar pas login minta akun baru lagi dan ber ulang")</f>
        <v>aplikasi tidak bekerja sudah coba daptar pas login minta akun baru lagi dan ber ulang</v>
      </c>
      <c r="F141" s="17" t="str">
        <f>IFERROR(__xludf.DUMMYFUNCTION("REGEXREPLACE(E141,$A$6, )"),"aplikasi tidak bekerja sudah coba daptar pas login minta akun baru lagi dan ber ulang")</f>
        <v>aplikasi tidak bekerja sudah coba daptar pas login minta akun baru lagi dan ber ulang</v>
      </c>
      <c r="G141" s="18" t="str">
        <f>IFERROR(__xludf.DUMMYFUNCTION("REGEXREPLACE(F141,$A$7, )"),"aplikasi tidak bekerja sudah coba daptar pas login minta akun baru lagi dan ber ulang")</f>
        <v>aplikasi tidak bekerja sudah coba daptar pas login minta akun baru lagi dan ber ulang</v>
      </c>
      <c r="H141" s="17" t="str">
        <f t="shared" si="1"/>
        <v>aplikasi tidak bekerja sudah coba daptar pas login minta akun baru lagi dan ber ulang</v>
      </c>
    </row>
    <row r="142">
      <c r="A142" s="16" t="s">
        <v>136</v>
      </c>
      <c r="B142" s="17" t="str">
        <f>IFERROR(__xludf.DUMMYFUNCTION("REGEXREPLACE(A142,$A$2, )"),"Tepatnya tgl 3 october 2022 bahwa sanggahan sy sdh berhasil pendaftaran, bahkan sdh ada laporan ke email sy, tp bgtu sy BK apl cek bansos RI sampai saat ini TDK bisa di buka atau melakukan kelanjutannya,,jdi tolong untuk di perbaiki apl nya")</f>
        <v>Tepatnya tgl 3 october 2022 bahwa sanggahan sy sdh berhasil pendaftaran, bahkan sdh ada laporan ke email sy, tp bgtu sy BK apl cek bansos RI sampai saat ini TDK bisa di buka atau melakukan kelanjutannya,,jdi tolong untuk di perbaiki apl nya</v>
      </c>
      <c r="C142" s="17" t="str">
        <f>IFERROR(__xludf.DUMMYFUNCTION("REGEXREPLACE(B142,$A$3, )"),"Tepatnya tgl 3 october 2022 bahwa sanggahan sy sdh berhasil pendaftaran, bahkan sdh ada laporan ke email sy, tp bgtu sy BK apl cek bansos RI sampai saat ini TDK bisa di buka atau melakukan kelanjutannya,,jdi tolong untuk di perbaiki apl nya")</f>
        <v>Tepatnya tgl 3 october 2022 bahwa sanggahan sy sdh berhasil pendaftaran, bahkan sdh ada laporan ke email sy, tp bgtu sy BK apl cek bansos RI sampai saat ini TDK bisa di buka atau melakukan kelanjutannya,,jdi tolong untuk di perbaiki apl nya</v>
      </c>
      <c r="D142" s="17" t="str">
        <f>IFERROR(__xludf.DUMMYFUNCTION("REGEXREPLACE(C142,$A$4, )"),"Tepatnya tgl 3 october 2022 bahwa sanggahan sy sdh berhasil pendaftaran, bahkan sdh ada laporan ke email sy, tp bgtu sy BK apl cek bansos RI sampai saat ini TDK bisa di buka atau melakukan kelanjutannya,,jdi tolong untuk di perbaiki apl nya")</f>
        <v>Tepatnya tgl 3 october 2022 bahwa sanggahan sy sdh berhasil pendaftaran, bahkan sdh ada laporan ke email sy, tp bgtu sy BK apl cek bansos RI sampai saat ini TDK bisa di buka atau melakukan kelanjutannya,,jdi tolong untuk di perbaiki apl nya</v>
      </c>
      <c r="E142" s="17" t="str">
        <f>IFERROR(__xludf.DUMMYFUNCTION("REGEXREPLACE(D142,$A$5, )"),"Tepatnya tgl  october  bahwa sanggahan sy sdh berhasil pendaftaran, bahkan sdh ada laporan ke email sy, tp bgtu sy BK apl cek bansos RI sampai saat ini TDK bisa di buka atau melakukan kelanjutannya,,jdi tolong untuk di perbaiki apl nya")</f>
        <v>Tepatnya tgl  october  bahwa sanggahan sy sdh berhasil pendaftaran, bahkan sdh ada laporan ke email sy, tp bgtu sy BK apl cek bansos RI sampai saat ini TDK bisa di buka atau melakukan kelanjutannya,,jdi tolong untuk di perbaiki apl nya</v>
      </c>
      <c r="F142" s="17" t="str">
        <f>IFERROR(__xludf.DUMMYFUNCTION("REGEXREPLACE(E142,$A$6, )"),"Tepatnya tgl  october  bahwa sanggahan sy sdh berhasil pendaftaran bahkan sdh ada laporan ke email sy tp bgtu sy BK apl cek bansos RI sampai saat ini TDK bisa di buka atau melakukan kelanjutannyajdi tolong untuk di perbaiki apl nya")</f>
        <v>Tepatnya tgl  october  bahwa sanggahan sy sdh berhasil pendaftaran bahkan sdh ada laporan ke email sy tp bgtu sy BK apl cek bansos RI sampai saat ini TDK bisa di buka atau melakukan kelanjutannyajdi tolong untuk di perbaiki apl nya</v>
      </c>
      <c r="G142" s="18" t="str">
        <f>IFERROR(__xludf.DUMMYFUNCTION("REGEXREPLACE(F142,$A$7, )"),"Tepatnya tgl  october  bahwa sanggahan sy sdh berhasil pendaftaran bahkan sdh ada laporan ke email sy tp bgtu sy BK apl cek bansos RI sampai saat ini TDK bisa di buka atau melakukan kelanjutannyajdi tolong untuk di perbaiki apl nya")</f>
        <v>Tepatnya tgl  october  bahwa sanggahan sy sdh berhasil pendaftaran bahkan sdh ada laporan ke email sy tp bgtu sy BK apl cek bansos RI sampai saat ini TDK bisa di buka atau melakukan kelanjutannyajdi tolong untuk di perbaiki apl nya</v>
      </c>
      <c r="H142" s="17" t="str">
        <f t="shared" si="1"/>
        <v>tepatnya tgl  october  bahwa sanggahan sy sdh berhasil pendaftaran bahkan sdh ada laporan ke email sy tp bgtu sy bk apl cek bansos ri sampai saat ini tdk bisa di buka atau melakukan kelanjutannyajdi tolong untuk di perbaiki apl nya</v>
      </c>
    </row>
    <row r="143">
      <c r="A143" s="16" t="s">
        <v>137</v>
      </c>
      <c r="B143" s="17" t="str">
        <f>IFERROR(__xludf.DUMMYFUNCTION("REGEXREPLACE(A143,$A$2, )"),"mao daftar aja error mulu, tolong perbaiki lagi aplikasinya")</f>
        <v>mao daftar aja error mulu, tolong perbaiki lagi aplikasinya</v>
      </c>
      <c r="C143" s="17" t="str">
        <f>IFERROR(__xludf.DUMMYFUNCTION("REGEXREPLACE(B143,$A$3, )"),"mao daftar aja error mulu, tolong perbaiki lagi aplikasinya")</f>
        <v>mao daftar aja error mulu, tolong perbaiki lagi aplikasinya</v>
      </c>
      <c r="D143" s="17" t="str">
        <f>IFERROR(__xludf.DUMMYFUNCTION("REGEXREPLACE(C143,$A$4, )"),"mao daftar aja error mulu, tolong perbaiki lagi aplikasinya")</f>
        <v>mao daftar aja error mulu, tolong perbaiki lagi aplikasinya</v>
      </c>
      <c r="E143" s="17" t="str">
        <f>IFERROR(__xludf.DUMMYFUNCTION("REGEXREPLACE(D143,$A$5, )"),"mao daftar aja error mulu, tolong perbaiki lagi aplikasinya")</f>
        <v>mao daftar aja error mulu, tolong perbaiki lagi aplikasinya</v>
      </c>
      <c r="F143" s="17" t="str">
        <f>IFERROR(__xludf.DUMMYFUNCTION("REGEXREPLACE(E143,$A$6, )"),"mao daftar aja error mulu tolong perbaiki lagi aplikasinya")</f>
        <v>mao daftar aja error mulu tolong perbaiki lagi aplikasinya</v>
      </c>
      <c r="G143" s="18" t="str">
        <f>IFERROR(__xludf.DUMMYFUNCTION("REGEXREPLACE(F143,$A$7, )"),"mao daftar aja error mulu tolong perbaiki lagi aplikasinya")</f>
        <v>mao daftar aja error mulu tolong perbaiki lagi aplikasinya</v>
      </c>
      <c r="H143" s="17" t="str">
        <f t="shared" si="1"/>
        <v>mao daftar aja error mulu tolong perbaiki lagi aplikasinya</v>
      </c>
    </row>
    <row r="144">
      <c r="A144" s="16" t="s">
        <v>138</v>
      </c>
      <c r="B144" s="17" t="str">
        <f>IFERROR(__xludf.DUMMYFUNCTION("REGEXREPLACE(A144,$A$2, )"),"Kenapa kok belum ada respon dri dinsoskenapa aplikasi nya error min mhon utk di perbaiki dn penjelasan nya")</f>
        <v>Kenapa kok belum ada respon dri dinsoskenapa aplikasi nya error min mhon utk di perbaiki dn penjelasan nya</v>
      </c>
      <c r="C144" s="17" t="str">
        <f>IFERROR(__xludf.DUMMYFUNCTION("REGEXREPLACE(B144,$A$3, )"),"Kenapa kok belum ada respon dri dinsoskenapa aplikasi nya error min mhon utk di perbaiki dn penjelasan nya")</f>
        <v>Kenapa kok belum ada respon dri dinsoskenapa aplikasi nya error min mhon utk di perbaiki dn penjelasan nya</v>
      </c>
      <c r="D144" s="17" t="str">
        <f>IFERROR(__xludf.DUMMYFUNCTION("REGEXREPLACE(C144,$A$4, )"),"Kenapa kok belum ada respon dri dinsoskenapa aplikasi nya error min mhon utk di perbaiki dn penjelasan nya")</f>
        <v>Kenapa kok belum ada respon dri dinsoskenapa aplikasi nya error min mhon utk di perbaiki dn penjelasan nya</v>
      </c>
      <c r="E144" s="17" t="str">
        <f>IFERROR(__xludf.DUMMYFUNCTION("REGEXREPLACE(D144,$A$5, )"),"Kenapa kok belum ada respon dri dinsoskenapa aplikasi nya error min mhon utk di perbaiki dn penjelasan nya")</f>
        <v>Kenapa kok belum ada respon dri dinsoskenapa aplikasi nya error min mhon utk di perbaiki dn penjelasan nya</v>
      </c>
      <c r="F144" s="17" t="str">
        <f>IFERROR(__xludf.DUMMYFUNCTION("REGEXREPLACE(E144,$A$6, )"),"Kenapa kok belum ada respon dri dinsoskenapa aplikasi nya error min mhon utk di perbaiki dn penjelasan nya")</f>
        <v>Kenapa kok belum ada respon dri dinsoskenapa aplikasi nya error min mhon utk di perbaiki dn penjelasan nya</v>
      </c>
      <c r="G144" s="18" t="str">
        <f>IFERROR(__xludf.DUMMYFUNCTION("REGEXREPLACE(F144,$A$7, )"),"Kenapa kok belum ada respon dri dinsoskenapa aplikasi nya error min mhon utk di perbaiki dn penjelasan nya")</f>
        <v>Kenapa kok belum ada respon dri dinsoskenapa aplikasi nya error min mhon utk di perbaiki dn penjelasan nya</v>
      </c>
      <c r="H144" s="17" t="str">
        <f t="shared" si="1"/>
        <v>kenapa kok belum ada respon dri dinsoskenapa aplikasi nya error min mhon utk di perbaiki dn penjelasan nya</v>
      </c>
    </row>
    <row r="145">
      <c r="A145" s="16" t="s">
        <v>139</v>
      </c>
      <c r="B145" s="17" t="str">
        <f>IFERROR(__xludf.DUMMYFUNCTION("REGEXREPLACE(A145,$A$2, )"),"Belum bisa masuk, mau ganti kata sandi, link yg diberi error g bisadibuka, udah 1 bln ini")</f>
        <v>Belum bisa masuk, mau ganti kata sandi, link yg diberi error g bisadibuka, udah 1 bln ini</v>
      </c>
      <c r="C145" s="17" t="str">
        <f>IFERROR(__xludf.DUMMYFUNCTION("REGEXREPLACE(B145,$A$3, )"),"Belum bisa masuk, mau ganti kata sandi, link yg diberi error g bisadibuka, udah 1 bln ini")</f>
        <v>Belum bisa masuk, mau ganti kata sandi, link yg diberi error g bisadibuka, udah 1 bln ini</v>
      </c>
      <c r="D145" s="17" t="str">
        <f>IFERROR(__xludf.DUMMYFUNCTION("REGEXREPLACE(C145,$A$4, )"),"Belum bisa masuk, mau ganti kata sandi, link yg diberi error g bisadibuka, udah 1 bln ini")</f>
        <v>Belum bisa masuk, mau ganti kata sandi, link yg diberi error g bisadibuka, udah 1 bln ini</v>
      </c>
      <c r="E145" s="17" t="str">
        <f>IFERROR(__xludf.DUMMYFUNCTION("REGEXREPLACE(D145,$A$5, )"),"Belum bisa masuk, mau ganti kata sandi, link yg diberi error g bisadibuka, udah  bln ini")</f>
        <v>Belum bisa masuk, mau ganti kata sandi, link yg diberi error g bisadibuka, udah  bln ini</v>
      </c>
      <c r="F145" s="17" t="str">
        <f>IFERROR(__xludf.DUMMYFUNCTION("REGEXREPLACE(E145,$A$6, )"),"Belum bisa masuk mau ganti kata sandi link yg diberi error g bisadibuka udah  bln ini")</f>
        <v>Belum bisa masuk mau ganti kata sandi link yg diberi error g bisadibuka udah  bln ini</v>
      </c>
      <c r="G145" s="18" t="str">
        <f>IFERROR(__xludf.DUMMYFUNCTION("REGEXREPLACE(F145,$A$7, )"),"Belum bisa masuk mau ganti kata sandi link yg diberi error g bisadibuka udah  bln ini")</f>
        <v>Belum bisa masuk mau ganti kata sandi link yg diberi error g bisadibuka udah  bln ini</v>
      </c>
      <c r="H145" s="17" t="str">
        <f t="shared" si="1"/>
        <v>belum bisa masuk mau ganti kata sandi link yg diberi error g bisadibuka udah  bln ini</v>
      </c>
    </row>
    <row r="146">
      <c r="A146" s="16" t="s">
        <v>140</v>
      </c>
      <c r="B146" s="17" t="str">
        <f>IFERROR(__xludf.DUMMYFUNCTION("REGEXREPLACE(A146,$A$2, )"),"Saya sudah daftar di aplikasi ini dan mengajukan tambah usulan tapi belum dicek terus..")</f>
        <v>Saya sudah daftar di aplikasi ini dan mengajukan tambah usulan tapi belum dicek terus..</v>
      </c>
      <c r="C146" s="17" t="str">
        <f>IFERROR(__xludf.DUMMYFUNCTION("REGEXREPLACE(B146,$A$3, )"),"Saya sudah daftar di aplikasi ini dan mengajukan tambah usulan tapi belum dicek terus..")</f>
        <v>Saya sudah daftar di aplikasi ini dan mengajukan tambah usulan tapi belum dicek terus..</v>
      </c>
      <c r="D146" s="17" t="str">
        <f>IFERROR(__xludf.DUMMYFUNCTION("REGEXREPLACE(C146,$A$4, )"),"Saya sudah daftar di aplikasi ini dan mengajukan tambah usulan tapi belum dicek terus..")</f>
        <v>Saya sudah daftar di aplikasi ini dan mengajukan tambah usulan tapi belum dicek terus..</v>
      </c>
      <c r="E146" s="17" t="str">
        <f>IFERROR(__xludf.DUMMYFUNCTION("REGEXREPLACE(D146,$A$5, )"),"Saya sudah daftar di aplikasi ini dan mengajukan tambah usulan tapi belum dicek terus..")</f>
        <v>Saya sudah daftar di aplikasi ini dan mengajukan tambah usulan tapi belum dicek terus..</v>
      </c>
      <c r="F146" s="17" t="str">
        <f>IFERROR(__xludf.DUMMYFUNCTION("REGEXREPLACE(E146,$A$6, )"),"Saya sudah daftar di aplikasi ini dan mengajukan tambah usulan tapi belum dicek terus")</f>
        <v>Saya sudah daftar di aplikasi ini dan mengajukan tambah usulan tapi belum dicek terus</v>
      </c>
      <c r="G146" s="18" t="str">
        <f>IFERROR(__xludf.DUMMYFUNCTION("REGEXREPLACE(F146,$A$7, )"),"Saya sudah daftar di aplikasi ini dan mengajukan tambah usulan tapi belum dicek terus")</f>
        <v>Saya sudah daftar di aplikasi ini dan mengajukan tambah usulan tapi belum dicek terus</v>
      </c>
      <c r="H146" s="17" t="str">
        <f t="shared" si="1"/>
        <v>saya sudah daftar di aplikasi ini dan mengajukan tambah usulan tapi belum dicek terus</v>
      </c>
    </row>
    <row r="147">
      <c r="A147" s="16" t="s">
        <v>141</v>
      </c>
      <c r="B147" s="17" t="str">
        <f>IFERROR(__xludf.DUMMYFUNCTION("REGEXREPLACE(A147,$A$2, )"),"Terimakasih sekarang sudah bisa di buka.cuma masih ada kekurangan untuk pengajuan usul sanggah yang sampai saat ini masih belum juga di tinjau oleh pihak pusat kemensos")</f>
        <v>Terimakasih sekarang sudah bisa di buka.cuma masih ada kekurangan untuk pengajuan usul sanggah yang sampai saat ini masih belum juga di tinjau oleh pihak pusat kemensos</v>
      </c>
      <c r="C147" s="17" t="str">
        <f>IFERROR(__xludf.DUMMYFUNCTION("REGEXREPLACE(B147,$A$3, )"),"Terimakasih sekarang sudah bisa di buka.cuma masih ada kekurangan untuk pengajuan usul sanggah yang sampai saat ini masih belum juga di tinjau oleh pihak pusat kemensos")</f>
        <v>Terimakasih sekarang sudah bisa di buka.cuma masih ada kekurangan untuk pengajuan usul sanggah yang sampai saat ini masih belum juga di tinjau oleh pihak pusat kemensos</v>
      </c>
      <c r="D147" s="17" t="str">
        <f>IFERROR(__xludf.DUMMYFUNCTION("REGEXREPLACE(C147,$A$4, )"),"Terimakasih sekarang sudah bisa di buka.cuma masih ada kekurangan untuk pengajuan usul sanggah yang sampai saat ini masih belum juga di tinjau oleh pihak pusat kemensos")</f>
        <v>Terimakasih sekarang sudah bisa di buka.cuma masih ada kekurangan untuk pengajuan usul sanggah yang sampai saat ini masih belum juga di tinjau oleh pihak pusat kemensos</v>
      </c>
      <c r="E147" s="17" t="str">
        <f>IFERROR(__xludf.DUMMYFUNCTION("REGEXREPLACE(D147,$A$5, )"),"Terimakasih sekarang sudah bisa di buka.cuma masih ada kekurangan untuk pengajuan usul sanggah yang sampai saat ini masih belum juga di tinjau oleh pihak pusat kemensos")</f>
        <v>Terimakasih sekarang sudah bisa di buka.cuma masih ada kekurangan untuk pengajuan usul sanggah yang sampai saat ini masih belum juga di tinjau oleh pihak pusat kemensos</v>
      </c>
      <c r="F147" s="17" t="str">
        <f>IFERROR(__xludf.DUMMYFUNCTION("REGEXREPLACE(E147,$A$6, )"),"Terimakasih sekarang sudah bisa di bukacuma masih ada kekurangan untuk pengajuan usul sanggah yang sampai saat ini masih belum juga di tinjau oleh pihak pusat kemensos")</f>
        <v>Terimakasih sekarang sudah bisa di bukacuma masih ada kekurangan untuk pengajuan usul sanggah yang sampai saat ini masih belum juga di tinjau oleh pihak pusat kemensos</v>
      </c>
      <c r="G147" s="18" t="str">
        <f>IFERROR(__xludf.DUMMYFUNCTION("REGEXREPLACE(F147,$A$7, )"),"Terimakasih sekarang sudah bisa di bukacuma masih ada kekurangan untuk pengajuan usul sanggah yang sampai saat ini masih belum juga di tinjau oleh pihak pusat kemensos")</f>
        <v>Terimakasih sekarang sudah bisa di bukacuma masih ada kekurangan untuk pengajuan usul sanggah yang sampai saat ini masih belum juga di tinjau oleh pihak pusat kemensos</v>
      </c>
      <c r="H147" s="17" t="str">
        <f t="shared" si="1"/>
        <v>terimakasih sekarang sudah bisa di bukacuma masih ada kekurangan untuk pengajuan usul sanggah yang sampai saat ini masih belum juga di tinjau oleh pihak pusat kemensos</v>
      </c>
    </row>
    <row r="148">
      <c r="A148" s="16" t="s">
        <v>142</v>
      </c>
      <c r="B148" s="17" t="str">
        <f>IFERROR(__xludf.DUMMYFUNCTION("REGEXREPLACE(A148,$A$2, )"),"Error saat buat akun, apakah aplikasi ini sudah tidak berlaku lagi? Mohon penjelasan nya ya admin, Terimakasih.")</f>
        <v>Error saat buat akun, apakah aplikasi ini sudah tidak berlaku lagi? Mohon penjelasan nya ya admin, Terimakasih.</v>
      </c>
      <c r="C148" s="17" t="str">
        <f>IFERROR(__xludf.DUMMYFUNCTION("REGEXREPLACE(B148,$A$3, )"),"Error saat buat akun, apakah aplikasi ini sudah tidak berlaku lagi? Mohon penjelasan nya ya admin, Terimakasih.")</f>
        <v>Error saat buat akun, apakah aplikasi ini sudah tidak berlaku lagi? Mohon penjelasan nya ya admin, Terimakasih.</v>
      </c>
      <c r="D148" s="17" t="str">
        <f>IFERROR(__xludf.DUMMYFUNCTION("REGEXREPLACE(C148,$A$4, )"),"Error saat buat akun, apakah aplikasi ini sudah tidak berlaku lagi? Mohon penjelasan nya ya admin, Terimakasih.")</f>
        <v>Error saat buat akun, apakah aplikasi ini sudah tidak berlaku lagi? Mohon penjelasan nya ya admin, Terimakasih.</v>
      </c>
      <c r="E148" s="17" t="str">
        <f>IFERROR(__xludf.DUMMYFUNCTION("REGEXREPLACE(D148,$A$5, )"),"Error saat buat akun, apakah aplikasi ini sudah tidak berlaku lagi? Mohon penjelasan nya ya admin, Terimakasih.")</f>
        <v>Error saat buat akun, apakah aplikasi ini sudah tidak berlaku lagi? Mohon penjelasan nya ya admin, Terimakasih.</v>
      </c>
      <c r="F148" s="17" t="str">
        <f>IFERROR(__xludf.DUMMYFUNCTION("REGEXREPLACE(E148,$A$6, )"),"Error saat buat akun apakah aplikasi ini sudah tidak berlaku lagi Mohon penjelasan nya ya admin Terimakasih")</f>
        <v>Error saat buat akun apakah aplikasi ini sudah tidak berlaku lagi Mohon penjelasan nya ya admin Terimakasih</v>
      </c>
      <c r="G148" s="18" t="str">
        <f>IFERROR(__xludf.DUMMYFUNCTION("REGEXREPLACE(F148,$A$7, )"),"Error saat buat akun apakah aplikasi ini sudah tidak berlaku lagi Mohon penjelasan nya ya admin Terimakasih")</f>
        <v>Error saat buat akun apakah aplikasi ini sudah tidak berlaku lagi Mohon penjelasan nya ya admin Terimakasih</v>
      </c>
      <c r="H148" s="17" t="str">
        <f t="shared" si="1"/>
        <v>error saat buat akun apakah aplikasi ini sudah tidak berlaku lagi mohon penjelasan nya ya admin terimakasih</v>
      </c>
    </row>
    <row r="149">
      <c r="A149" s="16" t="s">
        <v>143</v>
      </c>
      <c r="B149" s="17" t="str">
        <f>IFERROR(__xludf.DUMMYFUNCTION("REGEXREPLACE(A149,$A$2, )"),"Berhasil tinggal menunggu verifikasi, mudah mudahan disetujui 🤲")</f>
        <v>Berhasil tinggal menunggu verifikasi, mudah mudahan disetujui 🤲</v>
      </c>
      <c r="C149" s="17" t="str">
        <f>IFERROR(__xludf.DUMMYFUNCTION("REGEXREPLACE(B149,$A$3, )"),"Berhasil tinggal menunggu verifikasi, mudah mudahan disetujui 🤲")</f>
        <v>Berhasil tinggal menunggu verifikasi, mudah mudahan disetujui 🤲</v>
      </c>
      <c r="D149" s="17" t="str">
        <f>IFERROR(__xludf.DUMMYFUNCTION("REGEXREPLACE(C149,$A$4, )"),"Berhasil tinggal menunggu verifikasi, mudah mudahan disetujui 🤲")</f>
        <v>Berhasil tinggal menunggu verifikasi, mudah mudahan disetujui 🤲</v>
      </c>
      <c r="E149" s="17" t="str">
        <f>IFERROR(__xludf.DUMMYFUNCTION("REGEXREPLACE(D149,$A$5, )"),"Berhasil tinggal menunggu verifikasi, mudah mudahan disetujui 🤲")</f>
        <v>Berhasil tinggal menunggu verifikasi, mudah mudahan disetujui 🤲</v>
      </c>
      <c r="F149" s="17" t="str">
        <f>IFERROR(__xludf.DUMMYFUNCTION("REGEXREPLACE(E149,$A$6, )"),"Berhasil tinggal menunggu verifikasi mudah mudahan disetujui 🤲")</f>
        <v>Berhasil tinggal menunggu verifikasi mudah mudahan disetujui 🤲</v>
      </c>
      <c r="G149" s="18" t="str">
        <f>IFERROR(__xludf.DUMMYFUNCTION("REGEXREPLACE(F149,$A$7, )"),"Berhasil tinggal menunggu verifikasi mudah mudahan disetujui ")</f>
        <v>Berhasil tinggal menunggu verifikasi mudah mudahan disetujui </v>
      </c>
      <c r="H149" s="17" t="str">
        <f t="shared" si="1"/>
        <v>berhasil tinggal menunggu verifikasi mudah mudahan disetujui </v>
      </c>
    </row>
    <row r="150">
      <c r="A150" s="16" t="s">
        <v>144</v>
      </c>
      <c r="B150" s="17" t="str">
        <f>IFERROR(__xludf.DUMMYFUNCTION("REGEXREPLACE(A150,$A$2, )"),"Tolong di perbaiki lagi masih serung eror....terimakasih karna sudah ada apk ini")</f>
        <v>Tolong di perbaiki lagi masih serung eror....terimakasih karna sudah ada apk ini</v>
      </c>
      <c r="C150" s="17" t="str">
        <f>IFERROR(__xludf.DUMMYFUNCTION("REGEXREPLACE(B150,$A$3, )"),"Tolong di perbaiki lagi masih serung eror....terimakasih karna sudah ada apk ini")</f>
        <v>Tolong di perbaiki lagi masih serung eror....terimakasih karna sudah ada apk ini</v>
      </c>
      <c r="D150" s="17" t="str">
        <f>IFERROR(__xludf.DUMMYFUNCTION("REGEXREPLACE(C150,$A$4, )"),"Tolong di perbaiki lagi masih serung eror....terimakasih karna sudah ada apk ini")</f>
        <v>Tolong di perbaiki lagi masih serung eror....terimakasih karna sudah ada apk ini</v>
      </c>
      <c r="E150" s="17" t="str">
        <f>IFERROR(__xludf.DUMMYFUNCTION("REGEXREPLACE(D150,$A$5, )"),"Tolong di perbaiki lagi masih serung eror....terimakasih karna sudah ada apk ini")</f>
        <v>Tolong di perbaiki lagi masih serung eror....terimakasih karna sudah ada apk ini</v>
      </c>
      <c r="F150" s="17" t="str">
        <f>IFERROR(__xludf.DUMMYFUNCTION("REGEXREPLACE(E150,$A$6, )"),"Tolong di perbaiki lagi masih serung erorterimakasih karna sudah ada apk ini")</f>
        <v>Tolong di perbaiki lagi masih serung erorterimakasih karna sudah ada apk ini</v>
      </c>
      <c r="G150" s="18" t="str">
        <f>IFERROR(__xludf.DUMMYFUNCTION("REGEXREPLACE(F150,$A$7, )"),"Tolong di perbaiki lagi masih serung erorterimakasih karna sudah ada apk ini")</f>
        <v>Tolong di perbaiki lagi masih serung erorterimakasih karna sudah ada apk ini</v>
      </c>
      <c r="H150" s="17" t="str">
        <f t="shared" si="1"/>
        <v>tolong di perbaiki lagi masih serung erorterimakasih karna sudah ada apk ini</v>
      </c>
    </row>
    <row r="151">
      <c r="A151" s="16" t="s">
        <v>145</v>
      </c>
      <c r="B151" s="17" t="str">
        <f>IFERROR(__xludf.DUMMYFUNCTION("REGEXREPLACE(A151,$A$2, )"),"Semoga saya bisa dapat bansos , karena dari dulu sampai sekarang belum pernah dapat bantuan dari pemerintah..agak bingung juga kok bisa ngak pernah dapat bantuan apa apa dari pemerintah..")</f>
        <v>Semoga saya bisa dapat bansos , karena dari dulu sampai sekarang belum pernah dapat bantuan dari pemerintah..agak bingung juga kok bisa ngak pernah dapat bantuan apa apa dari pemerintah..</v>
      </c>
      <c r="C151" s="17" t="str">
        <f>IFERROR(__xludf.DUMMYFUNCTION("REGEXREPLACE(B151,$A$3, )"),"Semoga saya bisa dapat bansos , karena dari dulu sampai sekarang belum pernah dapat bantuan dari pemerintah..agak bingung juga kok bisa ngak pernah dapat bantuan apa apa dari pemerintah..")</f>
        <v>Semoga saya bisa dapat bansos , karena dari dulu sampai sekarang belum pernah dapat bantuan dari pemerintah..agak bingung juga kok bisa ngak pernah dapat bantuan apa apa dari pemerintah..</v>
      </c>
      <c r="D151" s="17" t="str">
        <f>IFERROR(__xludf.DUMMYFUNCTION("REGEXREPLACE(C151,$A$4, )"),"Semoga saya bisa dapat bansos , karena dari dulu sampai sekarang belum pernah dapat bantuan dari pemerintah..agak bingung juga kok bisa ngak pernah dapat bantuan apa apa dari pemerintah..")</f>
        <v>Semoga saya bisa dapat bansos , karena dari dulu sampai sekarang belum pernah dapat bantuan dari pemerintah..agak bingung juga kok bisa ngak pernah dapat bantuan apa apa dari pemerintah..</v>
      </c>
      <c r="E151" s="17" t="str">
        <f>IFERROR(__xludf.DUMMYFUNCTION("REGEXREPLACE(D151,$A$5, )"),"Semoga saya bisa dapat bansos , karena dari dulu sampai sekarang belum pernah dapat bantuan dari pemerintah..agak bingung juga kok bisa ngak pernah dapat bantuan apa apa dari pemerintah..")</f>
        <v>Semoga saya bisa dapat bansos , karena dari dulu sampai sekarang belum pernah dapat bantuan dari pemerintah..agak bingung juga kok bisa ngak pernah dapat bantuan apa apa dari pemerintah..</v>
      </c>
      <c r="F151" s="17" t="str">
        <f>IFERROR(__xludf.DUMMYFUNCTION("REGEXREPLACE(E151,$A$6, )"),"Semoga saya bisa dapat bansos  karena dari dulu sampai sekarang belum pernah dapat bantuan dari pemerintahagak bingung juga kok bisa ngak pernah dapat bantuan apa apa dari pemerintah")</f>
        <v>Semoga saya bisa dapat bansos  karena dari dulu sampai sekarang belum pernah dapat bantuan dari pemerintahagak bingung juga kok bisa ngak pernah dapat bantuan apa apa dari pemerintah</v>
      </c>
      <c r="G151" s="18" t="str">
        <f>IFERROR(__xludf.DUMMYFUNCTION("REGEXREPLACE(F151,$A$7, )"),"Semoga saya bisa dapat bansos  karena dari dulu sampai sekarang belum pernah dapat bantuan dari pemerintahagak bingung juga kok bisa ngak pernah dapat bantuan apa apa dari pemerintah")</f>
        <v>Semoga saya bisa dapat bansos  karena dari dulu sampai sekarang belum pernah dapat bantuan dari pemerintahagak bingung juga kok bisa ngak pernah dapat bantuan apa apa dari pemerintah</v>
      </c>
      <c r="H151" s="17" t="str">
        <f t="shared" si="1"/>
        <v>semoga saya bisa dapat bansos  karena dari dulu sampai sekarang belum pernah dapat bantuan dari pemerintahagak bingung juga kok bisa ngak pernah dapat bantuan apa apa dari pemerintah</v>
      </c>
    </row>
    <row r="152">
      <c r="A152" s="16" t="s">
        <v>146</v>
      </c>
      <c r="B152" s="17" t="str">
        <f>IFERROR(__xludf.DUMMYFUNCTION("REGEXREPLACE(A152,$A$2, )"),"Tolong klau ada sanggahan diresponlah, kami yg sangat layak dapat bantuan malah tdk dapat sm sekali,.yg lebih mampu malah dapat,.usul lebih baik hapus sj bansos,.untuk menghindari kecemburuan sosial")</f>
        <v>Tolong klau ada sanggahan diresponlah, kami yg sangat layak dapat bantuan malah tdk dapat sm sekali,.yg lebih mampu malah dapat,.usul lebih baik hapus sj bansos,.untuk menghindari kecemburuan sosial</v>
      </c>
      <c r="C152" s="17" t="str">
        <f>IFERROR(__xludf.DUMMYFUNCTION("REGEXREPLACE(B152,$A$3, )"),"Tolong klau ada sanggahan diresponlah, kami yg sangat layak dapat bantuan malah tdk dapat sm sekali,.yg lebih mampu malah dapat,.usul lebih baik hapus sj bansos,.untuk menghindari kecemburuan sosial")</f>
        <v>Tolong klau ada sanggahan diresponlah, kami yg sangat layak dapat bantuan malah tdk dapat sm sekali,.yg lebih mampu malah dapat,.usul lebih baik hapus sj bansos,.untuk menghindari kecemburuan sosial</v>
      </c>
      <c r="D152" s="17" t="str">
        <f>IFERROR(__xludf.DUMMYFUNCTION("REGEXREPLACE(C152,$A$4, )"),"Tolong klau ada sanggahan diresponlah, kami yg sangat layak dapat bantuan malah tdk dapat sm sekali,.yg lebih mampu malah dapat,.usul lebih baik hapus sj bansos,.untuk menghindari kecemburuan sosial")</f>
        <v>Tolong klau ada sanggahan diresponlah, kami yg sangat layak dapat bantuan malah tdk dapat sm sekali,.yg lebih mampu malah dapat,.usul lebih baik hapus sj bansos,.untuk menghindari kecemburuan sosial</v>
      </c>
      <c r="E152" s="17" t="str">
        <f>IFERROR(__xludf.DUMMYFUNCTION("REGEXREPLACE(D152,$A$5, )"),"Tolong klau ada sanggahan diresponlah, kami yg sangat layak dapat bantuan malah tdk dapat sm sekali,.yg lebih mampu malah dapat,.usul lebih baik hapus sj bansos,.untuk menghindari kecemburuan sosial")</f>
        <v>Tolong klau ada sanggahan diresponlah, kami yg sangat layak dapat bantuan malah tdk dapat sm sekali,.yg lebih mampu malah dapat,.usul lebih baik hapus sj bansos,.untuk menghindari kecemburuan sosial</v>
      </c>
      <c r="F152" s="17" t="str">
        <f>IFERROR(__xludf.DUMMYFUNCTION("REGEXREPLACE(E152,$A$6, )"),"Tolong klau ada sanggahan diresponlah kami yg sangat layak dapat bantuan malah tdk dapat sm sekaliyg lebih mampu malah dapatusul lebih baik hapus sj bansosuntuk menghindari kecemburuan sosial")</f>
        <v>Tolong klau ada sanggahan diresponlah kami yg sangat layak dapat bantuan malah tdk dapat sm sekaliyg lebih mampu malah dapatusul lebih baik hapus sj bansosuntuk menghindari kecemburuan sosial</v>
      </c>
      <c r="G152" s="18" t="str">
        <f>IFERROR(__xludf.DUMMYFUNCTION("REGEXREPLACE(F152,$A$7, )"),"Tolong klau ada sanggahan diresponlah kami yg sangat layak dapat bantuan malah tdk dapat sm sekaliyg lebih mampu malah dapatusul lebih baik hapus sj bansosuntuk menghindari kecemburuan sosial")</f>
        <v>Tolong klau ada sanggahan diresponlah kami yg sangat layak dapat bantuan malah tdk dapat sm sekaliyg lebih mampu malah dapatusul lebih baik hapus sj bansosuntuk menghindari kecemburuan sosial</v>
      </c>
      <c r="H152" s="17" t="str">
        <f t="shared" si="1"/>
        <v>tolong klau ada sanggahan diresponlah kami yg sangat layak dapat bantuan malah tdk dapat sm sekaliyg lebih mampu malah dapatusul lebih baik hapus sj bansosuntuk menghindari kecemburuan sosial</v>
      </c>
    </row>
    <row r="153">
      <c r="A153" s="16" t="s">
        <v>147</v>
      </c>
      <c r="B153" s="17" t="str">
        <f>IFERROR(__xludf.DUMMYFUNCTION("REGEXREPLACE(A153,$A$2, )"),"Saya sudah selesai membuat username,tapi ada keterangan belum aktifasi,dan saya bingung cara aktifasinya melalui apa")</f>
        <v>Saya sudah selesai membuat username,tapi ada keterangan belum aktifasi,dan saya bingung cara aktifasinya melalui apa</v>
      </c>
      <c r="C153" s="17" t="str">
        <f>IFERROR(__xludf.DUMMYFUNCTION("REGEXREPLACE(B153,$A$3, )"),"Saya sudah selesai membuat username,tapi ada keterangan belum aktifasi,dan saya bingung cara aktifasinya melalui apa")</f>
        <v>Saya sudah selesai membuat username,tapi ada keterangan belum aktifasi,dan saya bingung cara aktifasinya melalui apa</v>
      </c>
      <c r="D153" s="17" t="str">
        <f>IFERROR(__xludf.DUMMYFUNCTION("REGEXREPLACE(C153,$A$4, )"),"Saya sudah selesai membuat username,tapi ada keterangan belum aktifasi,dan saya bingung cara aktifasinya melalui apa")</f>
        <v>Saya sudah selesai membuat username,tapi ada keterangan belum aktifasi,dan saya bingung cara aktifasinya melalui apa</v>
      </c>
      <c r="E153" s="17" t="str">
        <f>IFERROR(__xludf.DUMMYFUNCTION("REGEXREPLACE(D153,$A$5, )"),"Saya sudah selesai membuat username,tapi ada keterangan belum aktifasi,dan saya bingung cara aktifasinya melalui apa")</f>
        <v>Saya sudah selesai membuat username,tapi ada keterangan belum aktifasi,dan saya bingung cara aktifasinya melalui apa</v>
      </c>
      <c r="F153" s="17" t="str">
        <f>IFERROR(__xludf.DUMMYFUNCTION("REGEXREPLACE(E153,$A$6, )"),"Saya sudah selesai membuat usernametapi ada keterangan belum aktifasidan saya bingung cara aktifasinya melalui apa")</f>
        <v>Saya sudah selesai membuat usernametapi ada keterangan belum aktifasidan saya bingung cara aktifasinya melalui apa</v>
      </c>
      <c r="G153" s="18" t="str">
        <f>IFERROR(__xludf.DUMMYFUNCTION("REGEXREPLACE(F153,$A$7, )"),"Saya sudah selesai membuat usernametapi ada keterangan belum aktifasidan saya bingung cara aktifasinya melalui apa")</f>
        <v>Saya sudah selesai membuat usernametapi ada keterangan belum aktifasidan saya bingung cara aktifasinya melalui apa</v>
      </c>
      <c r="H153" s="17" t="str">
        <f t="shared" si="1"/>
        <v>saya sudah selesai membuat usernametapi ada keterangan belum aktifasidan saya bingung cara aktifasinya melalui apa</v>
      </c>
    </row>
    <row r="154">
      <c r="A154" s="16" t="s">
        <v>148</v>
      </c>
      <c r="B154" s="17" t="str">
        <f>IFERROR(__xludf.DUMMYFUNCTION("REGEXREPLACE(A154,$A$2, )"),"Single parent anakku 2 mau kerja keluar negri nggak ada yg ngerawat anak anak u,tlong pemerintah indonesia ingin rasanya merasakan sumbangan/blt dari Indonesia smga makmur dan jaya terus negriku")</f>
        <v>Single parent anakku 2 mau kerja keluar negri nggak ada yg ngerawat anak anak u,tlong pemerintah indonesia ingin rasanya merasakan sumbangan/blt dari Indonesia smga makmur dan jaya terus negriku</v>
      </c>
      <c r="C154" s="17" t="str">
        <f>IFERROR(__xludf.DUMMYFUNCTION("REGEXREPLACE(B154,$A$3, )"),"Single parent anakku 2 mau kerja keluar negri nggak ada yg ngerawat anak anak u,tlong pemerintah indonesia ingin rasanya merasakan sumbangan/blt dari Indonesia smga makmur dan jaya terus negriku")</f>
        <v>Single parent anakku 2 mau kerja keluar negri nggak ada yg ngerawat anak anak u,tlong pemerintah indonesia ingin rasanya merasakan sumbangan/blt dari Indonesia smga makmur dan jaya terus negriku</v>
      </c>
      <c r="D154" s="17" t="str">
        <f>IFERROR(__xludf.DUMMYFUNCTION("REGEXREPLACE(C154,$A$4, )"),"Single parent anakku 2 mau kerja keluar negri nggak ada yg ngerawat anak anak u,tlong pemerintah indonesia ingin rasanya merasakan sumbangan/blt dari Indonesia smga makmur dan jaya terus negriku")</f>
        <v>Single parent anakku 2 mau kerja keluar negri nggak ada yg ngerawat anak anak u,tlong pemerintah indonesia ingin rasanya merasakan sumbangan/blt dari Indonesia smga makmur dan jaya terus negriku</v>
      </c>
      <c r="E154" s="17" t="str">
        <f>IFERROR(__xludf.DUMMYFUNCTION("REGEXREPLACE(D154,$A$5, )"),"Single parent anakku  mau kerja keluar negri nggak ada yg ngerawat anak anak u,tlong pemerintah indonesia ingin rasanya merasakan sumbangan/blt dari Indonesia smga makmur dan jaya terus negriku")</f>
        <v>Single parent anakku  mau kerja keluar negri nggak ada yg ngerawat anak anak u,tlong pemerintah indonesia ingin rasanya merasakan sumbangan/blt dari Indonesia smga makmur dan jaya terus negriku</v>
      </c>
      <c r="F154" s="17" t="str">
        <f>IFERROR(__xludf.DUMMYFUNCTION("REGEXREPLACE(E154,$A$6, )"),"Single parent anakku  mau kerja keluar negri nggak ada yg ngerawat anak anak utlong pemerintah indonesia ingin rasanya merasakan sumbanganblt dari Indonesia smga makmur dan jaya terus negriku")</f>
        <v>Single parent anakku  mau kerja keluar negri nggak ada yg ngerawat anak anak utlong pemerintah indonesia ingin rasanya merasakan sumbanganblt dari Indonesia smga makmur dan jaya terus negriku</v>
      </c>
      <c r="G154" s="18" t="str">
        <f>IFERROR(__xludf.DUMMYFUNCTION("REGEXREPLACE(F154,$A$7, )"),"Single parent anakku  mau kerja keluar negri nggak ada yg ngerawat anak anak utlong pemerintah indonesia ingin rasanya merasakan sumbanganblt dari Indonesia smga makmur dan jaya terus negriku")</f>
        <v>Single parent anakku  mau kerja keluar negri nggak ada yg ngerawat anak anak utlong pemerintah indonesia ingin rasanya merasakan sumbanganblt dari Indonesia smga makmur dan jaya terus negriku</v>
      </c>
      <c r="H154" s="17" t="str">
        <f t="shared" si="1"/>
        <v>single parent anakku  mau kerja keluar negri nggak ada yg ngerawat anak anak utlong pemerintah indonesia ingin rasanya merasakan sumbanganblt dari indonesia smga makmur dan jaya terus negriku</v>
      </c>
    </row>
    <row r="155">
      <c r="A155" s="16" t="s">
        <v>149</v>
      </c>
      <c r="B155" s="17" t="str">
        <f>IFERROR(__xludf.DUMMYFUNCTION("REGEXREPLACE(A155,$A$2, )"),"Aplikasi sampah,jangan di download Server nya error' Bintang 5 supaya tampil di kolom komentar")</f>
        <v>Aplikasi sampah,jangan di download Server nya error' Bintang 5 supaya tampil di kolom komentar</v>
      </c>
      <c r="C155" s="17" t="str">
        <f>IFERROR(__xludf.DUMMYFUNCTION("REGEXREPLACE(B155,$A$3, )"),"Aplikasi sampah,jangan di download Server nya error' Bintang 5 supaya tampil di kolom komentar")</f>
        <v>Aplikasi sampah,jangan di download Server nya error' Bintang 5 supaya tampil di kolom komentar</v>
      </c>
      <c r="D155" s="17" t="str">
        <f>IFERROR(__xludf.DUMMYFUNCTION("REGEXREPLACE(C155,$A$4, )"),"Aplikasi sampah,jangan di download Server nya error' Bintang 5 supaya tampil di kolom komentar")</f>
        <v>Aplikasi sampah,jangan di download Server nya error' Bintang 5 supaya tampil di kolom komentar</v>
      </c>
      <c r="E155" s="17" t="str">
        <f>IFERROR(__xludf.DUMMYFUNCTION("REGEXREPLACE(D155,$A$5, )"),"Aplikasi sampah,jangan di download Server nya error' Bintang  supaya tampil di kolom komentar")</f>
        <v>Aplikasi sampah,jangan di download Server nya error' Bintang  supaya tampil di kolom komentar</v>
      </c>
      <c r="F155" s="17" t="str">
        <f>IFERROR(__xludf.DUMMYFUNCTION("REGEXREPLACE(E155,$A$6, )"),"Aplikasi sampahjangan di download Server nya error Bintang  supaya tampil di kolom komentar")</f>
        <v>Aplikasi sampahjangan di download Server nya error Bintang  supaya tampil di kolom komentar</v>
      </c>
      <c r="G155" s="18" t="str">
        <f>IFERROR(__xludf.DUMMYFUNCTION("REGEXREPLACE(F155,$A$7, )"),"Aplikasi sampahjangan di download Server nya error Bintang  supaya tampil di kolom komentar")</f>
        <v>Aplikasi sampahjangan di download Server nya error Bintang  supaya tampil di kolom komentar</v>
      </c>
      <c r="H155" s="17" t="str">
        <f t="shared" si="1"/>
        <v>aplikasi sampahjangan di download server nya error bintang  supaya tampil di kolom komentar</v>
      </c>
    </row>
    <row r="156">
      <c r="A156" s="16" t="s">
        <v>150</v>
      </c>
      <c r="B156" s="17" t="str">
        <f>IFERROR(__xludf.DUMMYFUNCTION("REGEXREPLACE(A156,$A$2, )"),"Masih belum bisa login kk, mohon solusinya.. Kenapa muncul tlisan? ""Error json parse""")</f>
        <v>Masih belum bisa login kk, mohon solusinya.. Kenapa muncul tlisan? "Error json parse"</v>
      </c>
      <c r="C156" s="17" t="str">
        <f>IFERROR(__xludf.DUMMYFUNCTION("REGEXREPLACE(B156,$A$3, )"),"Masih belum bisa login kk, mohon solusinya.. Kenapa muncul tlisan? ""Error json parse""")</f>
        <v>Masih belum bisa login kk, mohon solusinya.. Kenapa muncul tlisan? "Error json parse"</v>
      </c>
      <c r="D156" s="17" t="str">
        <f>IFERROR(__xludf.DUMMYFUNCTION("REGEXREPLACE(C156,$A$4, )"),"Masih belum bisa login kk, mohon solusinya.. Kenapa muncul tlisan? ""Error json parse""")</f>
        <v>Masih belum bisa login kk, mohon solusinya.. Kenapa muncul tlisan? "Error json parse"</v>
      </c>
      <c r="E156" s="17" t="str">
        <f>IFERROR(__xludf.DUMMYFUNCTION("REGEXREPLACE(D156,$A$5, )"),"Masih belum bisa login kk, mohon solusinya.. Kenapa muncul tlisan? ""Error json parse""")</f>
        <v>Masih belum bisa login kk, mohon solusinya.. Kenapa muncul tlisan? "Error json parse"</v>
      </c>
      <c r="F156" s="17" t="str">
        <f>IFERROR(__xludf.DUMMYFUNCTION("REGEXREPLACE(E156,$A$6, )"),"Masih belum bisa login kk mohon solusinya Kenapa muncul tlisan Error json parse")</f>
        <v>Masih belum bisa login kk mohon solusinya Kenapa muncul tlisan Error json parse</v>
      </c>
      <c r="G156" s="18" t="str">
        <f>IFERROR(__xludf.DUMMYFUNCTION("REGEXREPLACE(F156,$A$7, )"),"Masih belum bisa login kk mohon solusinya Kenapa muncul tlisan Error json parse")</f>
        <v>Masih belum bisa login kk mohon solusinya Kenapa muncul tlisan Error json parse</v>
      </c>
      <c r="H156" s="17" t="str">
        <f t="shared" si="1"/>
        <v>masih belum bisa login kk mohon solusinya kenapa muncul tlisan error json parse</v>
      </c>
    </row>
    <row r="157">
      <c r="A157" s="16" t="s">
        <v>151</v>
      </c>
      <c r="B157" s="17" t="str">
        <f>IFERROR(__xludf.DUMMYFUNCTION("REGEXREPLACE(A157,$A$2, )"),"dah masukkan data dgn benar tinggal persetujuan,mau dikirim,aplikasi eror")</f>
        <v>dah masukkan data dgn benar tinggal persetujuan,mau dikirim,aplikasi eror</v>
      </c>
      <c r="C157" s="17" t="str">
        <f>IFERROR(__xludf.DUMMYFUNCTION("REGEXREPLACE(B157,$A$3, )"),"dah masukkan data dgn benar tinggal persetujuan,mau dikirim,aplikasi eror")</f>
        <v>dah masukkan data dgn benar tinggal persetujuan,mau dikirim,aplikasi eror</v>
      </c>
      <c r="D157" s="17" t="str">
        <f>IFERROR(__xludf.DUMMYFUNCTION("REGEXREPLACE(C157,$A$4, )"),"dah masukkan data dgn benar tinggal persetujuan,mau dikirim,aplikasi eror")</f>
        <v>dah masukkan data dgn benar tinggal persetujuan,mau dikirim,aplikasi eror</v>
      </c>
      <c r="E157" s="17" t="str">
        <f>IFERROR(__xludf.DUMMYFUNCTION("REGEXREPLACE(D157,$A$5, )"),"dah masukkan data dgn benar tinggal persetujuan,mau dikirim,aplikasi eror")</f>
        <v>dah masukkan data dgn benar tinggal persetujuan,mau dikirim,aplikasi eror</v>
      </c>
      <c r="F157" s="17" t="str">
        <f>IFERROR(__xludf.DUMMYFUNCTION("REGEXREPLACE(E157,$A$6, )"),"dah masukkan data dgn benar tinggal persetujuanmau dikirimaplikasi eror")</f>
        <v>dah masukkan data dgn benar tinggal persetujuanmau dikirimaplikasi eror</v>
      </c>
      <c r="G157" s="18" t="str">
        <f>IFERROR(__xludf.DUMMYFUNCTION("REGEXREPLACE(F157,$A$7, )"),"dah masukkan data dgn benar tinggal persetujuanmau dikirimaplikasi eror")</f>
        <v>dah masukkan data dgn benar tinggal persetujuanmau dikirimaplikasi eror</v>
      </c>
      <c r="H157" s="17" t="str">
        <f t="shared" si="1"/>
        <v>dah masukkan data dgn benar tinggal persetujuanmau dikirimaplikasi eror</v>
      </c>
    </row>
    <row r="158">
      <c r="A158" s="16" t="s">
        <v>152</v>
      </c>
      <c r="B158" s="17" t="str">
        <f>IFERROR(__xludf.DUMMYFUNCTION("REGEXREPLACE(A158,$A$2, )"),"Error gak bisa daftar cek bansos mohon di bantu Error tidak bisa daftar cek bansos mohon di bantu")</f>
        <v>Error gak bisa daftar cek bansos mohon di bantu Error tidak bisa daftar cek bansos mohon di bantu</v>
      </c>
      <c r="C158" s="17" t="str">
        <f>IFERROR(__xludf.DUMMYFUNCTION("REGEXREPLACE(B158,$A$3, )"),"Error gak bisa daftar cek bansos mohon di bantu Error tidak bisa daftar cek bansos mohon di bantu")</f>
        <v>Error gak bisa daftar cek bansos mohon di bantu Error tidak bisa daftar cek bansos mohon di bantu</v>
      </c>
      <c r="D158" s="17" t="str">
        <f>IFERROR(__xludf.DUMMYFUNCTION("REGEXREPLACE(C158,$A$4, )"),"Error gak bisa daftar cek bansos mohon di bantu Error tidak bisa daftar cek bansos mohon di bantu")</f>
        <v>Error gak bisa daftar cek bansos mohon di bantu Error tidak bisa daftar cek bansos mohon di bantu</v>
      </c>
      <c r="E158" s="17" t="str">
        <f>IFERROR(__xludf.DUMMYFUNCTION("REGEXREPLACE(D158,$A$5, )"),"Error gak bisa daftar cek bansos mohon di bantu Error tidak bisa daftar cek bansos mohon di bantu")</f>
        <v>Error gak bisa daftar cek bansos mohon di bantu Error tidak bisa daftar cek bansos mohon di bantu</v>
      </c>
      <c r="F158" s="17" t="str">
        <f>IFERROR(__xludf.DUMMYFUNCTION("REGEXREPLACE(E158,$A$6, )"),"Error gak bisa daftar cek bansos mohon di bantu Error tidak bisa daftar cek bansos mohon di bantu")</f>
        <v>Error gak bisa daftar cek bansos mohon di bantu Error tidak bisa daftar cek bansos mohon di bantu</v>
      </c>
      <c r="G158" s="18" t="str">
        <f>IFERROR(__xludf.DUMMYFUNCTION("REGEXREPLACE(F158,$A$7, )"),"Error gak bisa daftar cek bansos mohon di bantu Error tidak bisa daftar cek bansos mohon di bantu")</f>
        <v>Error gak bisa daftar cek bansos mohon di bantu Error tidak bisa daftar cek bansos mohon di bantu</v>
      </c>
      <c r="H158" s="17" t="str">
        <f t="shared" si="1"/>
        <v>error gak bisa daftar cek bansos mohon di bantu error tidak bisa daftar cek bansos mohon di bantu</v>
      </c>
    </row>
    <row r="159">
      <c r="A159" s="16" t="s">
        <v>153</v>
      </c>
      <c r="B159" s="17" t="str">
        <f>IFERROR(__xludf.DUMMYFUNCTION("REGEXREPLACE(A159,$A$2, )"),"Maaf 🙏 knpa saya gak bisa login di aplikasi ini..pdahal sya dah trima email ke 2 alias email aktivasi akun.mohon🙏 bantuannya")</f>
        <v>Maaf 🙏 knpa saya gak bisa login di aplikasi ini..pdahal sya dah trima email ke 2 alias email aktivasi akun.mohon🙏 bantuannya</v>
      </c>
      <c r="C159" s="17" t="str">
        <f>IFERROR(__xludf.DUMMYFUNCTION("REGEXREPLACE(B159,$A$3, )"),"Maaf 🙏 knpa saya gak bisa login di aplikasi ini..pdahal sya dah trima email ke 2 alias email aktivasi akun.mohon🙏 bantuannya")</f>
        <v>Maaf 🙏 knpa saya gak bisa login di aplikasi ini..pdahal sya dah trima email ke 2 alias email aktivasi akun.mohon🙏 bantuannya</v>
      </c>
      <c r="D159" s="17" t="str">
        <f>IFERROR(__xludf.DUMMYFUNCTION("REGEXREPLACE(C159,$A$4, )"),"Maaf 🙏 knpa saya gak bisa login di aplikasi ini..pdahal sya dah trima email ke 2 alias email aktivasi akun.mohon🙏 bantuannya")</f>
        <v>Maaf 🙏 knpa saya gak bisa login di aplikasi ini..pdahal sya dah trima email ke 2 alias email aktivasi akun.mohon🙏 bantuannya</v>
      </c>
      <c r="E159" s="17" t="str">
        <f>IFERROR(__xludf.DUMMYFUNCTION("REGEXREPLACE(D159,$A$5, )"),"Maaf 🙏 knpa saya gak bisa login di aplikasi ini..pdahal sya dah trima email ke  alias email aktivasi akun.mohon🙏 bantuannya")</f>
        <v>Maaf 🙏 knpa saya gak bisa login di aplikasi ini..pdahal sya dah trima email ke  alias email aktivasi akun.mohon🙏 bantuannya</v>
      </c>
      <c r="F159" s="17" t="str">
        <f>IFERROR(__xludf.DUMMYFUNCTION("REGEXREPLACE(E159,$A$6, )"),"Maaf 🙏 knpa saya gak bisa login di aplikasi inipdahal sya dah trima email ke  alias email aktivasi akunmohon🙏 bantuannya")</f>
        <v>Maaf 🙏 knpa saya gak bisa login di aplikasi inipdahal sya dah trima email ke  alias email aktivasi akunmohon🙏 bantuannya</v>
      </c>
      <c r="G159" s="18" t="str">
        <f>IFERROR(__xludf.DUMMYFUNCTION("REGEXREPLACE(F159,$A$7, )"),"Maaf  knpa saya gak bisa login di aplikasi inipdahal sya dah trima email ke  alias email aktivasi akunmohon bantuannya")</f>
        <v>Maaf  knpa saya gak bisa login di aplikasi inipdahal sya dah trima email ke  alias email aktivasi akunmohon bantuannya</v>
      </c>
      <c r="H159" s="17" t="str">
        <f t="shared" si="1"/>
        <v>maaf  knpa saya gak bisa login di aplikasi inipdahal sya dah trima email ke  alias email aktivasi akunmohon bantuannya</v>
      </c>
    </row>
    <row r="160">
      <c r="A160" s="16" t="s">
        <v>154</v>
      </c>
      <c r="B160" s="17" t="str">
        <f>IFERROR(__xludf.DUMMYFUNCTION("REGEXREPLACE(A160,$A$2, )"),"Perbaikan mulu, sdh 2 bln ga bisa loading.🤦")</f>
        <v>Perbaikan mulu, sdh 2 bln ga bisa loading.🤦</v>
      </c>
      <c r="C160" s="17" t="str">
        <f>IFERROR(__xludf.DUMMYFUNCTION("REGEXREPLACE(B160,$A$3, )"),"Perbaikan mulu, sdh 2 bln ga bisa loading.🤦")</f>
        <v>Perbaikan mulu, sdh 2 bln ga bisa loading.🤦</v>
      </c>
      <c r="D160" s="17" t="str">
        <f>IFERROR(__xludf.DUMMYFUNCTION("REGEXREPLACE(C160,$A$4, )"),"Perbaikan mulu, sdh 2 bln ga bisa loading.🤦")</f>
        <v>Perbaikan mulu, sdh 2 bln ga bisa loading.🤦</v>
      </c>
      <c r="E160" s="17" t="str">
        <f>IFERROR(__xludf.DUMMYFUNCTION("REGEXREPLACE(D160,$A$5, )"),"Perbaikan mulu, sdh  bln ga bisa loading.🤦")</f>
        <v>Perbaikan mulu, sdh  bln ga bisa loading.🤦</v>
      </c>
      <c r="F160" s="17" t="str">
        <f>IFERROR(__xludf.DUMMYFUNCTION("REGEXREPLACE(E160,$A$6, )"),"Perbaikan mulu sdh  bln ga bisa loading🤦")</f>
        <v>Perbaikan mulu sdh  bln ga bisa loading🤦</v>
      </c>
      <c r="G160" s="18" t="str">
        <f>IFERROR(__xludf.DUMMYFUNCTION("REGEXREPLACE(F160,$A$7, )"),"Perbaikan mulu sdh  bln ga bisa loading")</f>
        <v>Perbaikan mulu sdh  bln ga bisa loading</v>
      </c>
      <c r="H160" s="17" t="str">
        <f t="shared" si="1"/>
        <v>perbaikan mulu sdh  bln ga bisa loading</v>
      </c>
    </row>
    <row r="161">
      <c r="A161" s="16" t="s">
        <v>155</v>
      </c>
      <c r="B161" s="17" t="str">
        <f>IFERROR(__xludf.DUMMYFUNCTION("REGEXREPLACE(A161,$A$2, )"),"Sudah bisa buat akun👍meski tak terdaftar sebagai penerima manfaat😁")</f>
        <v>Sudah bisa buat akun👍meski tak terdaftar sebagai penerima manfaat😁</v>
      </c>
      <c r="C161" s="17" t="str">
        <f>IFERROR(__xludf.DUMMYFUNCTION("REGEXREPLACE(B161,$A$3, )"),"Sudah bisa buat akun👍meski tak terdaftar sebagai penerima manfaat😁")</f>
        <v>Sudah bisa buat akun👍meski tak terdaftar sebagai penerima manfaat😁</v>
      </c>
      <c r="D161" s="17" t="str">
        <f>IFERROR(__xludf.DUMMYFUNCTION("REGEXREPLACE(C161,$A$4, )"),"Sudah bisa buat akun👍meski tak terdaftar sebagai penerima manfaat😁")</f>
        <v>Sudah bisa buat akun👍meski tak terdaftar sebagai penerima manfaat😁</v>
      </c>
      <c r="E161" s="17" t="str">
        <f>IFERROR(__xludf.DUMMYFUNCTION("REGEXREPLACE(D161,$A$5, )"),"Sudah bisa buat akun👍meski tak terdaftar sebagai penerima manfaat😁")</f>
        <v>Sudah bisa buat akun👍meski tak terdaftar sebagai penerima manfaat😁</v>
      </c>
      <c r="F161" s="17" t="str">
        <f>IFERROR(__xludf.DUMMYFUNCTION("REGEXREPLACE(E161,$A$6, )"),"Sudah bisa buat akun👍meski tak terdaftar sebagai penerima manfaat😁")</f>
        <v>Sudah bisa buat akun👍meski tak terdaftar sebagai penerima manfaat😁</v>
      </c>
      <c r="G161" s="18" t="str">
        <f>IFERROR(__xludf.DUMMYFUNCTION("REGEXREPLACE(F161,$A$7, )"),"Sudah bisa buat akunmeski tak terdaftar sebagai penerima manfaat")</f>
        <v>Sudah bisa buat akunmeski tak terdaftar sebagai penerima manfaat</v>
      </c>
      <c r="H161" s="17" t="str">
        <f t="shared" si="1"/>
        <v>sudah bisa buat akunmeski tak terdaftar sebagai penerima manfaat</v>
      </c>
    </row>
    <row r="162">
      <c r="A162" s="16" t="s">
        <v>156</v>
      </c>
      <c r="B162" s="17" t="str">
        <f>IFERROR(__xludf.DUMMYFUNCTION("REGEXREPLACE(A162,$A$2, )"),"Tidak bisa mengusulkan dan sanggah di aplikasinya jaringan terus elor")</f>
        <v>Tidak bisa mengusulkan dan sanggah di aplikasinya jaringan terus elor</v>
      </c>
      <c r="C162" s="17" t="str">
        <f>IFERROR(__xludf.DUMMYFUNCTION("REGEXREPLACE(B162,$A$3, )"),"Tidak bisa mengusulkan dan sanggah di aplikasinya jaringan terus elor")</f>
        <v>Tidak bisa mengusulkan dan sanggah di aplikasinya jaringan terus elor</v>
      </c>
      <c r="D162" s="17" t="str">
        <f>IFERROR(__xludf.DUMMYFUNCTION("REGEXREPLACE(C162,$A$4, )"),"Tidak bisa mengusulkan dan sanggah di aplikasinya jaringan terus elor")</f>
        <v>Tidak bisa mengusulkan dan sanggah di aplikasinya jaringan terus elor</v>
      </c>
      <c r="E162" s="17" t="str">
        <f>IFERROR(__xludf.DUMMYFUNCTION("REGEXREPLACE(D162,$A$5, )"),"Tidak bisa mengusulkan dan sanggah di aplikasinya jaringan terus elor")</f>
        <v>Tidak bisa mengusulkan dan sanggah di aplikasinya jaringan terus elor</v>
      </c>
      <c r="F162" s="17" t="str">
        <f>IFERROR(__xludf.DUMMYFUNCTION("REGEXREPLACE(E162,$A$6, )"),"Tidak bisa mengusulkan dan sanggah di aplikasinya jaringan terus elor")</f>
        <v>Tidak bisa mengusulkan dan sanggah di aplikasinya jaringan terus elor</v>
      </c>
      <c r="G162" s="18" t="str">
        <f>IFERROR(__xludf.DUMMYFUNCTION("REGEXREPLACE(F162,$A$7, )"),"Tidak bisa mengusulkan dan sanggah di aplikasinya jaringan terus elor")</f>
        <v>Tidak bisa mengusulkan dan sanggah di aplikasinya jaringan terus elor</v>
      </c>
      <c r="H162" s="17" t="str">
        <f t="shared" si="1"/>
        <v>tidak bisa mengusulkan dan sanggah di aplikasinya jaringan terus elor</v>
      </c>
    </row>
    <row r="163">
      <c r="A163" s="16" t="s">
        <v>157</v>
      </c>
      <c r="B163" s="17" t="str">
        <f>IFERROR(__xludf.DUMMYFUNCTION("REGEXREPLACE(A163,$A$2, )"),"Bintang empat dulu soalnya gak bisa masuk, padahal saya sudah daftar Mohon donk penjelasannya🙏🙏")</f>
        <v>Bintang empat dulu soalnya gak bisa masuk, padahal saya sudah daftar Mohon donk penjelasannya🙏🙏</v>
      </c>
      <c r="C163" s="17" t="str">
        <f>IFERROR(__xludf.DUMMYFUNCTION("REGEXREPLACE(B163,$A$3, )"),"Bintang empat dulu soalnya gak bisa masuk, padahal saya sudah daftar Mohon donk penjelasannya🙏🙏")</f>
        <v>Bintang empat dulu soalnya gak bisa masuk, padahal saya sudah daftar Mohon donk penjelasannya🙏🙏</v>
      </c>
      <c r="D163" s="17" t="str">
        <f>IFERROR(__xludf.DUMMYFUNCTION("REGEXREPLACE(C163,$A$4, )"),"Bintang empat dulu soalnya gak bisa masuk, padahal saya sudah daftar Mohon donk penjelasannya🙏🙏")</f>
        <v>Bintang empat dulu soalnya gak bisa masuk, padahal saya sudah daftar Mohon donk penjelasannya🙏🙏</v>
      </c>
      <c r="E163" s="17" t="str">
        <f>IFERROR(__xludf.DUMMYFUNCTION("REGEXREPLACE(D163,$A$5, )"),"Bintang empat dulu soalnya gak bisa masuk, padahal saya sudah daftar Mohon donk penjelasannya🙏🙏")</f>
        <v>Bintang empat dulu soalnya gak bisa masuk, padahal saya sudah daftar Mohon donk penjelasannya🙏🙏</v>
      </c>
      <c r="F163" s="17" t="str">
        <f>IFERROR(__xludf.DUMMYFUNCTION("REGEXREPLACE(E163,$A$6, )"),"Bintang empat dulu soalnya gak bisa masuk padahal saya sudah daftar Mohon donk penjelasannya🙏🙏")</f>
        <v>Bintang empat dulu soalnya gak bisa masuk padahal saya sudah daftar Mohon donk penjelasannya🙏🙏</v>
      </c>
      <c r="G163" s="18" t="str">
        <f>IFERROR(__xludf.DUMMYFUNCTION("REGEXREPLACE(F163,$A$7, )"),"Bintang empat dulu soalnya gak bisa masuk padahal saya sudah daftar Mohon donk penjelasannya")</f>
        <v>Bintang empat dulu soalnya gak bisa masuk padahal saya sudah daftar Mohon donk penjelasannya</v>
      </c>
      <c r="H163" s="17" t="str">
        <f t="shared" si="1"/>
        <v>bintang empat dulu soalnya gak bisa masuk padahal saya sudah daftar mohon donk penjelasannya</v>
      </c>
    </row>
    <row r="164">
      <c r="A164" s="16" t="s">
        <v>158</v>
      </c>
      <c r="B164" s="17" t="str">
        <f>IFERROR(__xludf.DUMMYFUNCTION("REGEXREPLACE(A164,$A$2, )"),"Banyak bantuan yang masih kurang tepat, bayak orang tua yang seharusnya menerima manfaat tapi nyatanya malah anak² muda yang sehat yg mendapatkan")</f>
        <v>Banyak bantuan yang masih kurang tepat, bayak orang tua yang seharusnya menerima manfaat tapi nyatanya malah anak² muda yang sehat yg mendapatkan</v>
      </c>
      <c r="C164" s="17" t="str">
        <f>IFERROR(__xludf.DUMMYFUNCTION("REGEXREPLACE(B164,$A$3, )"),"Banyak bantuan yang masih kurang tepat, bayak orang tua yang seharusnya menerima manfaat tapi nyatanya malah anak² muda yang sehat yg mendapatkan")</f>
        <v>Banyak bantuan yang masih kurang tepat, bayak orang tua yang seharusnya menerima manfaat tapi nyatanya malah anak² muda yang sehat yg mendapatkan</v>
      </c>
      <c r="D164" s="17" t="str">
        <f>IFERROR(__xludf.DUMMYFUNCTION("REGEXREPLACE(C164,$A$4, )"),"Banyak bantuan yang masih kurang tepat, bayak orang tua yang seharusnya menerima manfaat tapi nyatanya malah anak² muda yang sehat yg mendapatkan")</f>
        <v>Banyak bantuan yang masih kurang tepat, bayak orang tua yang seharusnya menerima manfaat tapi nyatanya malah anak² muda yang sehat yg mendapatkan</v>
      </c>
      <c r="E164" s="17" t="str">
        <f>IFERROR(__xludf.DUMMYFUNCTION("REGEXREPLACE(D164,$A$5, )"),"Banyak bantuan yang masih kurang tepat, bayak orang tua yang seharusnya menerima manfaat tapi nyatanya malah anak² muda yang sehat yg mendapatkan")</f>
        <v>Banyak bantuan yang masih kurang tepat, bayak orang tua yang seharusnya menerima manfaat tapi nyatanya malah anak² muda yang sehat yg mendapatkan</v>
      </c>
      <c r="F164" s="17" t="str">
        <f>IFERROR(__xludf.DUMMYFUNCTION("REGEXREPLACE(E164,$A$6, )"),"Banyak bantuan yang masih kurang tepat bayak orang tua yang seharusnya menerima manfaat tapi nyatanya malah anak² muda yang sehat yg mendapatkan")</f>
        <v>Banyak bantuan yang masih kurang tepat bayak orang tua yang seharusnya menerima manfaat tapi nyatanya malah anak² muda yang sehat yg mendapatkan</v>
      </c>
      <c r="G164" s="18" t="str">
        <f>IFERROR(__xludf.DUMMYFUNCTION("REGEXREPLACE(F164,$A$7, )"),"Banyak bantuan yang masih kurang tepat bayak orang tua yang seharusnya menerima manfaat tapi nyatanya malah anak² muda yang sehat yg mendapatkan")</f>
        <v>Banyak bantuan yang masih kurang tepat bayak orang tua yang seharusnya menerima manfaat tapi nyatanya malah anak² muda yang sehat yg mendapatkan</v>
      </c>
      <c r="H164" s="17" t="str">
        <f t="shared" si="1"/>
        <v>banyak bantuan yang masih kurang tepat bayak orang tua yang seharusnya menerima manfaat tapi nyatanya malah anak² muda yang sehat yg mendapatkan</v>
      </c>
    </row>
    <row r="165">
      <c r="A165" s="16" t="s">
        <v>159</v>
      </c>
      <c r="B165" s="17" t="str">
        <f>IFERROR(__xludf.DUMMYFUNCTION("REGEXREPLACE(A165,$A$2, )"),"terjadi error' aplikasi,silakan hubungi. Admin.")</f>
        <v>terjadi error' aplikasi,silakan hubungi. Admin.</v>
      </c>
      <c r="C165" s="17" t="str">
        <f>IFERROR(__xludf.DUMMYFUNCTION("REGEXREPLACE(B165,$A$3, )"),"terjadi error' aplikasi,silakan hubungi. Admin.")</f>
        <v>terjadi error' aplikasi,silakan hubungi. Admin.</v>
      </c>
      <c r="D165" s="17" t="str">
        <f>IFERROR(__xludf.DUMMYFUNCTION("REGEXREPLACE(C165,$A$4, )"),"terjadi error' aplikasi,silakan hubungi. Admin.")</f>
        <v>terjadi error' aplikasi,silakan hubungi. Admin.</v>
      </c>
      <c r="E165" s="17" t="str">
        <f>IFERROR(__xludf.DUMMYFUNCTION("REGEXREPLACE(D165,$A$5, )"),"terjadi error' aplikasi,silakan hubungi. Admin.")</f>
        <v>terjadi error' aplikasi,silakan hubungi. Admin.</v>
      </c>
      <c r="F165" s="17" t="str">
        <f>IFERROR(__xludf.DUMMYFUNCTION("REGEXREPLACE(E165,$A$6, )"),"terjadi error aplikasisilakan hubungi Admin")</f>
        <v>terjadi error aplikasisilakan hubungi Admin</v>
      </c>
      <c r="G165" s="18" t="str">
        <f>IFERROR(__xludf.DUMMYFUNCTION("REGEXREPLACE(F165,$A$7, )"),"terjadi error aplikasisilakan hubungi Admin")</f>
        <v>terjadi error aplikasisilakan hubungi Admin</v>
      </c>
      <c r="H165" s="17" t="str">
        <f t="shared" si="1"/>
        <v>terjadi error aplikasisilakan hubungi admin</v>
      </c>
    </row>
    <row r="166">
      <c r="A166" s="16" t="s">
        <v>160</v>
      </c>
      <c r="B166" s="17" t="str">
        <f>IFERROR(__xludf.DUMMYFUNCTION("REGEXREPLACE(A166,$A$2, )"),"Nggak bisa login karena lupa username dan pesan email sudah ke hapus . Tolong bantuannya")</f>
        <v>Nggak bisa login karena lupa username dan pesan email sudah ke hapus . Tolong bantuannya</v>
      </c>
      <c r="C166" s="17" t="str">
        <f>IFERROR(__xludf.DUMMYFUNCTION("REGEXREPLACE(B166,$A$3, )"),"Nggak bisa login karena lupa username dan pesan email sudah ke hapus . Tolong bantuannya")</f>
        <v>Nggak bisa login karena lupa username dan pesan email sudah ke hapus . Tolong bantuannya</v>
      </c>
      <c r="D166" s="17" t="str">
        <f>IFERROR(__xludf.DUMMYFUNCTION("REGEXREPLACE(C166,$A$4, )"),"Nggak bisa login karena lupa username dan pesan email sudah ke hapus . Tolong bantuannya")</f>
        <v>Nggak bisa login karena lupa username dan pesan email sudah ke hapus . Tolong bantuannya</v>
      </c>
      <c r="E166" s="17" t="str">
        <f>IFERROR(__xludf.DUMMYFUNCTION("REGEXREPLACE(D166,$A$5, )"),"Nggak bisa login karena lupa username dan pesan email sudah ke hapus . Tolong bantuannya")</f>
        <v>Nggak bisa login karena lupa username dan pesan email sudah ke hapus . Tolong bantuannya</v>
      </c>
      <c r="F166" s="17" t="str">
        <f>IFERROR(__xludf.DUMMYFUNCTION("REGEXREPLACE(E166,$A$6, )"),"Nggak bisa login karena lupa username dan pesan email sudah ke hapus  Tolong bantuannya")</f>
        <v>Nggak bisa login karena lupa username dan pesan email sudah ke hapus  Tolong bantuannya</v>
      </c>
      <c r="G166" s="18" t="str">
        <f>IFERROR(__xludf.DUMMYFUNCTION("REGEXREPLACE(F166,$A$7, )"),"Nggak bisa login karena lupa username dan pesan email sudah ke hapus  Tolong bantuannya")</f>
        <v>Nggak bisa login karena lupa username dan pesan email sudah ke hapus  Tolong bantuannya</v>
      </c>
      <c r="H166" s="17" t="str">
        <f t="shared" si="1"/>
        <v>nggak bisa login karena lupa username dan pesan email sudah ke hapus  tolong bantuannya</v>
      </c>
    </row>
    <row r="167">
      <c r="A167" s="16" t="s">
        <v>161</v>
      </c>
      <c r="B167" s="17" t="str">
        <f>IFERROR(__xludf.DUMMYFUNCTION("REGEXREPLACE(A167,$A$2, )"),"Sudah puluhan tahun kost di Makassar tapi tdk pernah dapat bantuan bansos ,, semoga lewat aplikasi ini sy bisa dapat bantuan bansos,amin🙏")</f>
        <v>Sudah puluhan tahun kost di Makassar tapi tdk pernah dapat bantuan bansos ,, semoga lewat aplikasi ini sy bisa dapat bantuan bansos,amin🙏</v>
      </c>
      <c r="C167" s="17" t="str">
        <f>IFERROR(__xludf.DUMMYFUNCTION("REGEXREPLACE(B167,$A$3, )"),"Sudah puluhan tahun kost di Makassar tapi tdk pernah dapat bantuan bansos ,, semoga lewat aplikasi ini sy bisa dapat bantuan bansos,amin🙏")</f>
        <v>Sudah puluhan tahun kost di Makassar tapi tdk pernah dapat bantuan bansos ,, semoga lewat aplikasi ini sy bisa dapat bantuan bansos,amin🙏</v>
      </c>
      <c r="D167" s="17" t="str">
        <f>IFERROR(__xludf.DUMMYFUNCTION("REGEXREPLACE(C167,$A$4, )"),"Sudah puluhan tahun kost di Makassar tapi tdk pernah dapat bantuan bansos ,, semoga lewat aplikasi ini sy bisa dapat bantuan bansos,amin🙏")</f>
        <v>Sudah puluhan tahun kost di Makassar tapi tdk pernah dapat bantuan bansos ,, semoga lewat aplikasi ini sy bisa dapat bantuan bansos,amin🙏</v>
      </c>
      <c r="E167" s="17" t="str">
        <f>IFERROR(__xludf.DUMMYFUNCTION("REGEXREPLACE(D167,$A$5, )"),"Sudah puluhan tahun kost di Makassar tapi tdk pernah dapat bantuan bansos ,, semoga lewat aplikasi ini sy bisa dapat bantuan bansos,amin🙏")</f>
        <v>Sudah puluhan tahun kost di Makassar tapi tdk pernah dapat bantuan bansos ,, semoga lewat aplikasi ini sy bisa dapat bantuan bansos,amin🙏</v>
      </c>
      <c r="F167" s="17" t="str">
        <f>IFERROR(__xludf.DUMMYFUNCTION("REGEXREPLACE(E167,$A$6, )"),"Sudah puluhan tahun kost di Makassar tapi tdk pernah dapat bantuan bansos  semoga lewat aplikasi ini sy bisa dapat bantuan bansosamin🙏")</f>
        <v>Sudah puluhan tahun kost di Makassar tapi tdk pernah dapat bantuan bansos  semoga lewat aplikasi ini sy bisa dapat bantuan bansosamin🙏</v>
      </c>
      <c r="G167" s="18" t="str">
        <f>IFERROR(__xludf.DUMMYFUNCTION("REGEXREPLACE(F167,$A$7, )"),"Sudah puluhan tahun kost di Makassar tapi tdk pernah dapat bantuan bansos  semoga lewat aplikasi ini sy bisa dapat bantuan bansosamin")</f>
        <v>Sudah puluhan tahun kost di Makassar tapi tdk pernah dapat bantuan bansos  semoga lewat aplikasi ini sy bisa dapat bantuan bansosamin</v>
      </c>
      <c r="H167" s="17" t="str">
        <f t="shared" si="1"/>
        <v>sudah puluhan tahun kost di makassar tapi tdk pernah dapat bantuan bansos  semoga lewat aplikasi ini sy bisa dapat bantuan bansosamin</v>
      </c>
    </row>
    <row r="168">
      <c r="A168" s="16" t="s">
        <v>162</v>
      </c>
      <c r="B168" s="17" t="str">
        <f>IFERROR(__xludf.DUMMYFUNCTION("REGEXREPLACE(A168,$A$2, )"),"Gak bisa login error' terus keluarnya")</f>
        <v>Gak bisa login error' terus keluarnya</v>
      </c>
      <c r="C168" s="17" t="str">
        <f>IFERROR(__xludf.DUMMYFUNCTION("REGEXREPLACE(B168,$A$3, )"),"Gak bisa login error' terus keluarnya")</f>
        <v>Gak bisa login error' terus keluarnya</v>
      </c>
      <c r="D168" s="17" t="str">
        <f>IFERROR(__xludf.DUMMYFUNCTION("REGEXREPLACE(C168,$A$4, )"),"Gak bisa login error' terus keluarnya")</f>
        <v>Gak bisa login error' terus keluarnya</v>
      </c>
      <c r="E168" s="17" t="str">
        <f>IFERROR(__xludf.DUMMYFUNCTION("REGEXREPLACE(D168,$A$5, )"),"Gak bisa login error' terus keluarnya")</f>
        <v>Gak bisa login error' terus keluarnya</v>
      </c>
      <c r="F168" s="17" t="str">
        <f>IFERROR(__xludf.DUMMYFUNCTION("REGEXREPLACE(E168,$A$6, )"),"Gak bisa login error terus keluarnya")</f>
        <v>Gak bisa login error terus keluarnya</v>
      </c>
      <c r="G168" s="18" t="str">
        <f>IFERROR(__xludf.DUMMYFUNCTION("REGEXREPLACE(F168,$A$7, )"),"Gak bisa login error terus keluarnya")</f>
        <v>Gak bisa login error terus keluarnya</v>
      </c>
      <c r="H168" s="17" t="str">
        <f t="shared" si="1"/>
        <v>gak bisa login error terus keluarnya</v>
      </c>
    </row>
    <row r="169">
      <c r="A169" s="16" t="s">
        <v>163</v>
      </c>
      <c r="B169" s="17" t="str">
        <f>IFERROR(__xludf.DUMMYFUNCTION("REGEXREPLACE(A169,$A$2, )"),"Aplikasi error,harap hubungi admin..mohon bisa dicek.")</f>
        <v>Aplikasi error,harap hubungi admin..mohon bisa dicek.</v>
      </c>
      <c r="C169" s="17" t="str">
        <f>IFERROR(__xludf.DUMMYFUNCTION("REGEXREPLACE(B169,$A$3, )"),"Aplikasi error,harap hubungi admin..mohon bisa dicek.")</f>
        <v>Aplikasi error,harap hubungi admin..mohon bisa dicek.</v>
      </c>
      <c r="D169" s="17" t="str">
        <f>IFERROR(__xludf.DUMMYFUNCTION("REGEXREPLACE(C169,$A$4, )"),"Aplikasi error,harap hubungi admin..mohon bisa dicek.")</f>
        <v>Aplikasi error,harap hubungi admin..mohon bisa dicek.</v>
      </c>
      <c r="E169" s="17" t="str">
        <f>IFERROR(__xludf.DUMMYFUNCTION("REGEXREPLACE(D169,$A$5, )"),"Aplikasi error,harap hubungi admin..mohon bisa dicek.")</f>
        <v>Aplikasi error,harap hubungi admin..mohon bisa dicek.</v>
      </c>
      <c r="F169" s="17" t="str">
        <f>IFERROR(__xludf.DUMMYFUNCTION("REGEXREPLACE(E169,$A$6, )"),"Aplikasi errorharap hubungi adminmohon bisa dicek")</f>
        <v>Aplikasi errorharap hubungi adminmohon bisa dicek</v>
      </c>
      <c r="G169" s="18" t="str">
        <f>IFERROR(__xludf.DUMMYFUNCTION("REGEXREPLACE(F169,$A$7, )"),"Aplikasi errorharap hubungi adminmohon bisa dicek")</f>
        <v>Aplikasi errorharap hubungi adminmohon bisa dicek</v>
      </c>
      <c r="H169" s="17" t="str">
        <f t="shared" si="1"/>
        <v>aplikasi errorharap hubungi adminmohon bisa dicek</v>
      </c>
    </row>
    <row r="170">
      <c r="A170" s="16" t="s">
        <v>164</v>
      </c>
      <c r="B170" s="17" t="str">
        <f>IFERROR(__xludf.DUMMYFUNCTION("REGEXREPLACE(A170,$A$2, )"),"Akun sudah terverifikasi. Dikasih tau username, nik, nama, no. Hp, tanggal lewat Gmail oleh kementerian sosial. Log in nya TIDAK ADA KONEKSI. Aplikasi yang baaaaagus syekali. Tidak syulit pun. Yang penting sudah diverifikasi oleh Kemensos dan tidak ada ko"&amp;"neksi (WiFi lancar). Alhamdulillah. Apik. Dan selalu apk nya bilang tidak ada koneksi. Mungkin harus bayar dulu untuk log in😭😭😭🤣maaf tidak ada koneksinya saya ulang2. Karena dia juga berulang2 muncul di apk nya")</f>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ulang2. Karena dia juga berulang2 muncul di apk nya</v>
      </c>
      <c r="C170" s="17" t="str">
        <f>IFERROR(__xludf.DUMMYFUNCTION("REGEXREPLACE(B170,$A$3, )"),"Akun sudah terverifikasi. Dikasih tau username, nik, nama, no. Hp, tanggal lewat Gmail oleh kementerian sosial. Log in nya TIDAK ADA KONEKSI. Aplikasi yang baaaaagus syekali. Tidak syulit pun. Yang penting sudah diverifikasi oleh Kemensos dan tidak ada ko"&amp;"neksi (WiFi lancar). Alhamdulillah. Apik. Dan selalu apk nya bilang tidak ada koneksi. Mungkin harus bayar dulu untuk log in😭😭😭🤣maaf tidak ada koneksinya saya ulang2. Karena dia juga berulang2 muncul di apk nya")</f>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ulang2. Karena dia juga berulang2 muncul di apk nya</v>
      </c>
      <c r="D170" s="17" t="str">
        <f>IFERROR(__xludf.DUMMYFUNCTION("REGEXREPLACE(C170,$A$4, )"),"Akun sudah terverifikasi. Dikasih tau username, nik, nama, no. Hp, tanggal lewat Gmail oleh kementerian sosial. Log in nya TIDAK ADA KONEKSI. Aplikasi yang baaaaagus syekali. Tidak syulit pun. Yang penting sudah diverifikasi oleh Kemensos dan tidak ada ko"&amp;"neksi (WiFi lancar). Alhamdulillah. Apik. Dan selalu apk nya bilang tidak ada koneksi. Mungkin harus bayar dulu untuk log in😭😭😭🤣maaf tidak ada koneksinya saya ulang2. Karena dia juga berulang2 muncul di apk nya")</f>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ulang2. Karena dia juga berulang2 muncul di apk nya</v>
      </c>
      <c r="E170" s="17" t="str">
        <f>IFERROR(__xludf.DUMMYFUNCTION("REGEXREPLACE(D170,$A$5, )"),"Akun sudah terverifikasi. Dikasih tau username, nik, nama, no. Hp, tanggal lewat Gmail oleh kementerian sosial. Log in nya TIDAK ADA KONEKSI. Aplikasi yang baaaaagus syekali. Tidak syulit pun. Yang penting sudah diverifikasi oleh Kemensos dan tidak ada ko"&amp;"neksi (WiFi lancar). Alhamdulillah. Apik. Dan selalu apk nya bilang tidak ada koneksi. Mungkin harus bayar dulu untuk log in😭😭😭🤣maaf tidak ada koneksinya saya ulang. Karena dia juga berulang muncul di apk nya")</f>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 Karena dia juga berulang muncul di apk nya</v>
      </c>
      <c r="F170" s="17" t="str">
        <f>IFERROR(__xludf.DUMMYFUNCTION("REGEXREPLACE(E170,$A$6, )"),"Akun sudah terverifikasi Dikasih tau username nik nama no Hp tanggal lewat Gmail oleh kementerian sosial Log in nya TIDAK ADA KONEKSI Aplikasi yang baaaaagus syekali Tidak syulit pun Yang penting sudah diverifikasi oleh Kemensos dan tidak ada koneksi WiFi"&amp;" lancar Alhamdulillah Apik Dan selalu apk nya bilang tidak ada koneksi Mungkin harus bayar dulu untuk log in😭😭😭🤣maaf tidak ada koneksinya saya ulang Karena dia juga berulang muncul di apk nya")</f>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 Karena dia juga berulang muncul di apk nya</v>
      </c>
      <c r="G170" s="18" t="str">
        <f>IFERROR(__xludf.DUMMYFUNCTION("REGEXREPLACE(F170,$A$7, )"),"Akun sudah terverifikasi Dikasih tau username nik nama no Hp tanggal lewat Gmail oleh kementerian sosial Log in nya TIDAK ADA KONEKSI Aplikasi yang baaaaagus syekali Tidak syulit pun Yang penting sudah diverifikasi oleh Kemensos dan tidak ada koneksi WiFi"&amp;" lancar Alhamdulillah Apik Dan selalu apk nya bilang tidak ada koneksi Mungkin harus bayar dulu untuk log inmaaf tidak ada koneksinya saya ulang Karena dia juga berulang muncul di apk nya")</f>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 Karena dia juga berulang muncul di apk nya</v>
      </c>
      <c r="H170" s="17" t="str">
        <f t="shared" si="1"/>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 karena dia juga berulang muncul di apk nya</v>
      </c>
    </row>
    <row r="171">
      <c r="A171" s="16" t="s">
        <v>165</v>
      </c>
      <c r="B171" s="17" t="str">
        <f>IFERROR(__xludf.DUMMYFUNCTION("REGEXREPLACE(A171,$A$2, )"),"Terimakasi aplikasi ini sangat membantu dan sayg sudah terdaftar bansos. Terimakasih ya atas bantuan aplikasi nya😘😘😘😘😘")</f>
        <v>Terimakasi aplikasi ini sangat membantu dan sayg sudah terdaftar bansos. Terimakasih ya atas bantuan aplikasi nya😘😘😘😘😘</v>
      </c>
      <c r="C171" s="17" t="str">
        <f>IFERROR(__xludf.DUMMYFUNCTION("REGEXREPLACE(B171,$A$3, )"),"Terimakasi aplikasi ini sangat membantu dan sayg sudah terdaftar bansos. Terimakasih ya atas bantuan aplikasi nya😘😘😘😘😘")</f>
        <v>Terimakasi aplikasi ini sangat membantu dan sayg sudah terdaftar bansos. Terimakasih ya atas bantuan aplikasi nya😘😘😘😘😘</v>
      </c>
      <c r="D171" s="17" t="str">
        <f>IFERROR(__xludf.DUMMYFUNCTION("REGEXREPLACE(C171,$A$4, )"),"Terimakasi aplikasi ini sangat membantu dan sayg sudah terdaftar bansos. Terimakasih ya atas bantuan aplikasi nya😘😘😘😘😘")</f>
        <v>Terimakasi aplikasi ini sangat membantu dan sayg sudah terdaftar bansos. Terimakasih ya atas bantuan aplikasi nya😘😘😘😘😘</v>
      </c>
      <c r="E171" s="17" t="str">
        <f>IFERROR(__xludf.DUMMYFUNCTION("REGEXREPLACE(D171,$A$5, )"),"Terimakasi aplikasi ini sangat membantu dan sayg sudah terdaftar bansos. Terimakasih ya atas bantuan aplikasi nya😘😘😘😘😘")</f>
        <v>Terimakasi aplikasi ini sangat membantu dan sayg sudah terdaftar bansos. Terimakasih ya atas bantuan aplikasi nya😘😘😘😘😘</v>
      </c>
      <c r="F171" s="17" t="str">
        <f>IFERROR(__xludf.DUMMYFUNCTION("REGEXREPLACE(E171,$A$6, )"),"Terimakasi aplikasi ini sangat membantu dan sayg sudah terdaftar bansos Terimakasih ya atas bantuan aplikasi nya😘😘😘😘😘")</f>
        <v>Terimakasi aplikasi ini sangat membantu dan sayg sudah terdaftar bansos Terimakasih ya atas bantuan aplikasi nya😘😘😘😘😘</v>
      </c>
      <c r="G171" s="18" t="str">
        <f>IFERROR(__xludf.DUMMYFUNCTION("REGEXREPLACE(F171,$A$7, )"),"Terimakasi aplikasi ini sangat membantu dan sayg sudah terdaftar bansos Terimakasih ya atas bantuan aplikasi nya")</f>
        <v>Terimakasi aplikasi ini sangat membantu dan sayg sudah terdaftar bansos Terimakasih ya atas bantuan aplikasi nya</v>
      </c>
      <c r="H171" s="17" t="str">
        <f t="shared" si="1"/>
        <v>terimakasi aplikasi ini sangat membantu dan sayg sudah terdaftar bansos terimakasih ya atas bantuan aplikasi nya</v>
      </c>
    </row>
    <row r="172">
      <c r="A172" s="16" t="s">
        <v>166</v>
      </c>
      <c r="B172" s="17" t="str">
        <f>IFERROR(__xludf.DUMMYFUNCTION("REGEXREPLACE(A172,$A$2, )"),"Udah dpt balasan aktivasi email dari kemensos beberapa hari yg lalu.. tp ketika mau masuk, loading'y cuma muter"" .. trus muncul periksa koneksi internet.. pdhl pake wifi.. mohon pihak trkait smoga aplikasi ini sgra bisa di prbaiki.. krna bnyak bantuan sa"&amp;"lah sasaran...")</f>
        <v>Udah dpt balasan aktivasi email dari kemensos beberapa hari yg lalu.. tp ketika mau masuk, loading'y cuma muter" .. trus muncul periksa koneksi internet.. pdhl pake wifi.. mohon pihak trkait smoga aplikasi ini sgra bisa di prbaiki.. krna bnyak bantuan salah sasaran...</v>
      </c>
      <c r="C172" s="17" t="str">
        <f>IFERROR(__xludf.DUMMYFUNCTION("REGEXREPLACE(B172,$A$3, )"),"Udah dpt balasan aktivasi email dari kemensos beberapa hari yg lalu.. tp ketika mau masuk, loading'y cuma muter"" .. trus muncul periksa koneksi internet.. pdhl pake wifi.. mohon pihak trkait smoga aplikasi ini sgra bisa di prbaiki.. krna bnyak bantuan sa"&amp;"lah sasaran...")</f>
        <v>Udah dpt balasan aktivasi email dari kemensos beberapa hari yg lalu.. tp ketika mau masuk, loading'y cuma muter" .. trus muncul periksa koneksi internet.. pdhl pake wifi.. mohon pihak trkait smoga aplikasi ini sgra bisa di prbaiki.. krna bnyak bantuan salah sasaran...</v>
      </c>
      <c r="D172" s="17" t="str">
        <f>IFERROR(__xludf.DUMMYFUNCTION("REGEXREPLACE(C172,$A$4, )"),"Udah dpt balasan aktivasi email dari kemensos beberapa hari yg lalu.. tp ketika mau masuk, loading'y cuma muter"" .. trus muncul periksa koneksi internet.. pdhl pake wifi.. mohon pihak trkait smoga aplikasi ini sgra bisa di prbaiki.. krna bnyak bantuan sa"&amp;"lah sasaran...")</f>
        <v>Udah dpt balasan aktivasi email dari kemensos beberapa hari yg lalu.. tp ketika mau masuk, loading'y cuma muter" .. trus muncul periksa koneksi internet.. pdhl pake wifi.. mohon pihak trkait smoga aplikasi ini sgra bisa di prbaiki.. krna bnyak bantuan salah sasaran...</v>
      </c>
      <c r="E172" s="17" t="str">
        <f>IFERROR(__xludf.DUMMYFUNCTION("REGEXREPLACE(D172,$A$5, )"),"Udah dpt balasan aktivasi email dari kemensos beberapa hari yg lalu.. tp ketika mau masuk, loading'y cuma muter"" .. trus muncul periksa koneksi internet.. pdhl pake wifi.. mohon pihak trkait smoga aplikasi ini sgra bisa di prbaiki.. krna bnyak bantuan sa"&amp;"lah sasaran...")</f>
        <v>Udah dpt balasan aktivasi email dari kemensos beberapa hari yg lalu.. tp ketika mau masuk, loading'y cuma muter" .. trus muncul periksa koneksi internet.. pdhl pake wifi.. mohon pihak trkait smoga aplikasi ini sgra bisa di prbaiki.. krna bnyak bantuan salah sasaran...</v>
      </c>
      <c r="F172" s="17" t="str">
        <f>IFERROR(__xludf.DUMMYFUNCTION("REGEXREPLACE(E172,$A$6, )"),"Udah dpt balasan aktivasi email dari kemensos beberapa hari yg lalu tp ketika mau masuk loadingy cuma muter  trus muncul periksa koneksi internet pdhl pake wifi mohon pihak trkait smoga aplikasi ini sgra bisa di prbaiki krna bnyak bantuan salah sasaran")</f>
        <v>Udah dpt balasan aktivasi email dari kemensos beberapa hari yg lalu tp ketika mau masuk loadingy cuma muter  trus muncul periksa koneksi internet pdhl pake wifi mohon pihak trkait smoga aplikasi ini sgra bisa di prbaiki krna bnyak bantuan salah sasaran</v>
      </c>
      <c r="G172" s="18" t="str">
        <f>IFERROR(__xludf.DUMMYFUNCTION("REGEXREPLACE(F172,$A$7, )"),"Udah dpt balasan aktivasi email dari kemensos beberapa hari yg lalu tp ketika mau masuk loadingy cuma muter  trus muncul periksa koneksi internet pdhl pake wifi mohon pihak trkait smoga aplikasi ini sgra bisa di prbaiki krna bnyak bantuan salah sasaran")</f>
        <v>Udah dpt balasan aktivasi email dari kemensos beberapa hari yg lalu tp ketika mau masuk loadingy cuma muter  trus muncul periksa koneksi internet pdhl pake wifi mohon pihak trkait smoga aplikasi ini sgra bisa di prbaiki krna bnyak bantuan salah sasaran</v>
      </c>
      <c r="H172" s="17" t="str">
        <f t="shared" si="1"/>
        <v>udah dpt balasan aktivasi email dari kemensos beberapa hari yg lalu tp ketika mau masuk loadingy cuma muter  trus muncul periksa koneksi internet pdhl pake wifi mohon pihak trkait smoga aplikasi ini sgra bisa di prbaiki krna bnyak bantuan salah sasaran</v>
      </c>
    </row>
    <row r="173">
      <c r="A173" s="16" t="s">
        <v>167</v>
      </c>
      <c r="B173" s="17" t="str">
        <f>IFERROR(__xludf.DUMMYFUNCTION("REGEXREPLACE(A173,$A$2, )"),"Mohon d bantu,saya login lupa pasword,pas sudah dpt link dr email link trsbt tidak bisa d buka,mhon bntuan nya")</f>
        <v>Mohon d bantu,saya login lupa pasword,pas sudah dpt link dr email link trsbt tidak bisa d buka,mhon bntuan nya</v>
      </c>
      <c r="C173" s="17" t="str">
        <f>IFERROR(__xludf.DUMMYFUNCTION("REGEXREPLACE(B173,$A$3, )"),"Mohon d bantu,saya login lupa pasword,pas sudah dpt link dr email link trsbt tidak bisa d buka,mhon bntuan nya")</f>
        <v>Mohon d bantu,saya login lupa pasword,pas sudah dpt link dr email link trsbt tidak bisa d buka,mhon bntuan nya</v>
      </c>
      <c r="D173" s="17" t="str">
        <f>IFERROR(__xludf.DUMMYFUNCTION("REGEXREPLACE(C173,$A$4, )"),"Mohon d bantu,saya login lupa pasword,pas sudah dpt link dr email link trsbt tidak bisa d buka,mhon bntuan nya")</f>
        <v>Mohon d bantu,saya login lupa pasword,pas sudah dpt link dr email link trsbt tidak bisa d buka,mhon bntuan nya</v>
      </c>
      <c r="E173" s="17" t="str">
        <f>IFERROR(__xludf.DUMMYFUNCTION("REGEXREPLACE(D173,$A$5, )"),"Mohon d bantu,saya login lupa pasword,pas sudah dpt link dr email link trsbt tidak bisa d buka,mhon bntuan nya")</f>
        <v>Mohon d bantu,saya login lupa pasword,pas sudah dpt link dr email link trsbt tidak bisa d buka,mhon bntuan nya</v>
      </c>
      <c r="F173" s="17" t="str">
        <f>IFERROR(__xludf.DUMMYFUNCTION("REGEXREPLACE(E173,$A$6, )"),"Mohon d bantusaya login lupa paswordpas sudah dpt link dr email link trsbt tidak bisa d bukamhon bntuan nya")</f>
        <v>Mohon d bantusaya login lupa paswordpas sudah dpt link dr email link trsbt tidak bisa d bukamhon bntuan nya</v>
      </c>
      <c r="G173" s="18" t="str">
        <f>IFERROR(__xludf.DUMMYFUNCTION("REGEXREPLACE(F173,$A$7, )"),"Mohon d bantusaya login lupa paswordpas sudah dpt link dr email link trsbt tidak bisa d bukamhon bntuan nya")</f>
        <v>Mohon d bantusaya login lupa paswordpas sudah dpt link dr email link trsbt tidak bisa d bukamhon bntuan nya</v>
      </c>
      <c r="H173" s="17" t="str">
        <f t="shared" si="1"/>
        <v>mohon d bantusaya login lupa paswordpas sudah dpt link dr email link trsbt tidak bisa d bukamhon bntuan nya</v>
      </c>
    </row>
    <row r="174">
      <c r="A174" s="16" t="s">
        <v>168</v>
      </c>
      <c r="B174" s="17" t="str">
        <f>IFERROR(__xludf.DUMMYFUNCTION("REGEXREPLACE(A174,$A$2, )"),"Alhamdulillah begitu daftar langsung dapat email aktivasi dan bisa langsung login. Sudah masukkan usulan bansos, semoga di setujui. 🤲")</f>
        <v>Alhamdulillah begitu daftar langsung dapat email aktivasi dan bisa langsung login. Sudah masukkan usulan bansos, semoga di setujui. 🤲</v>
      </c>
      <c r="C174" s="17" t="str">
        <f>IFERROR(__xludf.DUMMYFUNCTION("REGEXREPLACE(B174,$A$3, )"),"Alhamdulillah begitu daftar langsung dapat email aktivasi dan bisa langsung login. Sudah masukkan usulan bansos, semoga di setujui. 🤲")</f>
        <v>Alhamdulillah begitu daftar langsung dapat email aktivasi dan bisa langsung login. Sudah masukkan usulan bansos, semoga di setujui. 🤲</v>
      </c>
      <c r="D174" s="17" t="str">
        <f>IFERROR(__xludf.DUMMYFUNCTION("REGEXREPLACE(C174,$A$4, )"),"Alhamdulillah begitu daftar langsung dapat email aktivasi dan bisa langsung login. Sudah masukkan usulan bansos, semoga di setujui. 🤲")</f>
        <v>Alhamdulillah begitu daftar langsung dapat email aktivasi dan bisa langsung login. Sudah masukkan usulan bansos, semoga di setujui. 🤲</v>
      </c>
      <c r="E174" s="17" t="str">
        <f>IFERROR(__xludf.DUMMYFUNCTION("REGEXREPLACE(D174,$A$5, )"),"Alhamdulillah begitu daftar langsung dapat email aktivasi dan bisa langsung login. Sudah masukkan usulan bansos, semoga di setujui. 🤲")</f>
        <v>Alhamdulillah begitu daftar langsung dapat email aktivasi dan bisa langsung login. Sudah masukkan usulan bansos, semoga di setujui. 🤲</v>
      </c>
      <c r="F174" s="17" t="str">
        <f>IFERROR(__xludf.DUMMYFUNCTION("REGEXREPLACE(E174,$A$6, )"),"Alhamdulillah begitu daftar langsung dapat email aktivasi dan bisa langsung login Sudah masukkan usulan bansos semoga di setujui 🤲")</f>
        <v>Alhamdulillah begitu daftar langsung dapat email aktivasi dan bisa langsung login Sudah masukkan usulan bansos semoga di setujui 🤲</v>
      </c>
      <c r="G174" s="18" t="str">
        <f>IFERROR(__xludf.DUMMYFUNCTION("REGEXREPLACE(F174,$A$7, )"),"Alhamdulillah begitu daftar langsung dapat email aktivasi dan bisa langsung login Sudah masukkan usulan bansos semoga di setujui ")</f>
        <v>Alhamdulillah begitu daftar langsung dapat email aktivasi dan bisa langsung login Sudah masukkan usulan bansos semoga di setujui </v>
      </c>
      <c r="H174" s="17" t="str">
        <f t="shared" si="1"/>
        <v>alhamdulillah begitu daftar langsung dapat email aktivasi dan bisa langsung login sudah masukkan usulan bansos semoga di setujui </v>
      </c>
    </row>
    <row r="175">
      <c r="A175" s="16" t="s">
        <v>169</v>
      </c>
      <c r="B175" s="17" t="str">
        <f>IFERROR(__xludf.DUMMYFUNCTION("REGEXREPLACE(A175,$A$2, )"),"Kenapa ga bisa masuk&amp; ga'bisa ngecek nama penerima???? Mohon diperbaiki")</f>
        <v>Kenapa ga bisa masuk&amp; ga'bisa ngecek nama penerima???? Mohon diperbaiki</v>
      </c>
      <c r="C175" s="17" t="str">
        <f>IFERROR(__xludf.DUMMYFUNCTION("REGEXREPLACE(B175,$A$3, )"),"Kenapa ga bisa masuk&amp; ga'bisa ngecek nama penerima???? Mohon diperbaiki")</f>
        <v>Kenapa ga bisa masuk&amp; ga'bisa ngecek nama penerima???? Mohon diperbaiki</v>
      </c>
      <c r="D175" s="17" t="str">
        <f>IFERROR(__xludf.DUMMYFUNCTION("REGEXREPLACE(C175,$A$4, )"),"Kenapa ga bisa masuk&amp; ga'bisa ngecek nama penerima???? Mohon diperbaiki")</f>
        <v>Kenapa ga bisa masuk&amp; ga'bisa ngecek nama penerima???? Mohon diperbaiki</v>
      </c>
      <c r="E175" s="17" t="str">
        <f>IFERROR(__xludf.DUMMYFUNCTION("REGEXREPLACE(D175,$A$5, )"),"Kenapa ga bisa masuk&amp; ga'bisa ngecek nama penerima???? Mohon diperbaiki")</f>
        <v>Kenapa ga bisa masuk&amp; ga'bisa ngecek nama penerima???? Mohon diperbaiki</v>
      </c>
      <c r="F175" s="17" t="str">
        <f>IFERROR(__xludf.DUMMYFUNCTION("REGEXREPLACE(E175,$A$6, )"),"Kenapa ga bisa masuk&amp; gabisa ngecek nama penerima Mohon diperbaiki")</f>
        <v>Kenapa ga bisa masuk&amp; gabisa ngecek nama penerima Mohon diperbaiki</v>
      </c>
      <c r="G175" s="18" t="str">
        <f>IFERROR(__xludf.DUMMYFUNCTION("REGEXREPLACE(F175,$A$7, )"),"Kenapa ga bisa masuk&amp; gabisa ngecek nama penerima Mohon diperbaiki")</f>
        <v>Kenapa ga bisa masuk&amp; gabisa ngecek nama penerima Mohon diperbaiki</v>
      </c>
      <c r="H175" s="17" t="str">
        <f t="shared" si="1"/>
        <v>kenapa ga bisa masuk&amp; gabisa ngecek nama penerima mohon diperbaiki</v>
      </c>
    </row>
    <row r="176">
      <c r="A176" s="16" t="s">
        <v>170</v>
      </c>
      <c r="B176" s="17" t="str">
        <f>IFERROR(__xludf.DUMMYFUNCTION("REGEXREPLACE(A176,$A$2, )"),"saya sudah daftar aplikasi ni mudah mudahan bisa membantu perekonomian keluarga saya 🙏")</f>
        <v>saya sudah daftar aplikasi ni mudah mudahan bisa membantu perekonomian keluarga saya 🙏</v>
      </c>
      <c r="C176" s="17" t="str">
        <f>IFERROR(__xludf.DUMMYFUNCTION("REGEXREPLACE(B176,$A$3, )"),"saya sudah daftar aplikasi ni mudah mudahan bisa membantu perekonomian keluarga saya 🙏")</f>
        <v>saya sudah daftar aplikasi ni mudah mudahan bisa membantu perekonomian keluarga saya 🙏</v>
      </c>
      <c r="D176" s="17" t="str">
        <f>IFERROR(__xludf.DUMMYFUNCTION("REGEXREPLACE(C176,$A$4, )"),"saya sudah daftar aplikasi ni mudah mudahan bisa membantu perekonomian keluarga saya 🙏")</f>
        <v>saya sudah daftar aplikasi ni mudah mudahan bisa membantu perekonomian keluarga saya 🙏</v>
      </c>
      <c r="E176" s="17" t="str">
        <f>IFERROR(__xludf.DUMMYFUNCTION("REGEXREPLACE(D176,$A$5, )"),"saya sudah daftar aplikasi ni mudah mudahan bisa membantu perekonomian keluarga saya 🙏")</f>
        <v>saya sudah daftar aplikasi ni mudah mudahan bisa membantu perekonomian keluarga saya 🙏</v>
      </c>
      <c r="F176" s="17" t="str">
        <f>IFERROR(__xludf.DUMMYFUNCTION("REGEXREPLACE(E176,$A$6, )"),"saya sudah daftar aplikasi ni mudah mudahan bisa membantu perekonomian keluarga saya 🙏")</f>
        <v>saya sudah daftar aplikasi ni mudah mudahan bisa membantu perekonomian keluarga saya 🙏</v>
      </c>
      <c r="G176" s="18" t="str">
        <f>IFERROR(__xludf.DUMMYFUNCTION("REGEXREPLACE(F176,$A$7, )"),"saya sudah daftar aplikasi ni mudah mudahan bisa membantu perekonomian keluarga saya ")</f>
        <v>saya sudah daftar aplikasi ni mudah mudahan bisa membantu perekonomian keluarga saya </v>
      </c>
      <c r="H176" s="17" t="str">
        <f t="shared" si="1"/>
        <v>saya sudah daftar aplikasi ni mudah mudahan bisa membantu perekonomian keluarga saya </v>
      </c>
    </row>
    <row r="177">
      <c r="A177" s="16" t="s">
        <v>171</v>
      </c>
      <c r="B177" s="17" t="str">
        <f>IFERROR(__xludf.DUMMYFUNCTION("REGEXREPLACE(A177,$A$2, )"),"Assalamualaikum Mau tanya sy udah daftar Udah dapet email juga tentang aktifasi Dan di suruh login Pas mau login username ga si temukan Gimana donk min")</f>
        <v>Assalamualaikum Mau tanya sy udah daftar Udah dapet email juga tentang aktifasi Dan di suruh login Pas mau login username ga si temukan Gimana donk min</v>
      </c>
      <c r="C177" s="17" t="str">
        <f>IFERROR(__xludf.DUMMYFUNCTION("REGEXREPLACE(B177,$A$3, )"),"Assalamualaikum Mau tanya sy udah daftar Udah dapet email juga tentang aktifasi Dan di suruh login Pas mau login username ga si temukan Gimana donk min")</f>
        <v>Assalamualaikum Mau tanya sy udah daftar Udah dapet email juga tentang aktifasi Dan di suruh login Pas mau login username ga si temukan Gimana donk min</v>
      </c>
      <c r="D177" s="17" t="str">
        <f>IFERROR(__xludf.DUMMYFUNCTION("REGEXREPLACE(C177,$A$4, )"),"Assalamualaikum Mau tanya sy udah daftar Udah dapet email juga tentang aktifasi Dan di suruh login Pas mau login username ga si temukan Gimana donk min")</f>
        <v>Assalamualaikum Mau tanya sy udah daftar Udah dapet email juga tentang aktifasi Dan di suruh login Pas mau login username ga si temukan Gimana donk min</v>
      </c>
      <c r="E177" s="17" t="str">
        <f>IFERROR(__xludf.DUMMYFUNCTION("REGEXREPLACE(D177,$A$5, )"),"Assalamualaikum Mau tanya sy udah daftar Udah dapet email juga tentang aktifasi Dan di suruh login Pas mau login username ga si temukan Gimana donk min")</f>
        <v>Assalamualaikum Mau tanya sy udah daftar Udah dapet email juga tentang aktifasi Dan di suruh login Pas mau login username ga si temukan Gimana donk min</v>
      </c>
      <c r="F177" s="17" t="str">
        <f>IFERROR(__xludf.DUMMYFUNCTION("REGEXREPLACE(E177,$A$6, )"),"Assalamualaikum Mau tanya sy udah daftar Udah dapet email juga tentang aktifasi Dan di suruh login Pas mau login username ga si temukan Gimana donk min")</f>
        <v>Assalamualaikum Mau tanya sy udah daftar Udah dapet email juga tentang aktifasi Dan di suruh login Pas mau login username ga si temukan Gimana donk min</v>
      </c>
      <c r="G177" s="18" t="str">
        <f>IFERROR(__xludf.DUMMYFUNCTION("REGEXREPLACE(F177,$A$7, )"),"Assalamualaikum Mau tanya sy udah daftar Udah dapet email juga tentang aktifasi Dan di suruh login Pas mau login username ga si temukan Gimana donk min")</f>
        <v>Assalamualaikum Mau tanya sy udah daftar Udah dapet email juga tentang aktifasi Dan di suruh login Pas mau login username ga si temukan Gimana donk min</v>
      </c>
      <c r="H177" s="17" t="str">
        <f t="shared" si="1"/>
        <v>assalamualaikum mau tanya sy udah daftar udah dapet email juga tentang aktifasi dan di suruh login pas mau login username ga si temukan gimana donk min</v>
      </c>
    </row>
    <row r="178">
      <c r="A178" s="16" t="s">
        <v>172</v>
      </c>
      <c r="B178" s="17" t="str">
        <f>IFERROR(__xludf.DUMMYFUNCTION("REGEXREPLACE(A178,$A$2, )"),"Kenapa saya tidak mendapat bantuan dari pemerintah (BANSOS) seperti PKH , BPNT , BST dan BLT BBM... Mohon bantuan nya agar saya bisa mendapatkan bantuan pemerintah ini.. terima kasih atas yang mau membantu.")</f>
        <v>Kenapa saya tidak mendapat bantuan dari pemerintah (BANSOS) seperti PKH , BPNT , BST dan BLT BBM... Mohon bantuan nya agar saya bisa mendapatkan bantuan pemerintah ini.. terima kasih atas yang mau membantu.</v>
      </c>
      <c r="C178" s="17" t="str">
        <f>IFERROR(__xludf.DUMMYFUNCTION("REGEXREPLACE(B178,$A$3, )"),"Kenapa saya tidak mendapat bantuan dari pemerintah (BANSOS) seperti PKH , BPNT , BST dan BLT BBM... Mohon bantuan nya agar saya bisa mendapatkan bantuan pemerintah ini.. terima kasih atas yang mau membantu.")</f>
        <v>Kenapa saya tidak mendapat bantuan dari pemerintah (BANSOS) seperti PKH , BPNT , BST dan BLT BBM... Mohon bantuan nya agar saya bisa mendapatkan bantuan pemerintah ini.. terima kasih atas yang mau membantu.</v>
      </c>
      <c r="D178" s="17" t="str">
        <f>IFERROR(__xludf.DUMMYFUNCTION("REGEXREPLACE(C178,$A$4, )"),"Kenapa saya tidak mendapat bantuan dari pemerintah (BANSOS) seperti PKH , BPNT , BST dan BLT BBM... Mohon bantuan nya agar saya bisa mendapatkan bantuan pemerintah ini.. terima kasih atas yang mau membantu.")</f>
        <v>Kenapa saya tidak mendapat bantuan dari pemerintah (BANSOS) seperti PKH , BPNT , BST dan BLT BBM... Mohon bantuan nya agar saya bisa mendapatkan bantuan pemerintah ini.. terima kasih atas yang mau membantu.</v>
      </c>
      <c r="E178" s="17" t="str">
        <f>IFERROR(__xludf.DUMMYFUNCTION("REGEXREPLACE(D178,$A$5, )"),"Kenapa saya tidak mendapat bantuan dari pemerintah (BANSOS) seperti PKH , BPNT , BST dan BLT BBM... Mohon bantuan nya agar saya bisa mendapatkan bantuan pemerintah ini.. terima kasih atas yang mau membantu.")</f>
        <v>Kenapa saya tidak mendapat bantuan dari pemerintah (BANSOS) seperti PKH , BPNT , BST dan BLT BBM... Mohon bantuan nya agar saya bisa mendapatkan bantuan pemerintah ini.. terima kasih atas yang mau membantu.</v>
      </c>
      <c r="F178" s="17" t="str">
        <f>IFERROR(__xludf.DUMMYFUNCTION("REGEXREPLACE(E178,$A$6, )"),"Kenapa saya tidak mendapat bantuan dari pemerintah BANSOS seperti PKH  BPNT  BST dan BLT BBM Mohon bantuan nya agar saya bisa mendapatkan bantuan pemerintah ini terima kasih atas yang mau membantu")</f>
        <v>Kenapa saya tidak mendapat bantuan dari pemerintah BANSOS seperti PKH  BPNT  BST dan BLT BBM Mohon bantuan nya agar saya bisa mendapatkan bantuan pemerintah ini terima kasih atas yang mau membantu</v>
      </c>
      <c r="G178" s="18" t="str">
        <f>IFERROR(__xludf.DUMMYFUNCTION("REGEXREPLACE(F178,$A$7, )"),"Kenapa saya tidak mendapat bantuan dari pemerintah BANSOS seperti PKH  BPNT  BST dan BLT BBM Mohon bantuan nya agar saya bisa mendapatkan bantuan pemerintah ini terima kasih atas yang mau membantu")</f>
        <v>Kenapa saya tidak mendapat bantuan dari pemerintah BANSOS seperti PKH  BPNT  BST dan BLT BBM Mohon bantuan nya agar saya bisa mendapatkan bantuan pemerintah ini terima kasih atas yang mau membantu</v>
      </c>
      <c r="H178" s="17" t="str">
        <f t="shared" si="1"/>
        <v>kenapa saya tidak mendapat bantuan dari pemerintah bansos seperti pkh  bpnt  bst dan blt bbm mohon bantuan nya agar saya bisa mendapatkan bantuan pemerintah ini terima kasih atas yang mau membantu</v>
      </c>
    </row>
    <row r="179">
      <c r="A179" s="16" t="s">
        <v>173</v>
      </c>
      <c r="B179" s="17" t="str">
        <f>IFERROR(__xludf.DUMMYFUNCTION("REGEXREPLACE(A179,$A$2, )"),"Sudah punya user name tp tidak bisa nebula aplikasi karena belum disetujui aktivasi")</f>
        <v>Sudah punya user name tp tidak bisa nebula aplikasi karena belum disetujui aktivasi</v>
      </c>
      <c r="C179" s="17" t="str">
        <f>IFERROR(__xludf.DUMMYFUNCTION("REGEXREPLACE(B179,$A$3, )"),"Sudah punya user name tp tidak bisa nebula aplikasi karena belum disetujui aktivasi")</f>
        <v>Sudah punya user name tp tidak bisa nebula aplikasi karena belum disetujui aktivasi</v>
      </c>
      <c r="D179" s="17" t="str">
        <f>IFERROR(__xludf.DUMMYFUNCTION("REGEXREPLACE(C179,$A$4, )"),"Sudah punya user name tp tidak bisa nebula aplikasi karena belum disetujui aktivasi")</f>
        <v>Sudah punya user name tp tidak bisa nebula aplikasi karena belum disetujui aktivasi</v>
      </c>
      <c r="E179" s="17" t="str">
        <f>IFERROR(__xludf.DUMMYFUNCTION("REGEXREPLACE(D179,$A$5, )"),"Sudah punya user name tp tidak bisa nebula aplikasi karena belum disetujui aktivasi")</f>
        <v>Sudah punya user name tp tidak bisa nebula aplikasi karena belum disetujui aktivasi</v>
      </c>
      <c r="F179" s="17" t="str">
        <f>IFERROR(__xludf.DUMMYFUNCTION("REGEXREPLACE(E179,$A$6, )"),"Sudah punya user name tp tidak bisa nebula aplikasi karena belum disetujui aktivasi")</f>
        <v>Sudah punya user name tp tidak bisa nebula aplikasi karena belum disetujui aktivasi</v>
      </c>
      <c r="G179" s="18" t="str">
        <f>IFERROR(__xludf.DUMMYFUNCTION("REGEXREPLACE(F179,$A$7, )"),"Sudah punya user name tp tidak bisa nebula aplikasi karena belum disetujui aktivasi")</f>
        <v>Sudah punya user name tp tidak bisa nebula aplikasi karena belum disetujui aktivasi</v>
      </c>
      <c r="H179" s="17" t="str">
        <f t="shared" si="1"/>
        <v>sudah punya user name tp tidak bisa nebula aplikasi karena belum disetujui aktivasi</v>
      </c>
    </row>
    <row r="180">
      <c r="A180" s="16" t="s">
        <v>174</v>
      </c>
      <c r="B180" s="17" t="str">
        <f>IFERROR(__xludf.DUMMYFUNCTION("REGEXREPLACE(A180,$A$2, )"),"Admin aplikasi terjadi eorr aplikasi, silakan hubungi admin, mohon bantuannya atau perbaikannya min")</f>
        <v>Admin aplikasi terjadi eorr aplikasi, silakan hubungi admin, mohon bantuannya atau perbaikannya min</v>
      </c>
      <c r="C180" s="17" t="str">
        <f>IFERROR(__xludf.DUMMYFUNCTION("REGEXREPLACE(B180,$A$3, )"),"Admin aplikasi terjadi eorr aplikasi, silakan hubungi admin, mohon bantuannya atau perbaikannya min")</f>
        <v>Admin aplikasi terjadi eorr aplikasi, silakan hubungi admin, mohon bantuannya atau perbaikannya min</v>
      </c>
      <c r="D180" s="17" t="str">
        <f>IFERROR(__xludf.DUMMYFUNCTION("REGEXREPLACE(C180,$A$4, )"),"Admin aplikasi terjadi eorr aplikasi, silakan hubungi admin, mohon bantuannya atau perbaikannya min")</f>
        <v>Admin aplikasi terjadi eorr aplikasi, silakan hubungi admin, mohon bantuannya atau perbaikannya min</v>
      </c>
      <c r="E180" s="17" t="str">
        <f>IFERROR(__xludf.DUMMYFUNCTION("REGEXREPLACE(D180,$A$5, )"),"Admin aplikasi terjadi eorr aplikasi, silakan hubungi admin, mohon bantuannya atau perbaikannya min")</f>
        <v>Admin aplikasi terjadi eorr aplikasi, silakan hubungi admin, mohon bantuannya atau perbaikannya min</v>
      </c>
      <c r="F180" s="17" t="str">
        <f>IFERROR(__xludf.DUMMYFUNCTION("REGEXREPLACE(E180,$A$6, )"),"Admin aplikasi terjadi eorr aplikasi silakan hubungi admin mohon bantuannya atau perbaikannya min")</f>
        <v>Admin aplikasi terjadi eorr aplikasi silakan hubungi admin mohon bantuannya atau perbaikannya min</v>
      </c>
      <c r="G180" s="18" t="str">
        <f>IFERROR(__xludf.DUMMYFUNCTION("REGEXREPLACE(F180,$A$7, )"),"Admin aplikasi terjadi eorr aplikasi silakan hubungi admin mohon bantuannya atau perbaikannya min")</f>
        <v>Admin aplikasi terjadi eorr aplikasi silakan hubungi admin mohon bantuannya atau perbaikannya min</v>
      </c>
      <c r="H180" s="17" t="str">
        <f t="shared" si="1"/>
        <v>admin aplikasi terjadi eorr aplikasi silakan hubungi admin mohon bantuannya atau perbaikannya min</v>
      </c>
    </row>
    <row r="181">
      <c r="A181" s="16" t="s">
        <v>175</v>
      </c>
      <c r="B181" s="17" t="str">
        <f>IFERROR(__xludf.DUMMYFUNCTION("REGEXREPLACE(A181,$A$2, )"),"Alhamdulilah udah di perbaiki datanya terima kasih☺☺☺")</f>
        <v>Alhamdulilah udah di perbaiki datanya terima kasih☺☺☺</v>
      </c>
      <c r="C181" s="17" t="str">
        <f>IFERROR(__xludf.DUMMYFUNCTION("REGEXREPLACE(B181,$A$3, )"),"Alhamdulilah udah di perbaiki datanya terima kasih☺☺☺")</f>
        <v>Alhamdulilah udah di perbaiki datanya terima kasih☺☺☺</v>
      </c>
      <c r="D181" s="17" t="str">
        <f>IFERROR(__xludf.DUMMYFUNCTION("REGEXREPLACE(C181,$A$4, )"),"Alhamdulilah udah di perbaiki datanya terima kasih☺☺☺")</f>
        <v>Alhamdulilah udah di perbaiki datanya terima kasih☺☺☺</v>
      </c>
      <c r="E181" s="17" t="str">
        <f>IFERROR(__xludf.DUMMYFUNCTION("REGEXREPLACE(D181,$A$5, )"),"Alhamdulilah udah di perbaiki datanya terima kasih☺☺☺")</f>
        <v>Alhamdulilah udah di perbaiki datanya terima kasih☺☺☺</v>
      </c>
      <c r="F181" s="17" t="str">
        <f>IFERROR(__xludf.DUMMYFUNCTION("REGEXREPLACE(E181,$A$6, )"),"Alhamdulilah udah di perbaiki datanya terima kasih☺☺☺")</f>
        <v>Alhamdulilah udah di perbaiki datanya terima kasih☺☺☺</v>
      </c>
      <c r="G181" s="18" t="str">
        <f>IFERROR(__xludf.DUMMYFUNCTION("REGEXREPLACE(F181,$A$7, )"),"Alhamdulilah udah di perbaiki datanya terima kasih")</f>
        <v>Alhamdulilah udah di perbaiki datanya terima kasih</v>
      </c>
      <c r="H181" s="17" t="str">
        <f t="shared" si="1"/>
        <v>alhamdulilah udah di perbaiki datanya terima kasih</v>
      </c>
    </row>
    <row r="182">
      <c r="A182" s="16" t="s">
        <v>176</v>
      </c>
      <c r="B182" s="17" t="str">
        <f>IFERROR(__xludf.DUMMYFUNCTION("REGEXREPLACE(A182,$A$2, )"),"Udah di daftar tapi belum di aktivasi")</f>
        <v>Udah di daftar tapi belum di aktivasi</v>
      </c>
      <c r="C182" s="17" t="str">
        <f>IFERROR(__xludf.DUMMYFUNCTION("REGEXREPLACE(B182,$A$3, )"),"Udah di daftar tapi belum di aktivasi")</f>
        <v>Udah di daftar tapi belum di aktivasi</v>
      </c>
      <c r="D182" s="17" t="str">
        <f>IFERROR(__xludf.DUMMYFUNCTION("REGEXREPLACE(C182,$A$4, )"),"Udah di daftar tapi belum di aktivasi")</f>
        <v>Udah di daftar tapi belum di aktivasi</v>
      </c>
      <c r="E182" s="17" t="str">
        <f>IFERROR(__xludf.DUMMYFUNCTION("REGEXREPLACE(D182,$A$5, )"),"Udah di daftar tapi belum di aktivasi")</f>
        <v>Udah di daftar tapi belum di aktivasi</v>
      </c>
      <c r="F182" s="17" t="str">
        <f>IFERROR(__xludf.DUMMYFUNCTION("REGEXREPLACE(E182,$A$6, )"),"Udah di daftar tapi belum di aktivasi")</f>
        <v>Udah di daftar tapi belum di aktivasi</v>
      </c>
      <c r="G182" s="18" t="str">
        <f>IFERROR(__xludf.DUMMYFUNCTION("REGEXREPLACE(F182,$A$7, )"),"Udah di daftar tapi belum di aktivasi")</f>
        <v>Udah di daftar tapi belum di aktivasi</v>
      </c>
      <c r="H182" s="17" t="str">
        <f t="shared" si="1"/>
        <v>udah di daftar tapi belum di aktivasi</v>
      </c>
    </row>
    <row r="183">
      <c r="A183" s="16" t="s">
        <v>177</v>
      </c>
      <c r="B183" s="17" t="str">
        <f>IFERROR(__xludf.DUMMYFUNCTION("REGEXREPLACE(A183,$A$2, )"),"Oke banget cuma sering gangguan tpi ttp sbar menunggu bsa di buka lg")</f>
        <v>Oke banget cuma sering gangguan tpi ttp sbar menunggu bsa di buka lg</v>
      </c>
      <c r="C183" s="17" t="str">
        <f>IFERROR(__xludf.DUMMYFUNCTION("REGEXREPLACE(B183,$A$3, )"),"Oke banget cuma sering gangguan tpi ttp sbar menunggu bsa di buka lg")</f>
        <v>Oke banget cuma sering gangguan tpi ttp sbar menunggu bsa di buka lg</v>
      </c>
      <c r="D183" s="17" t="str">
        <f>IFERROR(__xludf.DUMMYFUNCTION("REGEXREPLACE(C183,$A$4, )"),"Oke banget cuma sering gangguan tpi ttp sbar menunggu bsa di buka lg")</f>
        <v>Oke banget cuma sering gangguan tpi ttp sbar menunggu bsa di buka lg</v>
      </c>
      <c r="E183" s="17" t="str">
        <f>IFERROR(__xludf.DUMMYFUNCTION("REGEXREPLACE(D183,$A$5, )"),"Oke banget cuma sering gangguan tpi ttp sbar menunggu bsa di buka lg")</f>
        <v>Oke banget cuma sering gangguan tpi ttp sbar menunggu bsa di buka lg</v>
      </c>
      <c r="F183" s="17" t="str">
        <f>IFERROR(__xludf.DUMMYFUNCTION("REGEXREPLACE(E183,$A$6, )"),"Oke banget cuma sering gangguan tpi ttp sbar menunggu bsa di buka lg")</f>
        <v>Oke banget cuma sering gangguan tpi ttp sbar menunggu bsa di buka lg</v>
      </c>
      <c r="G183" s="18" t="str">
        <f>IFERROR(__xludf.DUMMYFUNCTION("REGEXREPLACE(F183,$A$7, )"),"Oke banget cuma sering gangguan tpi ttp sbar menunggu bsa di buka lg")</f>
        <v>Oke banget cuma sering gangguan tpi ttp sbar menunggu bsa di buka lg</v>
      </c>
      <c r="H183" s="17" t="str">
        <f t="shared" si="1"/>
        <v>oke banget cuma sering gangguan tpi ttp sbar menunggu bsa di buka lg</v>
      </c>
    </row>
    <row r="184">
      <c r="A184" s="16" t="s">
        <v>178</v>
      </c>
      <c r="B184" s="17" t="str">
        <f>IFERROR(__xludf.DUMMYFUNCTION("REGEXREPLACE(A184,$A$2, )"),"Klo kaga bisa masuk perbaruin versi terbaru terus restar hp ,,,pasti bisa masuk kok")</f>
        <v>Klo kaga bisa masuk perbaruin versi terbaru terus restar hp ,,,pasti bisa masuk kok</v>
      </c>
      <c r="C184" s="17" t="str">
        <f>IFERROR(__xludf.DUMMYFUNCTION("REGEXREPLACE(B184,$A$3, )"),"Klo kaga bisa masuk perbaruin versi terbaru terus restar hp ,,,pasti bisa masuk kok")</f>
        <v>Klo kaga bisa masuk perbaruin versi terbaru terus restar hp ,,,pasti bisa masuk kok</v>
      </c>
      <c r="D184" s="17" t="str">
        <f>IFERROR(__xludf.DUMMYFUNCTION("REGEXREPLACE(C184,$A$4, )"),"Klo kaga bisa masuk perbaruin versi terbaru terus restar hp ,,,pasti bisa masuk kok")</f>
        <v>Klo kaga bisa masuk perbaruin versi terbaru terus restar hp ,,,pasti bisa masuk kok</v>
      </c>
      <c r="E184" s="17" t="str">
        <f>IFERROR(__xludf.DUMMYFUNCTION("REGEXREPLACE(D184,$A$5, )"),"Klo kaga bisa masuk perbaruin versi terbaru terus restar hp ,,,pasti bisa masuk kok")</f>
        <v>Klo kaga bisa masuk perbaruin versi terbaru terus restar hp ,,,pasti bisa masuk kok</v>
      </c>
      <c r="F184" s="17" t="str">
        <f>IFERROR(__xludf.DUMMYFUNCTION("REGEXREPLACE(E184,$A$6, )"),"Klo kaga bisa masuk perbaruin versi terbaru terus restar hp pasti bisa masuk kok")</f>
        <v>Klo kaga bisa masuk perbaruin versi terbaru terus restar hp pasti bisa masuk kok</v>
      </c>
      <c r="G184" s="18" t="str">
        <f>IFERROR(__xludf.DUMMYFUNCTION("REGEXREPLACE(F184,$A$7, )"),"Klo kaga bisa masuk perbaruin versi terbaru terus restar hp pasti bisa masuk kok")</f>
        <v>Klo kaga bisa masuk perbaruin versi terbaru terus restar hp pasti bisa masuk kok</v>
      </c>
      <c r="H184" s="17" t="str">
        <f t="shared" si="1"/>
        <v>klo kaga bisa masuk perbaruin versi terbaru terus restar hp pasti bisa masuk kok</v>
      </c>
    </row>
    <row r="185">
      <c r="A185" s="16" t="s">
        <v>179</v>
      </c>
      <c r="B185" s="17" t="str">
        <f>IFERROR(__xludf.DUMMYFUNCTION("REGEXREPLACE(A185,$A$2, )"),"Mohon bantuan nya setiap kali mau daftar akun selalu error.")</f>
        <v>Mohon bantuan nya setiap kali mau daftar akun selalu error.</v>
      </c>
      <c r="C185" s="17" t="str">
        <f>IFERROR(__xludf.DUMMYFUNCTION("REGEXREPLACE(B185,$A$3, )"),"Mohon bantuan nya setiap kali mau daftar akun selalu error.")</f>
        <v>Mohon bantuan nya setiap kali mau daftar akun selalu error.</v>
      </c>
      <c r="D185" s="17" t="str">
        <f>IFERROR(__xludf.DUMMYFUNCTION("REGEXREPLACE(C185,$A$4, )"),"Mohon bantuan nya setiap kali mau daftar akun selalu error.")</f>
        <v>Mohon bantuan nya setiap kali mau daftar akun selalu error.</v>
      </c>
      <c r="E185" s="17" t="str">
        <f>IFERROR(__xludf.DUMMYFUNCTION("REGEXREPLACE(D185,$A$5, )"),"Mohon bantuan nya setiap kali mau daftar akun selalu error.")</f>
        <v>Mohon bantuan nya setiap kali mau daftar akun selalu error.</v>
      </c>
      <c r="F185" s="17" t="str">
        <f>IFERROR(__xludf.DUMMYFUNCTION("REGEXREPLACE(E185,$A$6, )"),"Mohon bantuan nya setiap kali mau daftar akun selalu error")</f>
        <v>Mohon bantuan nya setiap kali mau daftar akun selalu error</v>
      </c>
      <c r="G185" s="18" t="str">
        <f>IFERROR(__xludf.DUMMYFUNCTION("REGEXREPLACE(F185,$A$7, )"),"Mohon bantuan nya setiap kali mau daftar akun selalu error")</f>
        <v>Mohon bantuan nya setiap kali mau daftar akun selalu error</v>
      </c>
      <c r="H185" s="17" t="str">
        <f t="shared" si="1"/>
        <v>mohon bantuan nya setiap kali mau daftar akun selalu error</v>
      </c>
    </row>
    <row r="186">
      <c r="A186" s="16" t="s">
        <v>180</v>
      </c>
      <c r="B186" s="17" t="str">
        <f>IFERROR(__xludf.DUMMYFUNCTION("REGEXREPLACE(A186,$A$2, )"),"Udh bisa di buka tetapi pas kirim mengajuan mandiri selalu eror tolong di perbaiki🙏🙏")</f>
        <v>Udh bisa di buka tetapi pas kirim mengajuan mandiri selalu eror tolong di perbaiki🙏🙏</v>
      </c>
      <c r="C186" s="17" t="str">
        <f>IFERROR(__xludf.DUMMYFUNCTION("REGEXREPLACE(B186,$A$3, )"),"Udh bisa di buka tetapi pas kirim mengajuan mandiri selalu eror tolong di perbaiki🙏🙏")</f>
        <v>Udh bisa di buka tetapi pas kirim mengajuan mandiri selalu eror tolong di perbaiki🙏🙏</v>
      </c>
      <c r="D186" s="17" t="str">
        <f>IFERROR(__xludf.DUMMYFUNCTION("REGEXREPLACE(C186,$A$4, )"),"Udh bisa di buka tetapi pas kirim mengajuan mandiri selalu eror tolong di perbaiki🙏🙏")</f>
        <v>Udh bisa di buka tetapi pas kirim mengajuan mandiri selalu eror tolong di perbaiki🙏🙏</v>
      </c>
      <c r="E186" s="17" t="str">
        <f>IFERROR(__xludf.DUMMYFUNCTION("REGEXREPLACE(D186,$A$5, )"),"Udh bisa di buka tetapi pas kirim mengajuan mandiri selalu eror tolong di perbaiki🙏🙏")</f>
        <v>Udh bisa di buka tetapi pas kirim mengajuan mandiri selalu eror tolong di perbaiki🙏🙏</v>
      </c>
      <c r="F186" s="17" t="str">
        <f>IFERROR(__xludf.DUMMYFUNCTION("REGEXREPLACE(E186,$A$6, )"),"Udh bisa di buka tetapi pas kirim mengajuan mandiri selalu eror tolong di perbaiki🙏🙏")</f>
        <v>Udh bisa di buka tetapi pas kirim mengajuan mandiri selalu eror tolong di perbaiki🙏🙏</v>
      </c>
      <c r="G186" s="18" t="str">
        <f>IFERROR(__xludf.DUMMYFUNCTION("REGEXREPLACE(F186,$A$7, )"),"Udh bisa di buka tetapi pas kirim mengajuan mandiri selalu eror tolong di perbaiki")</f>
        <v>Udh bisa di buka tetapi pas kirim mengajuan mandiri selalu eror tolong di perbaiki</v>
      </c>
      <c r="H186" s="17" t="str">
        <f t="shared" si="1"/>
        <v>udh bisa di buka tetapi pas kirim mengajuan mandiri selalu eror tolong di perbaiki</v>
      </c>
    </row>
    <row r="187">
      <c r="A187" s="16" t="s">
        <v>181</v>
      </c>
      <c r="B187" s="17" t="str">
        <f>IFERROR(__xludf.DUMMYFUNCTION("REGEXREPLACE(A187,$A$2, )"),"maaf admin kenapa ya saat login,terjadi error aplikasi")</f>
        <v>maaf admin kenapa ya saat login,terjadi error aplikasi</v>
      </c>
      <c r="C187" s="17" t="str">
        <f>IFERROR(__xludf.DUMMYFUNCTION("REGEXREPLACE(B187,$A$3, )"),"maaf admin kenapa ya saat login,terjadi error aplikasi")</f>
        <v>maaf admin kenapa ya saat login,terjadi error aplikasi</v>
      </c>
      <c r="D187" s="17" t="str">
        <f>IFERROR(__xludf.DUMMYFUNCTION("REGEXREPLACE(C187,$A$4, )"),"maaf admin kenapa ya saat login,terjadi error aplikasi")</f>
        <v>maaf admin kenapa ya saat login,terjadi error aplikasi</v>
      </c>
      <c r="E187" s="17" t="str">
        <f>IFERROR(__xludf.DUMMYFUNCTION("REGEXREPLACE(D187,$A$5, )"),"maaf admin kenapa ya saat login,terjadi error aplikasi")</f>
        <v>maaf admin kenapa ya saat login,terjadi error aplikasi</v>
      </c>
      <c r="F187" s="17" t="str">
        <f>IFERROR(__xludf.DUMMYFUNCTION("REGEXREPLACE(E187,$A$6, )"),"maaf admin kenapa ya saat loginterjadi error aplikasi")</f>
        <v>maaf admin kenapa ya saat loginterjadi error aplikasi</v>
      </c>
      <c r="G187" s="18" t="str">
        <f>IFERROR(__xludf.DUMMYFUNCTION("REGEXREPLACE(F187,$A$7, )"),"maaf admin kenapa ya saat loginterjadi error aplikasi")</f>
        <v>maaf admin kenapa ya saat loginterjadi error aplikasi</v>
      </c>
      <c r="H187" s="17" t="str">
        <f t="shared" si="1"/>
        <v>maaf admin kenapa ya saat loginterjadi error aplikasi</v>
      </c>
    </row>
    <row r="188">
      <c r="A188" s="16" t="s">
        <v>182</v>
      </c>
      <c r="B188" s="17" t="str">
        <f>IFERROR(__xludf.DUMMYFUNCTION("REGEXREPLACE(A188,$A$2, )"),"Semoga cepat dan segera bisa daftar law mang bisa daftar di hp online semoga niat baik di mudah untuk gabung")</f>
        <v>Semoga cepat dan segera bisa daftar law mang bisa daftar di hp online semoga niat baik di mudah untuk gabung</v>
      </c>
      <c r="C188" s="17" t="str">
        <f>IFERROR(__xludf.DUMMYFUNCTION("REGEXREPLACE(B188,$A$3, )"),"Semoga cepat dan segera bisa daftar law mang bisa daftar di hp online semoga niat baik di mudah untuk gabung")</f>
        <v>Semoga cepat dan segera bisa daftar law mang bisa daftar di hp online semoga niat baik di mudah untuk gabung</v>
      </c>
      <c r="D188" s="17" t="str">
        <f>IFERROR(__xludf.DUMMYFUNCTION("REGEXREPLACE(C188,$A$4, )"),"Semoga cepat dan segera bisa daftar law mang bisa daftar di hp online semoga niat baik di mudah untuk gabung")</f>
        <v>Semoga cepat dan segera bisa daftar law mang bisa daftar di hp online semoga niat baik di mudah untuk gabung</v>
      </c>
      <c r="E188" s="17" t="str">
        <f>IFERROR(__xludf.DUMMYFUNCTION("REGEXREPLACE(D188,$A$5, )"),"Semoga cepat dan segera bisa daftar law mang bisa daftar di hp online semoga niat baik di mudah untuk gabung")</f>
        <v>Semoga cepat dan segera bisa daftar law mang bisa daftar di hp online semoga niat baik di mudah untuk gabung</v>
      </c>
      <c r="F188" s="17" t="str">
        <f>IFERROR(__xludf.DUMMYFUNCTION("REGEXREPLACE(E188,$A$6, )"),"Semoga cepat dan segera bisa daftar law mang bisa daftar di hp online semoga niat baik di mudah untuk gabung")</f>
        <v>Semoga cepat dan segera bisa daftar law mang bisa daftar di hp online semoga niat baik di mudah untuk gabung</v>
      </c>
      <c r="G188" s="18" t="str">
        <f>IFERROR(__xludf.DUMMYFUNCTION("REGEXREPLACE(F188,$A$7, )"),"Semoga cepat dan segera bisa daftar law mang bisa daftar di hp online semoga niat baik di mudah untuk gabung")</f>
        <v>Semoga cepat dan segera bisa daftar law mang bisa daftar di hp online semoga niat baik di mudah untuk gabung</v>
      </c>
      <c r="H188" s="17" t="str">
        <f t="shared" si="1"/>
        <v>semoga cepat dan segera bisa daftar law mang bisa daftar di hp online semoga niat baik di mudah untuk gabung</v>
      </c>
    </row>
    <row r="189">
      <c r="A189" s="16" t="s">
        <v>183</v>
      </c>
      <c r="B189" s="17" t="str">
        <f>IFERROR(__xludf.DUMMYFUNCTION("REGEXREPLACE(A189,$A$2, )"),"tidak bisa log in.. padahal sudah di Verifikasi")</f>
        <v>tidak bisa log in.. padahal sudah di Verifikasi</v>
      </c>
      <c r="C189" s="17" t="str">
        <f>IFERROR(__xludf.DUMMYFUNCTION("REGEXREPLACE(B189,$A$3, )"),"tidak bisa log in.. padahal sudah di Verifikasi")</f>
        <v>tidak bisa log in.. padahal sudah di Verifikasi</v>
      </c>
      <c r="D189" s="17" t="str">
        <f>IFERROR(__xludf.DUMMYFUNCTION("REGEXREPLACE(C189,$A$4, )"),"tidak bisa log in.. padahal sudah di Verifikasi")</f>
        <v>tidak bisa log in.. padahal sudah di Verifikasi</v>
      </c>
      <c r="E189" s="17" t="str">
        <f>IFERROR(__xludf.DUMMYFUNCTION("REGEXREPLACE(D189,$A$5, )"),"tidak bisa log in.. padahal sudah di Verifikasi")</f>
        <v>tidak bisa log in.. padahal sudah di Verifikasi</v>
      </c>
      <c r="F189" s="17" t="str">
        <f>IFERROR(__xludf.DUMMYFUNCTION("REGEXREPLACE(E189,$A$6, )"),"tidak bisa log in padahal sudah di Verifikasi")</f>
        <v>tidak bisa log in padahal sudah di Verifikasi</v>
      </c>
      <c r="G189" s="18" t="str">
        <f>IFERROR(__xludf.DUMMYFUNCTION("REGEXREPLACE(F189,$A$7, )"),"tidak bisa log in padahal sudah di Verifikasi")</f>
        <v>tidak bisa log in padahal sudah di Verifikasi</v>
      </c>
      <c r="H189" s="17" t="str">
        <f t="shared" si="1"/>
        <v>tidak bisa log in padahal sudah di verifikasi</v>
      </c>
    </row>
    <row r="190">
      <c r="A190" s="16" t="s">
        <v>184</v>
      </c>
      <c r="B190" s="17" t="str">
        <f>IFERROR(__xludf.DUMMYFUNCTION("REGEXREPLACE(A190,$A$2, )"),"Pak, sudah daftar kenpa gk bisa login, harus aktivasi lagi, caranya gmn lagi ya?")</f>
        <v>Pak, sudah daftar kenpa gk bisa login, harus aktivasi lagi, caranya gmn lagi ya?</v>
      </c>
      <c r="C190" s="17" t="str">
        <f>IFERROR(__xludf.DUMMYFUNCTION("REGEXREPLACE(B190,$A$3, )"),"Pak, sudah daftar kenpa gk bisa login, harus aktivasi lagi, caranya gmn lagi ya?")</f>
        <v>Pak, sudah daftar kenpa gk bisa login, harus aktivasi lagi, caranya gmn lagi ya?</v>
      </c>
      <c r="D190" s="17" t="str">
        <f>IFERROR(__xludf.DUMMYFUNCTION("REGEXREPLACE(C190,$A$4, )"),"Pak, sudah daftar kenpa gk bisa login, harus aktivasi lagi, caranya gmn lagi ya?")</f>
        <v>Pak, sudah daftar kenpa gk bisa login, harus aktivasi lagi, caranya gmn lagi ya?</v>
      </c>
      <c r="E190" s="17" t="str">
        <f>IFERROR(__xludf.DUMMYFUNCTION("REGEXREPLACE(D190,$A$5, )"),"Pak, sudah daftar kenpa gk bisa login, harus aktivasi lagi, caranya gmn lagi ya?")</f>
        <v>Pak, sudah daftar kenpa gk bisa login, harus aktivasi lagi, caranya gmn lagi ya?</v>
      </c>
      <c r="F190" s="17" t="str">
        <f>IFERROR(__xludf.DUMMYFUNCTION("REGEXREPLACE(E190,$A$6, )"),"Pak sudah daftar kenpa gk bisa login harus aktivasi lagi caranya gmn lagi ya")</f>
        <v>Pak sudah daftar kenpa gk bisa login harus aktivasi lagi caranya gmn lagi ya</v>
      </c>
      <c r="G190" s="18" t="str">
        <f>IFERROR(__xludf.DUMMYFUNCTION("REGEXREPLACE(F190,$A$7, )"),"Pak sudah daftar kenpa gk bisa login harus aktivasi lagi caranya gmn lagi ya")</f>
        <v>Pak sudah daftar kenpa gk bisa login harus aktivasi lagi caranya gmn lagi ya</v>
      </c>
      <c r="H190" s="17" t="str">
        <f t="shared" si="1"/>
        <v>pak sudah daftar kenpa gk bisa login harus aktivasi lagi caranya gmn lagi ya</v>
      </c>
    </row>
    <row r="191">
      <c r="A191" s="16" t="s">
        <v>185</v>
      </c>
      <c r="B191" s="17" t="str">
        <f>IFERROR(__xludf.DUMMYFUNCTION("REGEXREPLACE(A191,$A$2, )"),"Tolang perbaiki soalnya mau daftar selalu eror")</f>
        <v>Tolang perbaiki soalnya mau daftar selalu eror</v>
      </c>
      <c r="C191" s="17" t="str">
        <f>IFERROR(__xludf.DUMMYFUNCTION("REGEXREPLACE(B191,$A$3, )"),"Tolang perbaiki soalnya mau daftar selalu eror")</f>
        <v>Tolang perbaiki soalnya mau daftar selalu eror</v>
      </c>
      <c r="D191" s="17" t="str">
        <f>IFERROR(__xludf.DUMMYFUNCTION("REGEXREPLACE(C191,$A$4, )"),"Tolang perbaiki soalnya mau daftar selalu eror")</f>
        <v>Tolang perbaiki soalnya mau daftar selalu eror</v>
      </c>
      <c r="E191" s="17" t="str">
        <f>IFERROR(__xludf.DUMMYFUNCTION("REGEXREPLACE(D191,$A$5, )"),"Tolang perbaiki soalnya mau daftar selalu eror")</f>
        <v>Tolang perbaiki soalnya mau daftar selalu eror</v>
      </c>
      <c r="F191" s="17" t="str">
        <f>IFERROR(__xludf.DUMMYFUNCTION("REGEXREPLACE(E191,$A$6, )"),"Tolang perbaiki soalnya mau daftar selalu eror")</f>
        <v>Tolang perbaiki soalnya mau daftar selalu eror</v>
      </c>
      <c r="G191" s="18" t="str">
        <f>IFERROR(__xludf.DUMMYFUNCTION("REGEXREPLACE(F191,$A$7, )"),"Tolang perbaiki soalnya mau daftar selalu eror")</f>
        <v>Tolang perbaiki soalnya mau daftar selalu eror</v>
      </c>
      <c r="H191" s="17" t="str">
        <f t="shared" si="1"/>
        <v>tolang perbaiki soalnya mau daftar selalu eror</v>
      </c>
    </row>
    <row r="192">
      <c r="A192" s="16" t="s">
        <v>186</v>
      </c>
      <c r="B192" s="17" t="str">
        <f>IFERROR(__xludf.DUMMYFUNCTION("REGEXREPLACE(A192,$A$2, )"),"Belum pernah dapet bantuan selain dibayarin bpjs, iseng install apk ini dan ada 3 nama asing yang terdeteksi keluarga di profil laman utama. Aneh sekali Aplikasi juga banyak yang blank di kolom kolom, mungkin bug atau apalah itu. Moga cepet fix")</f>
        <v>Belum pernah dapet bantuan selain dibayarin bpjs, iseng install apk ini dan ada 3 nama asing yang terdeteksi keluarga di profil laman utama. Aneh sekali Aplikasi juga banyak yang blank di kolom kolom, mungkin bug atau apalah itu. Moga cepet fix</v>
      </c>
      <c r="C192" s="17" t="str">
        <f>IFERROR(__xludf.DUMMYFUNCTION("REGEXREPLACE(B192,$A$3, )"),"Belum pernah dapet bantuan selain dibayarin bpjs, iseng install apk ini dan ada 3 nama asing yang terdeteksi keluarga di profil laman utama. Aneh sekali Aplikasi juga banyak yang blank di kolom kolom, mungkin bug atau apalah itu. Moga cepet fix")</f>
        <v>Belum pernah dapet bantuan selain dibayarin bpjs, iseng install apk ini dan ada 3 nama asing yang terdeteksi keluarga di profil laman utama. Aneh sekali Aplikasi juga banyak yang blank di kolom kolom, mungkin bug atau apalah itu. Moga cepet fix</v>
      </c>
      <c r="D192" s="17" t="str">
        <f>IFERROR(__xludf.DUMMYFUNCTION("REGEXREPLACE(C192,$A$4, )"),"Belum pernah dapet bantuan selain dibayarin bpjs, iseng install apk ini dan ada 3 nama asing yang terdeteksi keluarga di profil laman utama. Aneh sekali Aplikasi juga banyak yang blank di kolom kolom, mungkin bug atau apalah itu. Moga cepet fix")</f>
        <v>Belum pernah dapet bantuan selain dibayarin bpjs, iseng install apk ini dan ada 3 nama asing yang terdeteksi keluarga di profil laman utama. Aneh sekali Aplikasi juga banyak yang blank di kolom kolom, mungkin bug atau apalah itu. Moga cepet fix</v>
      </c>
      <c r="E192" s="17" t="str">
        <f>IFERROR(__xludf.DUMMYFUNCTION("REGEXREPLACE(D192,$A$5, )"),"Belum pernah dapet bantuan selain dibayarin bpjs, iseng install apk ini dan ada  nama asing yang terdeteksi keluarga di profil laman utama. Aneh sekali Aplikasi juga banyak yang blank di kolom kolom, mungkin bug atau apalah itu. Moga cepet fix")</f>
        <v>Belum pernah dapet bantuan selain dibayarin bpjs, iseng install apk ini dan ada  nama asing yang terdeteksi keluarga di profil laman utama. Aneh sekali Aplikasi juga banyak yang blank di kolom kolom, mungkin bug atau apalah itu. Moga cepet fix</v>
      </c>
      <c r="F192" s="17" t="str">
        <f>IFERROR(__xludf.DUMMYFUNCTION("REGEXREPLACE(E192,$A$6, )"),"Belum pernah dapet bantuan selain dibayarin bpjs iseng install apk ini dan ada  nama asing yang terdeteksi keluarga di profil laman utama Aneh sekali Aplikasi juga banyak yang blank di kolom kolom mungkin bug atau apalah itu Moga cepet fix")</f>
        <v>Belum pernah dapet bantuan selain dibayarin bpjs iseng install apk ini dan ada  nama asing yang terdeteksi keluarga di profil laman utama Aneh sekali Aplikasi juga banyak yang blank di kolom kolom mungkin bug atau apalah itu Moga cepet fix</v>
      </c>
      <c r="G192" s="18" t="str">
        <f>IFERROR(__xludf.DUMMYFUNCTION("REGEXREPLACE(F192,$A$7, )"),"Belum pernah dapet bantuan selain dibayarin bpjs iseng install apk ini dan ada  nama asing yang terdeteksi keluarga di profil laman utama Aneh sekali Aplikasi juga banyak yang blank di kolom kolom mungkin bug atau apalah itu Moga cepet fix")</f>
        <v>Belum pernah dapet bantuan selain dibayarin bpjs iseng install apk ini dan ada  nama asing yang terdeteksi keluarga di profil laman utama Aneh sekali Aplikasi juga banyak yang blank di kolom kolom mungkin bug atau apalah itu Moga cepet fix</v>
      </c>
      <c r="H192" s="17" t="str">
        <f t="shared" si="1"/>
        <v>belum pernah dapet bantuan selain dibayarin bpjs iseng install apk ini dan ada  nama asing yang terdeteksi keluarga di profil laman utama aneh sekali aplikasi juga banyak yang blank di kolom kolom mungkin bug atau apalah itu moga cepet fix</v>
      </c>
    </row>
    <row r="193">
      <c r="A193" s="16" t="s">
        <v>187</v>
      </c>
      <c r="B193" s="17" t="str">
        <f>IFERROR(__xludf.DUMMYFUNCTION("REGEXREPLACE(A193,$A$2, )"),"Hai admin aplikasi saya mau bilang kenapa aplikasi cek bansos ini sama saya kok eror ya mohon min di perbaiki")</f>
        <v>Hai admin aplikasi saya mau bilang kenapa aplikasi cek bansos ini sama saya kok eror ya mohon min di perbaiki</v>
      </c>
      <c r="C193" s="17" t="str">
        <f>IFERROR(__xludf.DUMMYFUNCTION("REGEXREPLACE(B193,$A$3, )"),"Hai admin aplikasi saya mau bilang kenapa aplikasi cek bansos ini sama saya kok eror ya mohon min di perbaiki")</f>
        <v>Hai admin aplikasi saya mau bilang kenapa aplikasi cek bansos ini sama saya kok eror ya mohon min di perbaiki</v>
      </c>
      <c r="D193" s="17" t="str">
        <f>IFERROR(__xludf.DUMMYFUNCTION("REGEXREPLACE(C193,$A$4, )"),"Hai admin aplikasi saya mau bilang kenapa aplikasi cek bansos ini sama saya kok eror ya mohon min di perbaiki")</f>
        <v>Hai admin aplikasi saya mau bilang kenapa aplikasi cek bansos ini sama saya kok eror ya mohon min di perbaiki</v>
      </c>
      <c r="E193" s="17" t="str">
        <f>IFERROR(__xludf.DUMMYFUNCTION("REGEXREPLACE(D193,$A$5, )"),"Hai admin aplikasi saya mau bilang kenapa aplikasi cek bansos ini sama saya kok eror ya mohon min di perbaiki")</f>
        <v>Hai admin aplikasi saya mau bilang kenapa aplikasi cek bansos ini sama saya kok eror ya mohon min di perbaiki</v>
      </c>
      <c r="F193" s="17" t="str">
        <f>IFERROR(__xludf.DUMMYFUNCTION("REGEXREPLACE(E193,$A$6, )"),"Hai admin aplikasi saya mau bilang kenapa aplikasi cek bansos ini sama saya kok eror ya mohon min di perbaiki")</f>
        <v>Hai admin aplikasi saya mau bilang kenapa aplikasi cek bansos ini sama saya kok eror ya mohon min di perbaiki</v>
      </c>
      <c r="G193" s="18" t="str">
        <f>IFERROR(__xludf.DUMMYFUNCTION("REGEXREPLACE(F193,$A$7, )"),"Hai admin aplikasi saya mau bilang kenapa aplikasi cek bansos ini sama saya kok eror ya mohon min di perbaiki")</f>
        <v>Hai admin aplikasi saya mau bilang kenapa aplikasi cek bansos ini sama saya kok eror ya mohon min di perbaiki</v>
      </c>
      <c r="H193" s="17" t="str">
        <f t="shared" si="1"/>
        <v>hai admin aplikasi saya mau bilang kenapa aplikasi cek bansos ini sama saya kok eror ya mohon min di perbaiki</v>
      </c>
    </row>
    <row r="194">
      <c r="A194" s="16" t="s">
        <v>188</v>
      </c>
      <c r="B194" s="17" t="str">
        <f>IFERROR(__xludf.DUMMYFUNCTION("REGEXREPLACE(A194,$A$2, )"),"Tidak bisa daftar aplikasi selalu error")</f>
        <v>Tidak bisa daftar aplikasi selalu error</v>
      </c>
      <c r="C194" s="17" t="str">
        <f>IFERROR(__xludf.DUMMYFUNCTION("REGEXREPLACE(B194,$A$3, )"),"Tidak bisa daftar aplikasi selalu error")</f>
        <v>Tidak bisa daftar aplikasi selalu error</v>
      </c>
      <c r="D194" s="17" t="str">
        <f>IFERROR(__xludf.DUMMYFUNCTION("REGEXREPLACE(C194,$A$4, )"),"Tidak bisa daftar aplikasi selalu error")</f>
        <v>Tidak bisa daftar aplikasi selalu error</v>
      </c>
      <c r="E194" s="17" t="str">
        <f>IFERROR(__xludf.DUMMYFUNCTION("REGEXREPLACE(D194,$A$5, )"),"Tidak bisa daftar aplikasi selalu error")</f>
        <v>Tidak bisa daftar aplikasi selalu error</v>
      </c>
      <c r="F194" s="17" t="str">
        <f>IFERROR(__xludf.DUMMYFUNCTION("REGEXREPLACE(E194,$A$6, )"),"Tidak bisa daftar aplikasi selalu error")</f>
        <v>Tidak bisa daftar aplikasi selalu error</v>
      </c>
      <c r="G194" s="18" t="str">
        <f>IFERROR(__xludf.DUMMYFUNCTION("REGEXREPLACE(F194,$A$7, )"),"Tidak bisa daftar aplikasi selalu error")</f>
        <v>Tidak bisa daftar aplikasi selalu error</v>
      </c>
      <c r="H194" s="17" t="str">
        <f t="shared" si="1"/>
        <v>tidak bisa daftar aplikasi selalu error</v>
      </c>
    </row>
    <row r="195">
      <c r="A195" s="16" t="s">
        <v>189</v>
      </c>
      <c r="B195" s="17" t="str">
        <f>IFERROR(__xludf.DUMMYFUNCTION("REGEXREPLACE(A195,$A$2, )"),"Assalamualaikum Wr Wb. Saya Sangat Berterima Kasih Kepada pemerintah yg dulu sudah Memberikan Bantuan Langsung Tunai [ BLT ] Terimakasih Pemerintah Telah Membantu Perekonomian kami, Tapi setelah Kenaikan Harga BBM, menurut berita yg kami Lihat dan kami ba"&amp;"ca, katanya pemerintah memberikan lagi bantuan Sosial atau BANSOS, Kami masyarakat kecil yg bekerja tidak Tetap selama BANSOS cair sampai sekarang kami belum pernah sama sekali mendapatkan bantuan tsb Padahal dulu waktu pandemi kami mendapatkan")</f>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c r="C195" s="17" t="str">
        <f>IFERROR(__xludf.DUMMYFUNCTION("REGEXREPLACE(B195,$A$3, )"),"Assalamualaikum Wr Wb. Saya Sangat Berterima Kasih Kepada pemerintah yg dulu sudah Memberikan Bantuan Langsung Tunai [ BLT ] Terimakasih Pemerintah Telah Membantu Perekonomian kami, Tapi setelah Kenaikan Harga BBM, menurut berita yg kami Lihat dan kami ba"&amp;"ca, katanya pemerintah memberikan lagi bantuan Sosial atau BANSOS, Kami masyarakat kecil yg bekerja tidak Tetap selama BANSOS cair sampai sekarang kami belum pernah sama sekali mendapatkan bantuan tsb Padahal dulu waktu pandemi kami mendapatkan")</f>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c r="D195" s="17" t="str">
        <f>IFERROR(__xludf.DUMMYFUNCTION("REGEXREPLACE(C195,$A$4, )"),"Assalamualaikum Wr Wb. Saya Sangat Berterima Kasih Kepada pemerintah yg dulu sudah Memberikan Bantuan Langsung Tunai [ BLT ] Terimakasih Pemerintah Telah Membantu Perekonomian kami, Tapi setelah Kenaikan Harga BBM, menurut berita yg kami Lihat dan kami ba"&amp;"ca, katanya pemerintah memberikan lagi bantuan Sosial atau BANSOS, Kami masyarakat kecil yg bekerja tidak Tetap selama BANSOS cair sampai sekarang kami belum pernah sama sekali mendapatkan bantuan tsb Padahal dulu waktu pandemi kami mendapatkan")</f>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c r="E195" s="17" t="str">
        <f>IFERROR(__xludf.DUMMYFUNCTION("REGEXREPLACE(D195,$A$5, )"),"Assalamualaikum Wr Wb. Saya Sangat Berterima Kasih Kepada pemerintah yg dulu sudah Memberikan Bantuan Langsung Tunai [ BLT ] Terimakasih Pemerintah Telah Membantu Perekonomian kami, Tapi setelah Kenaikan Harga BBM, menurut berita yg kami Lihat dan kami ba"&amp;"ca, katanya pemerintah memberikan lagi bantuan Sosial atau BANSOS, Kami masyarakat kecil yg bekerja tidak Tetap selama BANSOS cair sampai sekarang kami belum pernah sama sekali mendapatkan bantuan tsb Padahal dulu waktu pandemi kami mendapatkan")</f>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c r="F195" s="17" t="str">
        <f>IFERROR(__xludf.DUMMYFUNCTION("REGEXREPLACE(E195,$A$6, )"),"Assalamualaikum Wr Wb Saya Sangat Berterima Kasih Kepada pemerintah yg dulu sudah Memberikan Bantuan Langsung Tunai [ BLT ] Terimakasih Pemerintah Telah Membantu Perekonomian kami Tapi setelah Kenaikan Harga BBM menurut berita yg kami Lihat dan kami baca "&amp;"katanya pemerintah memberikan lagi bantuan Sosial atau BANSOS Kami masyarakat kecil yg bekerja tidak Tetap selama BANSOS cair sampai sekarang kami belum pernah sama sekali mendapatkan bantuan tsb Padahal dulu waktu pandemi kami mendapatkan")</f>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c r="G195" s="18" t="str">
        <f>IFERROR(__xludf.DUMMYFUNCTION("REGEXREPLACE(F195,$A$7, )"),"Assalamualaikum Wr Wb Saya Sangat Berterima Kasih Kepada pemerintah yg dulu sudah Memberikan Bantuan Langsung Tunai [ BLT ] Terimakasih Pemerintah Telah Membantu Perekonomian kami Tapi setelah Kenaikan Harga BBM menurut berita yg kami Lihat dan kami baca "&amp;"katanya pemerintah memberikan lagi bantuan Sosial atau BANSOS Kami masyarakat kecil yg bekerja tidak Tetap selama BANSOS cair sampai sekarang kami belum pernah sama sekali mendapatkan bantuan tsb Padahal dulu waktu pandemi kami mendapatkan")</f>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c r="H195" s="17" t="str">
        <f t="shared" si="1"/>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row>
    <row r="196">
      <c r="A196" s="16" t="s">
        <v>190</v>
      </c>
      <c r="B196" s="17" t="str">
        <f>IFERROR(__xludf.DUMMYFUNCTION("REGEXREPLACE(A196,$A$2, )"),"saya kasih tiga dulu,soalx ketika saya masuk kok eror trus pada hal data saya udah lengkap dan benar tolong jangan di persulit,kita ini rakyat miskin")</f>
        <v>saya kasih tiga dulu,soalx ketika saya masuk kok eror trus pada hal data saya udah lengkap dan benar tolong jangan di persulit,kita ini rakyat miskin</v>
      </c>
      <c r="C196" s="17" t="str">
        <f>IFERROR(__xludf.DUMMYFUNCTION("REGEXREPLACE(B196,$A$3, )"),"saya kasih tiga dulu,soalx ketika saya masuk kok eror trus pada hal data saya udah lengkap dan benar tolong jangan di persulit,kita ini rakyat miskin")</f>
        <v>saya kasih tiga dulu,soalx ketika saya masuk kok eror trus pada hal data saya udah lengkap dan benar tolong jangan di persulit,kita ini rakyat miskin</v>
      </c>
      <c r="D196" s="17" t="str">
        <f>IFERROR(__xludf.DUMMYFUNCTION("REGEXREPLACE(C196,$A$4, )"),"saya kasih tiga dulu,soalx ketika saya masuk kok eror trus pada hal data saya udah lengkap dan benar tolong jangan di persulit,kita ini rakyat miskin")</f>
        <v>saya kasih tiga dulu,soalx ketika saya masuk kok eror trus pada hal data saya udah lengkap dan benar tolong jangan di persulit,kita ini rakyat miskin</v>
      </c>
      <c r="E196" s="17" t="str">
        <f>IFERROR(__xludf.DUMMYFUNCTION("REGEXREPLACE(D196,$A$5, )"),"saya kasih tiga dulu,soalx ketika saya masuk kok eror trus pada hal data saya udah lengkap dan benar tolong jangan di persulit,kita ini rakyat miskin")</f>
        <v>saya kasih tiga dulu,soalx ketika saya masuk kok eror trus pada hal data saya udah lengkap dan benar tolong jangan di persulit,kita ini rakyat miskin</v>
      </c>
      <c r="F196" s="17" t="str">
        <f>IFERROR(__xludf.DUMMYFUNCTION("REGEXREPLACE(E196,$A$6, )"),"saya kasih tiga dulusoalx ketika saya masuk kok eror trus pada hal data saya udah lengkap dan benar tolong jangan di persulitkita ini rakyat miskin")</f>
        <v>saya kasih tiga dulusoalx ketika saya masuk kok eror trus pada hal data saya udah lengkap dan benar tolong jangan di persulitkita ini rakyat miskin</v>
      </c>
      <c r="G196" s="18" t="str">
        <f>IFERROR(__xludf.DUMMYFUNCTION("REGEXREPLACE(F196,$A$7, )"),"saya kasih tiga dulusoalx ketika saya masuk kok eror trus pada hal data saya udah lengkap dan benar tolong jangan di persulitkita ini rakyat miskin")</f>
        <v>saya kasih tiga dulusoalx ketika saya masuk kok eror trus pada hal data saya udah lengkap dan benar tolong jangan di persulitkita ini rakyat miskin</v>
      </c>
      <c r="H196" s="17" t="str">
        <f t="shared" si="1"/>
        <v>saya kasih tiga dulusoalx ketika saya masuk kok eror trus pada hal data saya udah lengkap dan benar tolong jangan di persulitkita ini rakyat miskin</v>
      </c>
    </row>
    <row r="197">
      <c r="A197" s="16" t="s">
        <v>192</v>
      </c>
      <c r="B197" s="17" t="str">
        <f>IFERROR(__xludf.DUMMYFUNCTION("REGEXREPLACE(A197,$A$2, )"),"Sangat kecewa,minta reset sandi tp link nya gak bisa di buka")</f>
        <v>Sangat kecewa,minta reset sandi tp link nya gak bisa di buka</v>
      </c>
      <c r="C197" s="17" t="str">
        <f>IFERROR(__xludf.DUMMYFUNCTION("REGEXREPLACE(B197,$A$3, )"),"Sangat kecewa,minta reset sandi tp link nya gak bisa di buka")</f>
        <v>Sangat kecewa,minta reset sandi tp link nya gak bisa di buka</v>
      </c>
      <c r="D197" s="17" t="str">
        <f>IFERROR(__xludf.DUMMYFUNCTION("REGEXREPLACE(C197,$A$4, )"),"Sangat kecewa,minta reset sandi tp link nya gak bisa di buka")</f>
        <v>Sangat kecewa,minta reset sandi tp link nya gak bisa di buka</v>
      </c>
      <c r="E197" s="17" t="str">
        <f>IFERROR(__xludf.DUMMYFUNCTION("REGEXREPLACE(D197,$A$5, )"),"Sangat kecewa,minta reset sandi tp link nya gak bisa di buka")</f>
        <v>Sangat kecewa,minta reset sandi tp link nya gak bisa di buka</v>
      </c>
      <c r="F197" s="17" t="str">
        <f>IFERROR(__xludf.DUMMYFUNCTION("REGEXREPLACE(E197,$A$6, )"),"Sangat kecewaminta reset sandi tp link nya gak bisa di buka")</f>
        <v>Sangat kecewaminta reset sandi tp link nya gak bisa di buka</v>
      </c>
      <c r="G197" s="18" t="str">
        <f>IFERROR(__xludf.DUMMYFUNCTION("REGEXREPLACE(F197,$A$7, )"),"Sangat kecewaminta reset sandi tp link nya gak bisa di buka")</f>
        <v>Sangat kecewaminta reset sandi tp link nya gak bisa di buka</v>
      </c>
      <c r="H197" s="17" t="str">
        <f t="shared" si="1"/>
        <v>sangat kecewaminta reset sandi tp link nya gak bisa di buka</v>
      </c>
    </row>
    <row r="198">
      <c r="A198" s="16" t="s">
        <v>193</v>
      </c>
      <c r="B198" s="17" t="str">
        <f>IFERROR(__xludf.DUMMYFUNCTION("REGEXREPLACE(A198,$A$2, )"),"Pas mau daftar keterangannya error muluuu...")</f>
        <v>Pas mau daftar keterangannya error muluuu...</v>
      </c>
      <c r="C198" s="17" t="str">
        <f>IFERROR(__xludf.DUMMYFUNCTION("REGEXREPLACE(B198,$A$3, )"),"Pas mau daftar keterangannya error muluuu...")</f>
        <v>Pas mau daftar keterangannya error muluuu...</v>
      </c>
      <c r="D198" s="17" t="str">
        <f>IFERROR(__xludf.DUMMYFUNCTION("REGEXREPLACE(C198,$A$4, )"),"Pas mau daftar keterangannya error muluuu...")</f>
        <v>Pas mau daftar keterangannya error muluuu...</v>
      </c>
      <c r="E198" s="17" t="str">
        <f>IFERROR(__xludf.DUMMYFUNCTION("REGEXREPLACE(D198,$A$5, )"),"Pas mau daftar keterangannya error muluuu...")</f>
        <v>Pas mau daftar keterangannya error muluuu...</v>
      </c>
      <c r="F198" s="17" t="str">
        <f>IFERROR(__xludf.DUMMYFUNCTION("REGEXREPLACE(E198,$A$6, )"),"Pas mau daftar keterangannya error muluuu")</f>
        <v>Pas mau daftar keterangannya error muluuu</v>
      </c>
      <c r="G198" s="18" t="str">
        <f>IFERROR(__xludf.DUMMYFUNCTION("REGEXREPLACE(F198,$A$7, )"),"Pas mau daftar keterangannya error muluuu")</f>
        <v>Pas mau daftar keterangannya error muluuu</v>
      </c>
      <c r="H198" s="17" t="str">
        <f t="shared" si="1"/>
        <v>pas mau daftar keterangannya error muluuu</v>
      </c>
    </row>
    <row r="199">
      <c r="A199" s="16" t="s">
        <v>194</v>
      </c>
      <c r="B199" s="17" t="str">
        <f>IFERROR(__xludf.DUMMYFUNCTION("REGEXREPLACE(A199,$A$2, )"),"Assalamualaikum ,kepada bapak badan kependudukan Indonesia tolong perhatikan data plus survey lapangan dong masa banyak yg sekarang mereka yg rumah tingkat punya mobil motor nmx masa dapet sedangkan yg membutuhkan tidak dapet tolong di adakan survey lapan"&amp;"gan dong biar bantuan tepat dan g asal masa cuman di daftarin ama pihak baledesa ajh udh dapet itu pun ada pelanggaran suap")</f>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c r="C199" s="17" t="str">
        <f>IFERROR(__xludf.DUMMYFUNCTION("REGEXREPLACE(B199,$A$3, )"),"Assalamualaikum ,kepada bapak badan kependudukan Indonesia tolong perhatikan data plus survey lapangan dong masa banyak yg sekarang mereka yg rumah tingkat punya mobil motor nmx masa dapet sedangkan yg membutuhkan tidak dapet tolong di adakan survey lapan"&amp;"gan dong biar bantuan tepat dan g asal masa cuman di daftarin ama pihak baledesa ajh udh dapet itu pun ada pelanggaran suap")</f>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c r="D199" s="17" t="str">
        <f>IFERROR(__xludf.DUMMYFUNCTION("REGEXREPLACE(C199,$A$4, )"),"Assalamualaikum ,kepada bapak badan kependudukan Indonesia tolong perhatikan data plus survey lapangan dong masa banyak yg sekarang mereka yg rumah tingkat punya mobil motor nmx masa dapet sedangkan yg membutuhkan tidak dapet tolong di adakan survey lapan"&amp;"gan dong biar bantuan tepat dan g asal masa cuman di daftarin ama pihak baledesa ajh udh dapet itu pun ada pelanggaran suap")</f>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c r="E199" s="17" t="str">
        <f>IFERROR(__xludf.DUMMYFUNCTION("REGEXREPLACE(D199,$A$5, )"),"Assalamualaikum ,kepada bapak badan kependudukan Indonesia tolong perhatikan data plus survey lapangan dong masa banyak yg sekarang mereka yg rumah tingkat punya mobil motor nmx masa dapet sedangkan yg membutuhkan tidak dapet tolong di adakan survey lapan"&amp;"gan dong biar bantuan tepat dan g asal masa cuman di daftarin ama pihak baledesa ajh udh dapet itu pun ada pelanggaran suap")</f>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c r="F199" s="17" t="str">
        <f>IFERROR(__xludf.DUMMYFUNCTION("REGEXREPLACE(E199,$A$6, )"),"Assalamualaikum kepada bapak badan kependudukan Indonesia tolong perhatikan data plus survey lapangan dong masa banyak yg sekarang mereka yg rumah tingkat punya mobil motor nmx masa dapet sedangkan yg membutuhkan tidak dapet tolong di adakan survey lapang"&amp;"an dong biar bantuan tepat dan g asal masa cuman di daftarin ama pihak baledesa ajh udh dapet itu pun ada pelanggaran suap")</f>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c r="G199" s="18" t="str">
        <f>IFERROR(__xludf.DUMMYFUNCTION("REGEXREPLACE(F199,$A$7, )"),"Assalamualaikum kepada bapak badan kependudukan Indonesia tolong perhatikan data plus survey lapangan dong masa banyak yg sekarang mereka yg rumah tingkat punya mobil motor nmx masa dapet sedangkan yg membutuhkan tidak dapet tolong di adakan survey lapang"&amp;"an dong biar bantuan tepat dan g asal masa cuman di daftarin ama pihak baledesa ajh udh dapet itu pun ada pelanggaran suap")</f>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c r="H199" s="17" t="str">
        <f t="shared" si="1"/>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row>
    <row r="200">
      <c r="A200" s="16" t="s">
        <v>195</v>
      </c>
      <c r="B200" s="17" t="str">
        <f>IFERROR(__xludf.DUMMYFUNCTION("REGEXREPLACE(A200,$A$2, )"),"Baru update ttp gk bisa msuk Pdhl sudah di aktivasi")</f>
        <v>Baru update ttp gk bisa msuk Pdhl sudah di aktivasi</v>
      </c>
      <c r="C200" s="17" t="str">
        <f>IFERROR(__xludf.DUMMYFUNCTION("REGEXREPLACE(B200,$A$3, )"),"Baru update ttp gk bisa msuk Pdhl sudah di aktivasi")</f>
        <v>Baru update ttp gk bisa msuk Pdhl sudah di aktivasi</v>
      </c>
      <c r="D200" s="17" t="str">
        <f>IFERROR(__xludf.DUMMYFUNCTION("REGEXREPLACE(C200,$A$4, )"),"Baru update ttp gk bisa msuk Pdhl sudah di aktivasi")</f>
        <v>Baru update ttp gk bisa msuk Pdhl sudah di aktivasi</v>
      </c>
      <c r="E200" s="17" t="str">
        <f>IFERROR(__xludf.DUMMYFUNCTION("REGEXREPLACE(D200,$A$5, )"),"Baru update ttp gk bisa msuk Pdhl sudah di aktivasi")</f>
        <v>Baru update ttp gk bisa msuk Pdhl sudah di aktivasi</v>
      </c>
      <c r="F200" s="17" t="str">
        <f>IFERROR(__xludf.DUMMYFUNCTION("REGEXREPLACE(E200,$A$6, )"),"Baru update ttp gk bisa msuk Pdhl sudah di aktivasi")</f>
        <v>Baru update ttp gk bisa msuk Pdhl sudah di aktivasi</v>
      </c>
      <c r="G200" s="18" t="str">
        <f>IFERROR(__xludf.DUMMYFUNCTION("REGEXREPLACE(F200,$A$7, )"),"Baru update ttp gk bisa msuk Pdhl sudah di aktivasi")</f>
        <v>Baru update ttp gk bisa msuk Pdhl sudah di aktivasi</v>
      </c>
      <c r="H200" s="17" t="str">
        <f t="shared" si="1"/>
        <v>baru update ttp gk bisa msuk pdhl sudah di aktivasi</v>
      </c>
    </row>
    <row r="201">
      <c r="A201" s="16" t="s">
        <v>196</v>
      </c>
      <c r="B201" s="17" t="str">
        <f>IFERROR(__xludf.DUMMYFUNCTION("REGEXREPLACE(A201,$A$2, )"),"Banyak yang komentar tidak bisa login, gimana kalau kita bersama sama laporin yang buat apk ini, dengan alasan kita sudah di tipu, chat ke WA saya")</f>
        <v>Banyak yang komentar tidak bisa login, gimana kalau kita bersama sama laporin yang buat apk ini, dengan alasan kita sudah di tipu, chat ke WA saya</v>
      </c>
      <c r="C201" s="17" t="str">
        <f>IFERROR(__xludf.DUMMYFUNCTION("REGEXREPLACE(B201,$A$3, )"),"Banyak yang komentar tidak bisa login, gimana kalau kita bersama sama laporin yang buat apk ini, dengan alasan kita sudah di tipu, chat ke WA saya")</f>
        <v>Banyak yang komentar tidak bisa login, gimana kalau kita bersama sama laporin yang buat apk ini, dengan alasan kita sudah di tipu, chat ke WA saya</v>
      </c>
      <c r="D201" s="17" t="str">
        <f>IFERROR(__xludf.DUMMYFUNCTION("REGEXREPLACE(C201,$A$4, )"),"Banyak yang komentar tidak bisa login, gimana kalau kita bersama sama laporin yang buat apk ini, dengan alasan kita sudah di tipu, chat ke WA saya")</f>
        <v>Banyak yang komentar tidak bisa login, gimana kalau kita bersama sama laporin yang buat apk ini, dengan alasan kita sudah di tipu, chat ke WA saya</v>
      </c>
      <c r="E201" s="17" t="str">
        <f>IFERROR(__xludf.DUMMYFUNCTION("REGEXREPLACE(D201,$A$5, )"),"Banyak yang komentar tidak bisa login, gimana kalau kita bersama sama laporin yang buat apk ini, dengan alasan kita sudah di tipu, chat ke WA saya")</f>
        <v>Banyak yang komentar tidak bisa login, gimana kalau kita bersama sama laporin yang buat apk ini, dengan alasan kita sudah di tipu, chat ke WA saya</v>
      </c>
      <c r="F201" s="17" t="str">
        <f>IFERROR(__xludf.DUMMYFUNCTION("REGEXREPLACE(E201,$A$6, )"),"Banyak yang komentar tidak bisa login gimana kalau kita bersama sama laporin yang buat apk ini dengan alasan kita sudah di tipu chat ke WA saya")</f>
        <v>Banyak yang komentar tidak bisa login gimana kalau kita bersama sama laporin yang buat apk ini dengan alasan kita sudah di tipu chat ke WA saya</v>
      </c>
      <c r="G201" s="18" t="str">
        <f>IFERROR(__xludf.DUMMYFUNCTION("REGEXREPLACE(F201,$A$7, )"),"Banyak yang komentar tidak bisa login gimana kalau kita bersama sama laporin yang buat apk ini dengan alasan kita sudah di tipu chat ke WA saya")</f>
        <v>Banyak yang komentar tidak bisa login gimana kalau kita bersama sama laporin yang buat apk ini dengan alasan kita sudah di tipu chat ke WA saya</v>
      </c>
      <c r="H201" s="17" t="str">
        <f t="shared" si="1"/>
        <v>banyak yang komentar tidak bisa login gimana kalau kita bersama sama laporin yang buat apk ini dengan alasan kita sudah di tipu chat ke wa saya</v>
      </c>
    </row>
    <row r="202">
      <c r="A202" s="16" t="s">
        <v>197</v>
      </c>
      <c r="B202" s="17" t="str">
        <f>IFERROR(__xludf.DUMMYFUNCTION("REGEXREPLACE(A202,$A$2, )"),"Padahal saya sudah buat akun tapi kenapa tidak bisa login ya mohon di perbaiki")</f>
        <v>Padahal saya sudah buat akun tapi kenapa tidak bisa login ya mohon di perbaiki</v>
      </c>
      <c r="C202" s="17" t="str">
        <f>IFERROR(__xludf.DUMMYFUNCTION("REGEXREPLACE(B202,$A$3, )"),"Padahal saya sudah buat akun tapi kenapa tidak bisa login ya mohon di perbaiki")</f>
        <v>Padahal saya sudah buat akun tapi kenapa tidak bisa login ya mohon di perbaiki</v>
      </c>
      <c r="D202" s="17" t="str">
        <f>IFERROR(__xludf.DUMMYFUNCTION("REGEXREPLACE(C202,$A$4, )"),"Padahal saya sudah buat akun tapi kenapa tidak bisa login ya mohon di perbaiki")</f>
        <v>Padahal saya sudah buat akun tapi kenapa tidak bisa login ya mohon di perbaiki</v>
      </c>
      <c r="E202" s="17" t="str">
        <f>IFERROR(__xludf.DUMMYFUNCTION("REGEXREPLACE(D202,$A$5, )"),"Padahal saya sudah buat akun tapi kenapa tidak bisa login ya mohon di perbaiki")</f>
        <v>Padahal saya sudah buat akun tapi kenapa tidak bisa login ya mohon di perbaiki</v>
      </c>
      <c r="F202" s="17" t="str">
        <f>IFERROR(__xludf.DUMMYFUNCTION("REGEXREPLACE(E202,$A$6, )"),"Padahal saya sudah buat akun tapi kenapa tidak bisa login ya mohon di perbaiki")</f>
        <v>Padahal saya sudah buat akun tapi kenapa tidak bisa login ya mohon di perbaiki</v>
      </c>
      <c r="G202" s="18" t="str">
        <f>IFERROR(__xludf.DUMMYFUNCTION("REGEXREPLACE(F202,$A$7, )"),"Padahal saya sudah buat akun tapi kenapa tidak bisa login ya mohon di perbaiki")</f>
        <v>Padahal saya sudah buat akun tapi kenapa tidak bisa login ya mohon di perbaiki</v>
      </c>
      <c r="H202" s="17" t="str">
        <f t="shared" si="1"/>
        <v>padahal saya sudah buat akun tapi kenapa tidak bisa login ya mohon di perbaiki</v>
      </c>
    </row>
    <row r="203">
      <c r="A203" s="16" t="s">
        <v>198</v>
      </c>
      <c r="B203" s="17" t="str">
        <f>IFERROR(__xludf.DUMMYFUNCTION("REGEXREPLACE(A203,$A$2, )"),"aplikasi nya tidak jelas tidak bisa daftar online mohon petunjuk")</f>
        <v>aplikasi nya tidak jelas tidak bisa daftar online mohon petunjuk</v>
      </c>
      <c r="C203" s="17" t="str">
        <f>IFERROR(__xludf.DUMMYFUNCTION("REGEXREPLACE(B203,$A$3, )"),"aplikasi nya tidak jelas tidak bisa daftar online mohon petunjuk")</f>
        <v>aplikasi nya tidak jelas tidak bisa daftar online mohon petunjuk</v>
      </c>
      <c r="D203" s="17" t="str">
        <f>IFERROR(__xludf.DUMMYFUNCTION("REGEXREPLACE(C203,$A$4, )"),"aplikasi nya tidak jelas tidak bisa daftar online mohon petunjuk")</f>
        <v>aplikasi nya tidak jelas tidak bisa daftar online mohon petunjuk</v>
      </c>
      <c r="E203" s="17" t="str">
        <f>IFERROR(__xludf.DUMMYFUNCTION("REGEXREPLACE(D203,$A$5, )"),"aplikasi nya tidak jelas tidak bisa daftar online mohon petunjuk")</f>
        <v>aplikasi nya tidak jelas tidak bisa daftar online mohon petunjuk</v>
      </c>
      <c r="F203" s="17" t="str">
        <f>IFERROR(__xludf.DUMMYFUNCTION("REGEXREPLACE(E203,$A$6, )"),"aplikasi nya tidak jelas tidak bisa daftar online mohon petunjuk")</f>
        <v>aplikasi nya tidak jelas tidak bisa daftar online mohon petunjuk</v>
      </c>
      <c r="G203" s="18" t="str">
        <f>IFERROR(__xludf.DUMMYFUNCTION("REGEXREPLACE(F203,$A$7, )"),"aplikasi nya tidak jelas tidak bisa daftar online mohon petunjuk")</f>
        <v>aplikasi nya tidak jelas tidak bisa daftar online mohon petunjuk</v>
      </c>
      <c r="H203" s="17" t="str">
        <f t="shared" si="1"/>
        <v>aplikasi nya tidak jelas tidak bisa daftar online mohon petunjuk</v>
      </c>
    </row>
    <row r="204">
      <c r="A204" s="16" t="s">
        <v>199</v>
      </c>
      <c r="B204" s="17" t="str">
        <f>IFERROR(__xludf.DUMMYFUNCTION("REGEXREPLACE(A204,$A$2, )"),"Aplikasi error ga bisa digunakan .untuk daftar aja ga bisa")</f>
        <v>Aplikasi error ga bisa digunakan .untuk daftar aja ga bisa</v>
      </c>
      <c r="C204" s="17" t="str">
        <f>IFERROR(__xludf.DUMMYFUNCTION("REGEXREPLACE(B204,$A$3, )"),"Aplikasi error ga bisa digunakan .untuk daftar aja ga bisa")</f>
        <v>Aplikasi error ga bisa digunakan .untuk daftar aja ga bisa</v>
      </c>
      <c r="D204" s="17" t="str">
        <f>IFERROR(__xludf.DUMMYFUNCTION("REGEXREPLACE(C204,$A$4, )"),"Aplikasi error ga bisa digunakan .untuk daftar aja ga bisa")</f>
        <v>Aplikasi error ga bisa digunakan .untuk daftar aja ga bisa</v>
      </c>
      <c r="E204" s="17" t="str">
        <f>IFERROR(__xludf.DUMMYFUNCTION("REGEXREPLACE(D204,$A$5, )"),"Aplikasi error ga bisa digunakan .untuk daftar aja ga bisa")</f>
        <v>Aplikasi error ga bisa digunakan .untuk daftar aja ga bisa</v>
      </c>
      <c r="F204" s="17" t="str">
        <f>IFERROR(__xludf.DUMMYFUNCTION("REGEXREPLACE(E204,$A$6, )"),"Aplikasi error ga bisa digunakan untuk daftar aja ga bisa")</f>
        <v>Aplikasi error ga bisa digunakan untuk daftar aja ga bisa</v>
      </c>
      <c r="G204" s="18" t="str">
        <f>IFERROR(__xludf.DUMMYFUNCTION("REGEXREPLACE(F204,$A$7, )"),"Aplikasi error ga bisa digunakan untuk daftar aja ga bisa")</f>
        <v>Aplikasi error ga bisa digunakan untuk daftar aja ga bisa</v>
      </c>
      <c r="H204" s="17" t="str">
        <f t="shared" si="1"/>
        <v>aplikasi error ga bisa digunakan untuk daftar aja ga bisa</v>
      </c>
    </row>
    <row r="205">
      <c r="A205" s="16" t="s">
        <v>200</v>
      </c>
      <c r="B205" s="17" t="str">
        <f>IFERROR(__xludf.DUMMYFUNCTION("REGEXREPLACE(A205,$A$2, )"),"Aplikasi tidak bisa digunakan. Udah daftar, waktu login malah gabisa. Liat yutub katanya suruh nunggu 3 minggu buat aktivasi, tapi udah 3 minggu lebih ga ada email masuk. Sebenernya ini aplikasi masih jadi program kerja bukan sih. Hapus aja napa kalo eman"&amp;"g bukan program kerja lagi.")</f>
        <v>Aplikasi tidak bisa digunakan. Udah daftar, waktu login malah gabisa. Liat yutub katanya suruh nunggu 3 minggu buat aktivasi, tapi udah 3 minggu lebih ga ada email masuk. Sebenernya ini aplikasi masih jadi program kerja bukan sih. Hapus aja napa kalo emang bukan program kerja lagi.</v>
      </c>
      <c r="C205" s="17" t="str">
        <f>IFERROR(__xludf.DUMMYFUNCTION("REGEXREPLACE(B205,$A$3, )"),"Aplikasi tidak bisa digunakan. Udah daftar, waktu login malah gabisa. Liat yutub katanya suruh nunggu 3 minggu buat aktivasi, tapi udah 3 minggu lebih ga ada email masuk. Sebenernya ini aplikasi masih jadi program kerja bukan sih. Hapus aja napa kalo eman"&amp;"g bukan program kerja lagi.")</f>
        <v>Aplikasi tidak bisa digunakan. Udah daftar, waktu login malah gabisa. Liat yutub katanya suruh nunggu 3 minggu buat aktivasi, tapi udah 3 minggu lebih ga ada email masuk. Sebenernya ini aplikasi masih jadi program kerja bukan sih. Hapus aja napa kalo emang bukan program kerja lagi.</v>
      </c>
      <c r="D205" s="17" t="str">
        <f>IFERROR(__xludf.DUMMYFUNCTION("REGEXREPLACE(C205,$A$4, )"),"Aplikasi tidak bisa digunakan. Udah daftar, waktu login malah gabisa. Liat yutub katanya suruh nunggu 3 minggu buat aktivasi, tapi udah 3 minggu lebih ga ada email masuk. Sebenernya ini aplikasi masih jadi program kerja bukan sih. Hapus aja napa kalo eman"&amp;"g bukan program kerja lagi.")</f>
        <v>Aplikasi tidak bisa digunakan. Udah daftar, waktu login malah gabisa. Liat yutub katanya suruh nunggu 3 minggu buat aktivasi, tapi udah 3 minggu lebih ga ada email masuk. Sebenernya ini aplikasi masih jadi program kerja bukan sih. Hapus aja napa kalo emang bukan program kerja lagi.</v>
      </c>
      <c r="E205" s="17" t="str">
        <f>IFERROR(__xludf.DUMMYFUNCTION("REGEXREPLACE(D205,$A$5, )"),"Aplikasi tidak bisa digunakan. Udah daftar, waktu login malah gabisa. Liat yutub katanya suruh nunggu  minggu buat aktivasi, tapi udah  minggu lebih ga ada email masuk. Sebenernya ini aplikasi masih jadi program kerja bukan sih. Hapus aja napa kalo emang "&amp;"bukan program kerja lagi.")</f>
        <v>Aplikasi tidak bisa digunakan. Udah daftar, waktu login malah gabisa. Liat yutub katanya suruh nunggu  minggu buat aktivasi, tapi udah  minggu lebih ga ada email masuk. Sebenernya ini aplikasi masih jadi program kerja bukan sih. Hapus aja napa kalo emang bukan program kerja lagi.</v>
      </c>
      <c r="F205" s="17" t="str">
        <f>IFERROR(__xludf.DUMMYFUNCTION("REGEXREPLACE(E205,$A$6, )"),"Aplikasi tidak bisa digunakan Udah daftar waktu login malah gabisa Liat yutub katanya suruh nunggu  minggu buat aktivasi tapi udah  minggu lebih ga ada email masuk Sebenernya ini aplikasi masih jadi program kerja bukan sih Hapus aja napa kalo emang bukan "&amp;"program kerja lagi")</f>
        <v>Aplikasi tidak bisa digunakan Udah daftar waktu login malah gabisa Liat yutub katanya suruh nunggu  minggu buat aktivasi tapi udah  minggu lebih ga ada email masuk Sebenernya ini aplikasi masih jadi program kerja bukan sih Hapus aja napa kalo emang bukan program kerja lagi</v>
      </c>
      <c r="G205" s="18" t="str">
        <f>IFERROR(__xludf.DUMMYFUNCTION("REGEXREPLACE(F205,$A$7, )"),"Aplikasi tidak bisa digunakan Udah daftar waktu login malah gabisa Liat yutub katanya suruh nunggu  minggu buat aktivasi tapi udah  minggu lebih ga ada email masuk Sebenernya ini aplikasi masih jadi program kerja bukan sih Hapus aja napa kalo emang bukan "&amp;"program kerja lagi")</f>
        <v>Aplikasi tidak bisa digunakan Udah daftar waktu login malah gabisa Liat yutub katanya suruh nunggu  minggu buat aktivasi tapi udah  minggu lebih ga ada email masuk Sebenernya ini aplikasi masih jadi program kerja bukan sih Hapus aja napa kalo emang bukan program kerja lagi</v>
      </c>
      <c r="H205" s="17" t="str">
        <f t="shared" si="1"/>
        <v>aplikasi tidak bisa digunakan udah daftar waktu login malah gabisa liat yutub katanya suruh nunggu  minggu buat aktivasi tapi udah  minggu lebih ga ada email masuk sebenernya ini aplikasi masih jadi program kerja bukan sih hapus aja napa kalo emang bukan program kerja lagi</v>
      </c>
    </row>
    <row r="206">
      <c r="A206" s="16" t="s">
        <v>201</v>
      </c>
      <c r="B206" s="17" t="str">
        <f>IFERROR(__xludf.DUMMYFUNCTION("REGEXREPLACE(A206,$A$2, )"),"Masih sering error, mohon diperbaiki")</f>
        <v>Masih sering error, mohon diperbaiki</v>
      </c>
      <c r="C206" s="17" t="str">
        <f>IFERROR(__xludf.DUMMYFUNCTION("REGEXREPLACE(B206,$A$3, )"),"Masih sering error, mohon diperbaiki")</f>
        <v>Masih sering error, mohon diperbaiki</v>
      </c>
      <c r="D206" s="17" t="str">
        <f>IFERROR(__xludf.DUMMYFUNCTION("REGEXREPLACE(C206,$A$4, )"),"Masih sering error, mohon diperbaiki")</f>
        <v>Masih sering error, mohon diperbaiki</v>
      </c>
      <c r="E206" s="17" t="str">
        <f>IFERROR(__xludf.DUMMYFUNCTION("REGEXREPLACE(D206,$A$5, )"),"Masih sering error, mohon diperbaiki")</f>
        <v>Masih sering error, mohon diperbaiki</v>
      </c>
      <c r="F206" s="17" t="str">
        <f>IFERROR(__xludf.DUMMYFUNCTION("REGEXREPLACE(E206,$A$6, )"),"Masih sering error mohon diperbaiki")</f>
        <v>Masih sering error mohon diperbaiki</v>
      </c>
      <c r="G206" s="18" t="str">
        <f>IFERROR(__xludf.DUMMYFUNCTION("REGEXREPLACE(F206,$A$7, )"),"Masih sering error mohon diperbaiki")</f>
        <v>Masih sering error mohon diperbaiki</v>
      </c>
      <c r="H206" s="17" t="str">
        <f t="shared" si="1"/>
        <v>masih sering error mohon diperbaiki</v>
      </c>
    </row>
    <row r="207">
      <c r="A207" s="16" t="s">
        <v>202</v>
      </c>
      <c r="B207" s="17" t="str">
        <f>IFERROR(__xludf.DUMMYFUNCTION("REGEXREPLACE(A207,$A$2, )"),"Kenapa saya mau usulkan orang untuk penerima PKH tidak bisa dilakukan? Ada note error' aplikasi...")</f>
        <v>Kenapa saya mau usulkan orang untuk penerima PKH tidak bisa dilakukan? Ada note error' aplikasi...</v>
      </c>
      <c r="C207" s="17" t="str">
        <f>IFERROR(__xludf.DUMMYFUNCTION("REGEXREPLACE(B207,$A$3, )"),"Kenapa saya mau usulkan orang untuk penerima PKH tidak bisa dilakukan? Ada note error' aplikasi...")</f>
        <v>Kenapa saya mau usulkan orang untuk penerima PKH tidak bisa dilakukan? Ada note error' aplikasi...</v>
      </c>
      <c r="D207" s="17" t="str">
        <f>IFERROR(__xludf.DUMMYFUNCTION("REGEXREPLACE(C207,$A$4, )"),"Kenapa saya mau usulkan orang untuk penerima PKH tidak bisa dilakukan? Ada note error' aplikasi...")</f>
        <v>Kenapa saya mau usulkan orang untuk penerima PKH tidak bisa dilakukan? Ada note error' aplikasi...</v>
      </c>
      <c r="E207" s="17" t="str">
        <f>IFERROR(__xludf.DUMMYFUNCTION("REGEXREPLACE(D207,$A$5, )"),"Kenapa saya mau usulkan orang untuk penerima PKH tidak bisa dilakukan? Ada note error' aplikasi...")</f>
        <v>Kenapa saya mau usulkan orang untuk penerima PKH tidak bisa dilakukan? Ada note error' aplikasi...</v>
      </c>
      <c r="F207" s="17" t="str">
        <f>IFERROR(__xludf.DUMMYFUNCTION("REGEXREPLACE(E207,$A$6, )"),"Kenapa saya mau usulkan orang untuk penerima PKH tidak bisa dilakukan Ada note error aplikasi")</f>
        <v>Kenapa saya mau usulkan orang untuk penerima PKH tidak bisa dilakukan Ada note error aplikasi</v>
      </c>
      <c r="G207" s="18" t="str">
        <f>IFERROR(__xludf.DUMMYFUNCTION("REGEXREPLACE(F207,$A$7, )"),"Kenapa saya mau usulkan orang untuk penerima PKH tidak bisa dilakukan Ada note error aplikasi")</f>
        <v>Kenapa saya mau usulkan orang untuk penerima PKH tidak bisa dilakukan Ada note error aplikasi</v>
      </c>
      <c r="H207" s="17" t="str">
        <f t="shared" si="1"/>
        <v>kenapa saya mau usulkan orang untuk penerima pkh tidak bisa dilakukan ada note error aplikasi</v>
      </c>
    </row>
    <row r="208">
      <c r="A208" s="16" t="s">
        <v>203</v>
      </c>
      <c r="B208" s="17" t="str">
        <f>IFERROR(__xludf.DUMMYFUNCTION("REGEXREPLACE(A208,$A$2, )"),"Sesuatu buatan pemerintah pasti hasil nya gak bermanfaat gak berguna. Aplikaai cacat")</f>
        <v>Sesuatu buatan pemerintah pasti hasil nya gak bermanfaat gak berguna. Aplikaai cacat</v>
      </c>
      <c r="C208" s="17" t="str">
        <f>IFERROR(__xludf.DUMMYFUNCTION("REGEXREPLACE(B208,$A$3, )"),"Sesuatu buatan pemerintah pasti hasil nya gak bermanfaat gak berguna. Aplikaai cacat")</f>
        <v>Sesuatu buatan pemerintah pasti hasil nya gak bermanfaat gak berguna. Aplikaai cacat</v>
      </c>
      <c r="D208" s="17" t="str">
        <f>IFERROR(__xludf.DUMMYFUNCTION("REGEXREPLACE(C208,$A$4, )"),"Sesuatu buatan pemerintah pasti hasil nya gak bermanfaat gak berguna. Aplikaai cacat")</f>
        <v>Sesuatu buatan pemerintah pasti hasil nya gak bermanfaat gak berguna. Aplikaai cacat</v>
      </c>
      <c r="E208" s="17" t="str">
        <f>IFERROR(__xludf.DUMMYFUNCTION("REGEXREPLACE(D208,$A$5, )"),"Sesuatu buatan pemerintah pasti hasil nya gak bermanfaat gak berguna. Aplikaai cacat")</f>
        <v>Sesuatu buatan pemerintah pasti hasil nya gak bermanfaat gak berguna. Aplikaai cacat</v>
      </c>
      <c r="F208" s="17" t="str">
        <f>IFERROR(__xludf.DUMMYFUNCTION("REGEXREPLACE(E208,$A$6, )"),"Sesuatu buatan pemerintah pasti hasil nya gak bermanfaat gak berguna Aplikaai cacat")</f>
        <v>Sesuatu buatan pemerintah pasti hasil nya gak bermanfaat gak berguna Aplikaai cacat</v>
      </c>
      <c r="G208" s="18" t="str">
        <f>IFERROR(__xludf.DUMMYFUNCTION("REGEXREPLACE(F208,$A$7, )"),"Sesuatu buatan pemerintah pasti hasil nya gak bermanfaat gak berguna Aplikaai cacat")</f>
        <v>Sesuatu buatan pemerintah pasti hasil nya gak bermanfaat gak berguna Aplikaai cacat</v>
      </c>
      <c r="H208" s="17" t="str">
        <f t="shared" si="1"/>
        <v>sesuatu buatan pemerintah pasti hasil nya gak bermanfaat gak berguna aplikaai cacat</v>
      </c>
    </row>
    <row r="209">
      <c r="A209" s="16" t="s">
        <v>204</v>
      </c>
      <c r="B209" s="17" t="str">
        <f>IFERROR(__xludf.DUMMYFUNCTION("REGEXREPLACE(A209,$A$2, )"),"Setiap mau masukin foto KTP selalu kembali di halaman utama ..kayak mental gitu")</f>
        <v>Setiap mau masukin foto KTP selalu kembali di halaman utama ..kayak mental gitu</v>
      </c>
      <c r="C209" s="17" t="str">
        <f>IFERROR(__xludf.DUMMYFUNCTION("REGEXREPLACE(B209,$A$3, )"),"Setiap mau masukin foto KTP selalu kembali di halaman utama ..kayak mental gitu")</f>
        <v>Setiap mau masukin foto KTP selalu kembali di halaman utama ..kayak mental gitu</v>
      </c>
      <c r="D209" s="17" t="str">
        <f>IFERROR(__xludf.DUMMYFUNCTION("REGEXREPLACE(C209,$A$4, )"),"Setiap mau masukin foto KTP selalu kembali di halaman utama ..kayak mental gitu")</f>
        <v>Setiap mau masukin foto KTP selalu kembali di halaman utama ..kayak mental gitu</v>
      </c>
      <c r="E209" s="17" t="str">
        <f>IFERROR(__xludf.DUMMYFUNCTION("REGEXREPLACE(D209,$A$5, )"),"Setiap mau masukin foto KTP selalu kembali di halaman utama ..kayak mental gitu")</f>
        <v>Setiap mau masukin foto KTP selalu kembali di halaman utama ..kayak mental gitu</v>
      </c>
      <c r="F209" s="17" t="str">
        <f>IFERROR(__xludf.DUMMYFUNCTION("REGEXREPLACE(E209,$A$6, )"),"Setiap mau masukin foto KTP selalu kembali di halaman utama kayak mental gitu")</f>
        <v>Setiap mau masukin foto KTP selalu kembali di halaman utama kayak mental gitu</v>
      </c>
      <c r="G209" s="18" t="str">
        <f>IFERROR(__xludf.DUMMYFUNCTION("REGEXREPLACE(F209,$A$7, )"),"Setiap mau masukin foto KTP selalu kembali di halaman utama kayak mental gitu")</f>
        <v>Setiap mau masukin foto KTP selalu kembali di halaman utama kayak mental gitu</v>
      </c>
      <c r="H209" s="17" t="str">
        <f t="shared" si="1"/>
        <v>setiap mau masukin foto ktp selalu kembali di halaman utama kayak mental gitu</v>
      </c>
    </row>
    <row r="210">
      <c r="A210" s="16" t="s">
        <v>205</v>
      </c>
      <c r="B210" s="17" t="str">
        <f>IFERROR(__xludf.DUMMYFUNCTION("REGEXREPLACE(A210,$A$2, )"),"Kendala tambah ulasan tidak bisa masuk, mohon dibantu admin. Terimah kasih")</f>
        <v>Kendala tambah ulasan tidak bisa masuk, mohon dibantu admin. Terimah kasih</v>
      </c>
      <c r="C210" s="17" t="str">
        <f>IFERROR(__xludf.DUMMYFUNCTION("REGEXREPLACE(B210,$A$3, )"),"Kendala tambah ulasan tidak bisa masuk, mohon dibantu admin. Terimah kasih")</f>
        <v>Kendala tambah ulasan tidak bisa masuk, mohon dibantu admin. Terimah kasih</v>
      </c>
      <c r="D210" s="17" t="str">
        <f>IFERROR(__xludf.DUMMYFUNCTION("REGEXREPLACE(C210,$A$4, )"),"Kendala tambah ulasan tidak bisa masuk, mohon dibantu admin. Terimah kasih")</f>
        <v>Kendala tambah ulasan tidak bisa masuk, mohon dibantu admin. Terimah kasih</v>
      </c>
      <c r="E210" s="17" t="str">
        <f>IFERROR(__xludf.DUMMYFUNCTION("REGEXREPLACE(D210,$A$5, )"),"Kendala tambah ulasan tidak bisa masuk, mohon dibantu admin. Terimah kasih")</f>
        <v>Kendala tambah ulasan tidak bisa masuk, mohon dibantu admin. Terimah kasih</v>
      </c>
      <c r="F210" s="17" t="str">
        <f>IFERROR(__xludf.DUMMYFUNCTION("REGEXREPLACE(E210,$A$6, )"),"Kendala tambah ulasan tidak bisa masuk mohon dibantu admin Terimah kasih")</f>
        <v>Kendala tambah ulasan tidak bisa masuk mohon dibantu admin Terimah kasih</v>
      </c>
      <c r="G210" s="18" t="str">
        <f>IFERROR(__xludf.DUMMYFUNCTION("REGEXREPLACE(F210,$A$7, )"),"Kendala tambah ulasan tidak bisa masuk mohon dibantu admin Terimah kasih")</f>
        <v>Kendala tambah ulasan tidak bisa masuk mohon dibantu admin Terimah kasih</v>
      </c>
      <c r="H210" s="17" t="str">
        <f t="shared" si="1"/>
        <v>kendala tambah ulasan tidak bisa masuk mohon dibantu admin terimah kasih</v>
      </c>
    </row>
    <row r="211">
      <c r="A211" s="16" t="s">
        <v>206</v>
      </c>
      <c r="B211" s="17" t="str">
        <f>IFERROR(__xludf.DUMMYFUNCTION("REGEXREPLACE(A211,$A$2, )"),"aplikasi jemb*t.... dftar brhasil kok login gk bisa..... anying niat kita baik kok mlah dimainin..... ngabisin kuota doang 🖕")</f>
        <v>aplikasi jemb*t.... dftar brhasil kok login gk bisa..... anying niat kita baik kok mlah dimainin..... ngabisin kuota doang 🖕</v>
      </c>
      <c r="C211" s="17" t="str">
        <f>IFERROR(__xludf.DUMMYFUNCTION("REGEXREPLACE(B211,$A$3, )"),"aplikasi jemb*t.... dftar brhasil kok login gk bisa..... anying niat kita baik kok mlah dimainin..... ngabisin kuota doang 🖕")</f>
        <v>aplikasi jemb*t.... dftar brhasil kok login gk bisa..... anying niat kita baik kok mlah dimainin..... ngabisin kuota doang 🖕</v>
      </c>
      <c r="D211" s="17" t="str">
        <f>IFERROR(__xludf.DUMMYFUNCTION("REGEXREPLACE(C211,$A$4, )"),"aplikasi jemb*t.... dftar brhasil kok login gk bisa..... anying niat kita baik kok mlah dimainin..... ngabisin kuota doang 🖕")</f>
        <v>aplikasi jemb*t.... dftar brhasil kok login gk bisa..... anying niat kita baik kok mlah dimainin..... ngabisin kuota doang 🖕</v>
      </c>
      <c r="E211" s="17" t="str">
        <f>IFERROR(__xludf.DUMMYFUNCTION("REGEXREPLACE(D211,$A$5, )"),"aplikasi jemb*t.... dftar brhasil kok login gk bisa..... anying niat kita baik kok mlah dimainin..... ngabisin kuota doang 🖕")</f>
        <v>aplikasi jemb*t.... dftar brhasil kok login gk bisa..... anying niat kita baik kok mlah dimainin..... ngabisin kuota doang 🖕</v>
      </c>
      <c r="F211" s="17" t="str">
        <f>IFERROR(__xludf.DUMMYFUNCTION("REGEXREPLACE(E211,$A$6, )"),"aplikasi jemb*t dftar brhasil kok login gk bisa anying niat kita baik kok mlah dimainin ngabisin kuota doang 🖕")</f>
        <v>aplikasi jemb*t dftar brhasil kok login gk bisa anying niat kita baik kok mlah dimainin ngabisin kuota doang 🖕</v>
      </c>
      <c r="G211" s="18" t="str">
        <f>IFERROR(__xludf.DUMMYFUNCTION("REGEXREPLACE(F211,$A$7, )"),"aplikasi jembt dftar brhasil kok login gk bisa anying niat kita baik kok mlah dimainin ngabisin kuota doang ")</f>
        <v>aplikasi jembt dftar brhasil kok login gk bisa anying niat kita baik kok mlah dimainin ngabisin kuota doang </v>
      </c>
      <c r="H211" s="17" t="str">
        <f t="shared" si="1"/>
        <v>aplikasi jembt dftar brhasil kok login gk bisa anying niat kita baik kok mlah dimainin ngabisin kuota doang </v>
      </c>
    </row>
    <row r="212">
      <c r="A212" s="16" t="s">
        <v>207</v>
      </c>
      <c r="B212" s="17" t="str">
        <f>IFERROR(__xludf.DUMMYFUNCTION("REGEXREPLACE(A212,$A$2, )"),"udah dapat pesan email aktivasi akun berhasil giliran login malah unsername tidak ditemukan. kan kocak")</f>
        <v>udah dapat pesan email aktivasi akun berhasil giliran login malah unsername tidak ditemukan. kan kocak</v>
      </c>
      <c r="C212" s="17" t="str">
        <f>IFERROR(__xludf.DUMMYFUNCTION("REGEXREPLACE(B212,$A$3, )"),"udah dapat pesan email aktivasi akun berhasil giliran login malah unsername tidak ditemukan. kan kocak")</f>
        <v>udah dapat pesan email aktivasi akun berhasil giliran login malah unsername tidak ditemukan. kan kocak</v>
      </c>
      <c r="D212" s="17" t="str">
        <f>IFERROR(__xludf.DUMMYFUNCTION("REGEXREPLACE(C212,$A$4, )"),"udah dapat pesan email aktivasi akun berhasil giliran login malah unsername tidak ditemukan. kan kocak")</f>
        <v>udah dapat pesan email aktivasi akun berhasil giliran login malah unsername tidak ditemukan. kan kocak</v>
      </c>
      <c r="E212" s="17" t="str">
        <f>IFERROR(__xludf.DUMMYFUNCTION("REGEXREPLACE(D212,$A$5, )"),"udah dapat pesan email aktivasi akun berhasil giliran login malah unsername tidak ditemukan. kan kocak")</f>
        <v>udah dapat pesan email aktivasi akun berhasil giliran login malah unsername tidak ditemukan. kan kocak</v>
      </c>
      <c r="F212" s="17" t="str">
        <f>IFERROR(__xludf.DUMMYFUNCTION("REGEXREPLACE(E212,$A$6, )"),"udah dapat pesan email aktivasi akun berhasil giliran login malah unsername tidak ditemukan kan kocak")</f>
        <v>udah dapat pesan email aktivasi akun berhasil giliran login malah unsername tidak ditemukan kan kocak</v>
      </c>
      <c r="G212" s="18" t="str">
        <f>IFERROR(__xludf.DUMMYFUNCTION("REGEXREPLACE(F212,$A$7, )"),"udah dapat pesan email aktivasi akun berhasil giliran login malah unsername tidak ditemukan kan kocak")</f>
        <v>udah dapat pesan email aktivasi akun berhasil giliran login malah unsername tidak ditemukan kan kocak</v>
      </c>
      <c r="H212" s="17" t="str">
        <f t="shared" si="1"/>
        <v>udah dapat pesan email aktivasi akun berhasil giliran login malah unsername tidak ditemukan kan kocak</v>
      </c>
    </row>
    <row r="213">
      <c r="A213" s="16" t="s">
        <v>208</v>
      </c>
      <c r="B213" s="17" t="str">
        <f>IFERROR(__xludf.DUMMYFUNCTION("REGEXREPLACE(A213,$A$2, )"),"Ni gmna min udh daftar akun pas login malah akun blm ada aktivasi..ni apa maksut nya")</f>
        <v>Ni gmna min udh daftar akun pas login malah akun blm ada aktivasi..ni apa maksut nya</v>
      </c>
      <c r="C213" s="17" t="str">
        <f>IFERROR(__xludf.DUMMYFUNCTION("REGEXREPLACE(B213,$A$3, )"),"Ni gmna min udh daftar akun pas login malah akun blm ada aktivasi..ni apa maksut nya")</f>
        <v>Ni gmna min udh daftar akun pas login malah akun blm ada aktivasi..ni apa maksut nya</v>
      </c>
      <c r="D213" s="17" t="str">
        <f>IFERROR(__xludf.DUMMYFUNCTION("REGEXREPLACE(C213,$A$4, )"),"Ni gmna min udh daftar akun pas login malah akun blm ada aktivasi..ni apa maksut nya")</f>
        <v>Ni gmna min udh daftar akun pas login malah akun blm ada aktivasi..ni apa maksut nya</v>
      </c>
      <c r="E213" s="17" t="str">
        <f>IFERROR(__xludf.DUMMYFUNCTION("REGEXREPLACE(D213,$A$5, )"),"Ni gmna min udh daftar akun pas login malah akun blm ada aktivasi..ni apa maksut nya")</f>
        <v>Ni gmna min udh daftar akun pas login malah akun blm ada aktivasi..ni apa maksut nya</v>
      </c>
      <c r="F213" s="17" t="str">
        <f>IFERROR(__xludf.DUMMYFUNCTION("REGEXREPLACE(E213,$A$6, )"),"Ni gmna min udh daftar akun pas login malah akun blm ada aktivasini apa maksut nya")</f>
        <v>Ni gmna min udh daftar akun pas login malah akun blm ada aktivasini apa maksut nya</v>
      </c>
      <c r="G213" s="18" t="str">
        <f>IFERROR(__xludf.DUMMYFUNCTION("REGEXREPLACE(F213,$A$7, )"),"Ni gmna min udh daftar akun pas login malah akun blm ada aktivasini apa maksut nya")</f>
        <v>Ni gmna min udh daftar akun pas login malah akun blm ada aktivasini apa maksut nya</v>
      </c>
      <c r="H213" s="17" t="str">
        <f t="shared" si="1"/>
        <v>ni gmna min udh daftar akun pas login malah akun blm ada aktivasini apa maksut nya</v>
      </c>
    </row>
    <row r="214">
      <c r="A214" s="16" t="s">
        <v>209</v>
      </c>
      <c r="B214" s="17" t="str">
        <f>IFERROR(__xludf.DUMMYFUNCTION("REGEXREPLACE(A214,$A$2, )"),"Buruk sekali... Masa baru daftar klik provinsi sudah gak bisa... Alasannya koneksi padahal sudah coba pake paket data ataupun WiFi tapi tetap aja sama... Aplikasi BURIK")</f>
        <v>Buruk sekali... Masa baru daftar klik provinsi sudah gak bisa... Alasannya koneksi padahal sudah coba pake paket data ataupun WiFi tapi tetap aja sama... Aplikasi BURIK</v>
      </c>
      <c r="C214" s="17" t="str">
        <f>IFERROR(__xludf.DUMMYFUNCTION("REGEXREPLACE(B214,$A$3, )"),"Buruk sekali... Masa baru daftar klik provinsi sudah gak bisa... Alasannya koneksi padahal sudah coba pake paket data ataupun WiFi tapi tetap aja sama... Aplikasi BURIK")</f>
        <v>Buruk sekali... Masa baru daftar klik provinsi sudah gak bisa... Alasannya koneksi padahal sudah coba pake paket data ataupun WiFi tapi tetap aja sama... Aplikasi BURIK</v>
      </c>
      <c r="D214" s="17" t="str">
        <f>IFERROR(__xludf.DUMMYFUNCTION("REGEXREPLACE(C214,$A$4, )"),"Buruk sekali... Masa baru daftar klik provinsi sudah gak bisa... Alasannya koneksi padahal sudah coba pake paket data ataupun WiFi tapi tetap aja sama... Aplikasi BURIK")</f>
        <v>Buruk sekali... Masa baru daftar klik provinsi sudah gak bisa... Alasannya koneksi padahal sudah coba pake paket data ataupun WiFi tapi tetap aja sama... Aplikasi BURIK</v>
      </c>
      <c r="E214" s="17" t="str">
        <f>IFERROR(__xludf.DUMMYFUNCTION("REGEXREPLACE(D214,$A$5, )"),"Buruk sekali... Masa baru daftar klik provinsi sudah gak bisa... Alasannya koneksi padahal sudah coba pake paket data ataupun WiFi tapi tetap aja sama... Aplikasi BURIK")</f>
        <v>Buruk sekali... Masa baru daftar klik provinsi sudah gak bisa... Alasannya koneksi padahal sudah coba pake paket data ataupun WiFi tapi tetap aja sama... Aplikasi BURIK</v>
      </c>
      <c r="F214" s="17" t="str">
        <f>IFERROR(__xludf.DUMMYFUNCTION("REGEXREPLACE(E214,$A$6, )"),"Buruk sekali Masa baru daftar klik provinsi sudah gak bisa Alasannya koneksi padahal sudah coba pake paket data ataupun WiFi tapi tetap aja sama Aplikasi BURIK")</f>
        <v>Buruk sekali Masa baru daftar klik provinsi sudah gak bisa Alasannya koneksi padahal sudah coba pake paket data ataupun WiFi tapi tetap aja sama Aplikasi BURIK</v>
      </c>
      <c r="G214" s="18" t="str">
        <f>IFERROR(__xludf.DUMMYFUNCTION("REGEXREPLACE(F214,$A$7, )"),"Buruk sekali Masa baru daftar klik provinsi sudah gak bisa Alasannya koneksi padahal sudah coba pake paket data ataupun WiFi tapi tetap aja sama Aplikasi BURIK")</f>
        <v>Buruk sekali Masa baru daftar klik provinsi sudah gak bisa Alasannya koneksi padahal sudah coba pake paket data ataupun WiFi tapi tetap aja sama Aplikasi BURIK</v>
      </c>
      <c r="H214" s="17" t="str">
        <f t="shared" si="1"/>
        <v>buruk sekali masa baru daftar klik provinsi sudah gak bisa alasannya koneksi padahal sudah coba pake paket data ataupun wifi tapi tetap aja sama aplikasi burik</v>
      </c>
    </row>
    <row r="215">
      <c r="A215" s="16" t="s">
        <v>210</v>
      </c>
      <c r="B215" s="17" t="str">
        <f>IFERROR(__xludf.DUMMYFUNCTION("REGEXREPLACE(A215,$A$2, )"),"Aplikasi nya untuk memilih provinsi tidak bisa. Sudah menunggu lama loadingnya ternyata eror. Sudah dicoba terus dan ulang-ulang kali sama saja eror dan tidak bisa buat akun baru. Tolong perbaikannya, biar bisa daftar .")</f>
        <v>Aplikasi nya untuk memilih provinsi tidak bisa. Sudah menunggu lama loadingnya ternyata eror. Sudah dicoba terus dan ulang-ulang kali sama saja eror dan tidak bisa buat akun baru. Tolong perbaikannya, biar bisa daftar .</v>
      </c>
      <c r="C215" s="17" t="str">
        <f>IFERROR(__xludf.DUMMYFUNCTION("REGEXREPLACE(B215,$A$3, )"),"Aplikasi nya untuk memilih provinsi tidak bisa. Sudah menunggu lama loadingnya ternyata eror. Sudah dicoba terus dan ulang-ulang kali sama saja eror dan tidak bisa buat akun baru. Tolong perbaikannya, biar bisa daftar .")</f>
        <v>Aplikasi nya untuk memilih provinsi tidak bisa. Sudah menunggu lama loadingnya ternyata eror. Sudah dicoba terus dan ulang-ulang kali sama saja eror dan tidak bisa buat akun baru. Tolong perbaikannya, biar bisa daftar .</v>
      </c>
      <c r="D215" s="17" t="str">
        <f>IFERROR(__xludf.DUMMYFUNCTION("REGEXREPLACE(C215,$A$4, )"),"Aplikasi nya untuk memilih provinsi tidak bisa. Sudah menunggu lama loadingnya ternyata eror. Sudah dicoba terus dan ulang-ulang kali sama saja eror dan tidak bisa buat akun baru. Tolong perbaikannya, biar bisa daftar .")</f>
        <v>Aplikasi nya untuk memilih provinsi tidak bisa. Sudah menunggu lama loadingnya ternyata eror. Sudah dicoba terus dan ulang-ulang kali sama saja eror dan tidak bisa buat akun baru. Tolong perbaikannya, biar bisa daftar .</v>
      </c>
      <c r="E215" s="17" t="str">
        <f>IFERROR(__xludf.DUMMYFUNCTION("REGEXREPLACE(D215,$A$5, )"),"Aplikasi nya untuk memilih provinsi tidak bisa. Sudah menunggu lama loadingnya ternyata eror. Sudah dicoba terus dan ulang-ulang kali sama saja eror dan tidak bisa buat akun baru. Tolong perbaikannya, biar bisa daftar .")</f>
        <v>Aplikasi nya untuk memilih provinsi tidak bisa. Sudah menunggu lama loadingnya ternyata eror. Sudah dicoba terus dan ulang-ulang kali sama saja eror dan tidak bisa buat akun baru. Tolong perbaikannya, biar bisa daftar .</v>
      </c>
      <c r="F215" s="17" t="str">
        <f>IFERROR(__xludf.DUMMYFUNCTION("REGEXREPLACE(E215,$A$6, )"),"Aplikasi nya untuk memilih provinsi tidak bisa Sudah menunggu lama loadingnya ternyata eror Sudah dicoba terus dan ulangulang kali sama saja eror dan tidak bisa buat akun baru Tolong perbaikannya biar bisa daftar ")</f>
        <v>Aplikasi nya untuk memilih provinsi tidak bisa Sudah menunggu lama loadingnya ternyata eror Sudah dicoba terus dan ulangulang kali sama saja eror dan tidak bisa buat akun baru Tolong perbaikannya biar bisa daftar </v>
      </c>
      <c r="G215" s="18" t="str">
        <f>IFERROR(__xludf.DUMMYFUNCTION("REGEXREPLACE(F215,$A$7, )"),"Aplikasi nya untuk memilih provinsi tidak bisa Sudah menunggu lama loadingnya ternyata eror Sudah dicoba terus dan ulangulang kali sama saja eror dan tidak bisa buat akun baru Tolong perbaikannya biar bisa daftar ")</f>
        <v>Aplikasi nya untuk memilih provinsi tidak bisa Sudah menunggu lama loadingnya ternyata eror Sudah dicoba terus dan ulangulang kali sama saja eror dan tidak bisa buat akun baru Tolong perbaikannya biar bisa daftar </v>
      </c>
      <c r="H215" s="17" t="str">
        <f t="shared" si="1"/>
        <v>aplikasi nya untuk memilih provinsi tidak bisa sudah menunggu lama loadingnya ternyata eror sudah dicoba terus dan ulangulang kali sama saja eror dan tidak bisa buat akun baru tolong perbaikannya biar bisa daftar </v>
      </c>
    </row>
    <row r="216">
      <c r="A216" s="16" t="s">
        <v>211</v>
      </c>
      <c r="B216" s="17" t="str">
        <f>IFERROR(__xludf.DUMMYFUNCTION("REGEXREPLACE(A216,$A$2, )"),"Kenapa setiap kali mau mengajukan usulan selalu keterangan aplikasi error ..mohon di bantu agar masyarakat bisa puas dengan pelayanan cek bansos.")</f>
        <v>Kenapa setiap kali mau mengajukan usulan selalu keterangan aplikasi error ..mohon di bantu agar masyarakat bisa puas dengan pelayanan cek bansos.</v>
      </c>
      <c r="C216" s="17" t="str">
        <f>IFERROR(__xludf.DUMMYFUNCTION("REGEXREPLACE(B216,$A$3, )"),"Kenapa setiap kali mau mengajukan usulan selalu keterangan aplikasi error ..mohon di bantu agar masyarakat bisa puas dengan pelayanan cek bansos.")</f>
        <v>Kenapa setiap kali mau mengajukan usulan selalu keterangan aplikasi error ..mohon di bantu agar masyarakat bisa puas dengan pelayanan cek bansos.</v>
      </c>
      <c r="D216" s="17" t="str">
        <f>IFERROR(__xludf.DUMMYFUNCTION("REGEXREPLACE(C216,$A$4, )"),"Kenapa setiap kali mau mengajukan usulan selalu keterangan aplikasi error ..mohon di bantu agar masyarakat bisa puas dengan pelayanan cek bansos.")</f>
        <v>Kenapa setiap kali mau mengajukan usulan selalu keterangan aplikasi error ..mohon di bantu agar masyarakat bisa puas dengan pelayanan cek bansos.</v>
      </c>
      <c r="E216" s="17" t="str">
        <f>IFERROR(__xludf.DUMMYFUNCTION("REGEXREPLACE(D216,$A$5, )"),"Kenapa setiap kali mau mengajukan usulan selalu keterangan aplikasi error ..mohon di bantu agar masyarakat bisa puas dengan pelayanan cek bansos.")</f>
        <v>Kenapa setiap kali mau mengajukan usulan selalu keterangan aplikasi error ..mohon di bantu agar masyarakat bisa puas dengan pelayanan cek bansos.</v>
      </c>
      <c r="F216" s="17" t="str">
        <f>IFERROR(__xludf.DUMMYFUNCTION("REGEXREPLACE(E216,$A$6, )"),"Kenapa setiap kali mau mengajukan usulan selalu keterangan aplikasi error mohon di bantu agar masyarakat bisa puas dengan pelayanan cek bansos")</f>
        <v>Kenapa setiap kali mau mengajukan usulan selalu keterangan aplikasi error mohon di bantu agar masyarakat bisa puas dengan pelayanan cek bansos</v>
      </c>
      <c r="G216" s="18" t="str">
        <f>IFERROR(__xludf.DUMMYFUNCTION("REGEXREPLACE(F216,$A$7, )"),"Kenapa setiap kali mau mengajukan usulan selalu keterangan aplikasi error mohon di bantu agar masyarakat bisa puas dengan pelayanan cek bansos")</f>
        <v>Kenapa setiap kali mau mengajukan usulan selalu keterangan aplikasi error mohon di bantu agar masyarakat bisa puas dengan pelayanan cek bansos</v>
      </c>
      <c r="H216" s="17" t="str">
        <f t="shared" si="1"/>
        <v>kenapa setiap kali mau mengajukan usulan selalu keterangan aplikasi error mohon di bantu agar masyarakat bisa puas dengan pelayanan cek bansos</v>
      </c>
    </row>
    <row r="217">
      <c r="A217" s="16" t="s">
        <v>212</v>
      </c>
      <c r="B217" s="17" t="str">
        <f>IFERROR(__xludf.DUMMYFUNCTION("REGEXREPLACE(A217,$A$2, )"),"Yth.satu stengah tahun yang lalu saya masukan data ke bagian tambah usulan..tapi sampai saat ini data saya belum ada satupun yang masuk/terjaring sbagai penerima manfaat..katanya update data stiap bulan..mana buktinya..mohon untuk yang berkaitan di bidang"&amp;" ini agar kinerjanya scepatnya di perbaiki..apa perlu saya datang langsung ke dinsos stempat untuk menyelesaikan masalah ini..harap maklum dan terima kasih..")</f>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c r="C217" s="17" t="str">
        <f>IFERROR(__xludf.DUMMYFUNCTION("REGEXREPLACE(B217,$A$3, )"),"Yth.satu stengah tahun yang lalu saya masukan data ke bagian tambah usulan..tapi sampai saat ini data saya belum ada satupun yang masuk/terjaring sbagai penerima manfaat..katanya update data stiap bulan..mana buktinya..mohon untuk yang berkaitan di bidang"&amp;" ini agar kinerjanya scepatnya di perbaiki..apa perlu saya datang langsung ke dinsos stempat untuk menyelesaikan masalah ini..harap maklum dan terima kasih..")</f>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c r="D217" s="17" t="str">
        <f>IFERROR(__xludf.DUMMYFUNCTION("REGEXREPLACE(C217,$A$4, )"),"Yth.satu stengah tahun yang lalu saya masukan data ke bagian tambah usulan..tapi sampai saat ini data saya belum ada satupun yang masuk/terjaring sbagai penerima manfaat..katanya update data stiap bulan..mana buktinya..mohon untuk yang berkaitan di bidang"&amp;" ini agar kinerjanya scepatnya di perbaiki..apa perlu saya datang langsung ke dinsos stempat untuk menyelesaikan masalah ini..harap maklum dan terima kasih..")</f>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c r="E217" s="17" t="str">
        <f>IFERROR(__xludf.DUMMYFUNCTION("REGEXREPLACE(D217,$A$5, )"),"Yth.satu stengah tahun yang lalu saya masukan data ke bagian tambah usulan..tapi sampai saat ini data saya belum ada satupun yang masuk/terjaring sbagai penerima manfaat..katanya update data stiap bulan..mana buktinya..mohon untuk yang berkaitan di bidang"&amp;" ini agar kinerjanya scepatnya di perbaiki..apa perlu saya datang langsung ke dinsos stempat untuk menyelesaikan masalah ini..harap maklum dan terima kasih..")</f>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c r="F217" s="17" t="str">
        <f>IFERROR(__xludf.DUMMYFUNCTION("REGEXREPLACE(E217,$A$6, )"),"Ythsatu stengah tahun yang lalu saya masukan data ke bagian tambah usulantapi sampai saat ini data saya belum ada satupun yang masukterjaring sbagai penerima manfaatkatanya update data stiap bulanmana buktinyamohon untuk yang berkaitan di bidang ini agar "&amp;"kinerjanya scepatnya di perbaikiapa perlu saya datang langsung ke dinsos stempat untuk menyelesaikan masalah iniharap maklum dan terima kasih")</f>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c r="G217" s="18" t="str">
        <f>IFERROR(__xludf.DUMMYFUNCTION("REGEXREPLACE(F217,$A$7, )"),"Ythsatu stengah tahun yang lalu saya masukan data ke bagian tambah usulantapi sampai saat ini data saya belum ada satupun yang masukterjaring sbagai penerima manfaatkatanya update data stiap bulanmana buktinyamohon untuk yang berkaitan di bidang ini agar "&amp;"kinerjanya scepatnya di perbaikiapa perlu saya datang langsung ke dinsos stempat untuk menyelesaikan masalah iniharap maklum dan terima kasih")</f>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c r="H217" s="17" t="str">
        <f t="shared" si="1"/>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row>
    <row r="218">
      <c r="A218" s="16" t="s">
        <v>213</v>
      </c>
      <c r="B218" s="17" t="str">
        <f>IFERROR(__xludf.DUMMYFUNCTION("REGEXREPLACE(A218,$A$2, )"),"Sudah daftar sudah di isi hasil nya error")</f>
        <v>Sudah daftar sudah di isi hasil nya error</v>
      </c>
      <c r="C218" s="17" t="str">
        <f>IFERROR(__xludf.DUMMYFUNCTION("REGEXREPLACE(B218,$A$3, )"),"Sudah daftar sudah di isi hasil nya error")</f>
        <v>Sudah daftar sudah di isi hasil nya error</v>
      </c>
      <c r="D218" s="17" t="str">
        <f>IFERROR(__xludf.DUMMYFUNCTION("REGEXREPLACE(C218,$A$4, )"),"Sudah daftar sudah di isi hasil nya error")</f>
        <v>Sudah daftar sudah di isi hasil nya error</v>
      </c>
      <c r="E218" s="17" t="str">
        <f>IFERROR(__xludf.DUMMYFUNCTION("REGEXREPLACE(D218,$A$5, )"),"Sudah daftar sudah di isi hasil nya error")</f>
        <v>Sudah daftar sudah di isi hasil nya error</v>
      </c>
      <c r="F218" s="17" t="str">
        <f>IFERROR(__xludf.DUMMYFUNCTION("REGEXREPLACE(E218,$A$6, )"),"Sudah daftar sudah di isi hasil nya error")</f>
        <v>Sudah daftar sudah di isi hasil nya error</v>
      </c>
      <c r="G218" s="18" t="str">
        <f>IFERROR(__xludf.DUMMYFUNCTION("REGEXREPLACE(F218,$A$7, )"),"Sudah daftar sudah di isi hasil nya error")</f>
        <v>Sudah daftar sudah di isi hasil nya error</v>
      </c>
      <c r="H218" s="17" t="str">
        <f t="shared" si="1"/>
        <v>sudah daftar sudah di isi hasil nya error</v>
      </c>
    </row>
    <row r="219">
      <c r="A219" s="16" t="s">
        <v>214</v>
      </c>
      <c r="B219" s="17" t="str">
        <f>IFERROR(__xludf.DUMMYFUNCTION("REGEXREPLACE(A219,$A$2, )"),"Kenapa ya kebanyakan aplikasi pemerintah banyak yg tidak beres, selalu membingungkan, sudah berhasil terdaftar tp saat login username atau password salah tidak ditemukan, coba daftar LG eh nomer nik sudah terdaftar, kan kocak banget! Aplikasi kalau belum "&amp;"siap jngn di up dulu lah!")</f>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c r="C219" s="17" t="str">
        <f>IFERROR(__xludf.DUMMYFUNCTION("REGEXREPLACE(B219,$A$3, )"),"Kenapa ya kebanyakan aplikasi pemerintah banyak yg tidak beres, selalu membingungkan, sudah berhasil terdaftar tp saat login username atau password salah tidak ditemukan, coba daftar LG eh nomer nik sudah terdaftar, kan kocak banget! Aplikasi kalau belum "&amp;"siap jngn di up dulu lah!")</f>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c r="D219" s="17" t="str">
        <f>IFERROR(__xludf.DUMMYFUNCTION("REGEXREPLACE(C219,$A$4, )"),"Kenapa ya kebanyakan aplikasi pemerintah banyak yg tidak beres, selalu membingungkan, sudah berhasil terdaftar tp saat login username atau password salah tidak ditemukan, coba daftar LG eh nomer nik sudah terdaftar, kan kocak banget! Aplikasi kalau belum "&amp;"siap jngn di up dulu lah!")</f>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c r="E219" s="17" t="str">
        <f>IFERROR(__xludf.DUMMYFUNCTION("REGEXREPLACE(D219,$A$5, )"),"Kenapa ya kebanyakan aplikasi pemerintah banyak yg tidak beres, selalu membingungkan, sudah berhasil terdaftar tp saat login username atau password salah tidak ditemukan, coba daftar LG eh nomer nik sudah terdaftar, kan kocak banget! Aplikasi kalau belum "&amp;"siap jngn di up dulu lah!")</f>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c r="F219" s="17" t="str">
        <f>IFERROR(__xludf.DUMMYFUNCTION("REGEXREPLACE(E219,$A$6, )"),"Kenapa ya kebanyakan aplikasi pemerintah banyak yg tidak beres selalu membingungkan sudah berhasil terdaftar tp saat login username atau password salah tidak ditemukan coba daftar LG eh nomer nik sudah terdaftar kan kocak banget Aplikasi kalau belum siap "&amp;"jngn di up dulu lah")</f>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c r="G219" s="18" t="str">
        <f>IFERROR(__xludf.DUMMYFUNCTION("REGEXREPLACE(F219,$A$7, )"),"Kenapa ya kebanyakan aplikasi pemerintah banyak yg tidak beres selalu membingungkan sudah berhasil terdaftar tp saat login username atau password salah tidak ditemukan coba daftar LG eh nomer nik sudah terdaftar kan kocak banget Aplikasi kalau belum siap "&amp;"jngn di up dulu lah")</f>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c r="H219" s="17" t="str">
        <f t="shared" si="1"/>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row>
    <row r="220">
      <c r="A220" s="16" t="s">
        <v>215</v>
      </c>
      <c r="B220" s="17" t="str">
        <f>IFERROR(__xludf.DUMMYFUNCTION("REGEXREPLACE(A220,$A$2, )"),"gmn sih ne apk, g jelas...baru mau upload swafoto malah kembali kedepan")</f>
        <v>gmn sih ne apk, g jelas...baru mau upload swafoto malah kembali kedepan</v>
      </c>
      <c r="C220" s="17" t="str">
        <f>IFERROR(__xludf.DUMMYFUNCTION("REGEXREPLACE(B220,$A$3, )"),"gmn sih ne apk, g jelas...baru mau upload swafoto malah kembali kedepan")</f>
        <v>gmn sih ne apk, g jelas...baru mau upload swafoto malah kembali kedepan</v>
      </c>
      <c r="D220" s="17" t="str">
        <f>IFERROR(__xludf.DUMMYFUNCTION("REGEXREPLACE(C220,$A$4, )"),"gmn sih ne apk, g jelas...baru mau upload swafoto malah kembali kedepan")</f>
        <v>gmn sih ne apk, g jelas...baru mau upload swafoto malah kembali kedepan</v>
      </c>
      <c r="E220" s="17" t="str">
        <f>IFERROR(__xludf.DUMMYFUNCTION("REGEXREPLACE(D220,$A$5, )"),"gmn sih ne apk, g jelas...baru mau upload swafoto malah kembali kedepan")</f>
        <v>gmn sih ne apk, g jelas...baru mau upload swafoto malah kembali kedepan</v>
      </c>
      <c r="F220" s="17" t="str">
        <f>IFERROR(__xludf.DUMMYFUNCTION("REGEXREPLACE(E220,$A$6, )"),"gmn sih ne apk g jelasbaru mau upload swafoto malah kembali kedepan")</f>
        <v>gmn sih ne apk g jelasbaru mau upload swafoto malah kembali kedepan</v>
      </c>
      <c r="G220" s="18" t="str">
        <f>IFERROR(__xludf.DUMMYFUNCTION("REGEXREPLACE(F220,$A$7, )"),"gmn sih ne apk g jelasbaru mau upload swafoto malah kembali kedepan")</f>
        <v>gmn sih ne apk g jelasbaru mau upload swafoto malah kembali kedepan</v>
      </c>
      <c r="H220" s="17" t="str">
        <f t="shared" si="1"/>
        <v>gmn sih ne apk g jelasbaru mau upload swafoto malah kembali kedepan</v>
      </c>
    </row>
    <row r="221">
      <c r="A221" s="16" t="s">
        <v>216</v>
      </c>
      <c r="B221" s="17" t="str">
        <f>IFERROR(__xludf.DUMMYFUNCTION("REGEXREPLACE(A221,$A$2, )"),"Susah login nya,server nya,apa aplikasi nya yang eror")</f>
        <v>Susah login nya,server nya,apa aplikasi nya yang eror</v>
      </c>
      <c r="C221" s="17" t="str">
        <f>IFERROR(__xludf.DUMMYFUNCTION("REGEXREPLACE(B221,$A$3, )"),"Susah login nya,server nya,apa aplikasi nya yang eror")</f>
        <v>Susah login nya,server nya,apa aplikasi nya yang eror</v>
      </c>
      <c r="D221" s="17" t="str">
        <f>IFERROR(__xludf.DUMMYFUNCTION("REGEXREPLACE(C221,$A$4, )"),"Susah login nya,server nya,apa aplikasi nya yang eror")</f>
        <v>Susah login nya,server nya,apa aplikasi nya yang eror</v>
      </c>
      <c r="E221" s="17" t="str">
        <f>IFERROR(__xludf.DUMMYFUNCTION("REGEXREPLACE(D221,$A$5, )"),"Susah login nya,server nya,apa aplikasi nya yang eror")</f>
        <v>Susah login nya,server nya,apa aplikasi nya yang eror</v>
      </c>
      <c r="F221" s="17" t="str">
        <f>IFERROR(__xludf.DUMMYFUNCTION("REGEXREPLACE(E221,$A$6, )"),"Susah login nyaserver nyaapa aplikasi nya yang eror")</f>
        <v>Susah login nyaserver nyaapa aplikasi nya yang eror</v>
      </c>
      <c r="G221" s="18" t="str">
        <f>IFERROR(__xludf.DUMMYFUNCTION("REGEXREPLACE(F221,$A$7, )"),"Susah login nyaserver nyaapa aplikasi nya yang eror")</f>
        <v>Susah login nyaserver nyaapa aplikasi nya yang eror</v>
      </c>
      <c r="H221" s="17" t="str">
        <f t="shared" si="1"/>
        <v>susah login nyaserver nyaapa aplikasi nya yang eror</v>
      </c>
    </row>
    <row r="222">
      <c r="A222" s="16" t="s">
        <v>217</v>
      </c>
      <c r="B222" s="17" t="str">
        <f>IFERROR(__xludf.DUMMYFUNCTION("REGEXREPLACE(A222,$A$2, )"),"Tolong di perbaiki sistem aplikasi nya suka eror")</f>
        <v>Tolong di perbaiki sistem aplikasi nya suka eror</v>
      </c>
      <c r="C222" s="17" t="str">
        <f>IFERROR(__xludf.DUMMYFUNCTION("REGEXREPLACE(B222,$A$3, )"),"Tolong di perbaiki sistem aplikasi nya suka eror")</f>
        <v>Tolong di perbaiki sistem aplikasi nya suka eror</v>
      </c>
      <c r="D222" s="17" t="str">
        <f>IFERROR(__xludf.DUMMYFUNCTION("REGEXREPLACE(C222,$A$4, )"),"Tolong di perbaiki sistem aplikasi nya suka eror")</f>
        <v>Tolong di perbaiki sistem aplikasi nya suka eror</v>
      </c>
      <c r="E222" s="17" t="str">
        <f>IFERROR(__xludf.DUMMYFUNCTION("REGEXREPLACE(D222,$A$5, )"),"Tolong di perbaiki sistem aplikasi nya suka eror")</f>
        <v>Tolong di perbaiki sistem aplikasi nya suka eror</v>
      </c>
      <c r="F222" s="17" t="str">
        <f>IFERROR(__xludf.DUMMYFUNCTION("REGEXREPLACE(E222,$A$6, )"),"Tolong di perbaiki sistem aplikasi nya suka eror")</f>
        <v>Tolong di perbaiki sistem aplikasi nya suka eror</v>
      </c>
      <c r="G222" s="18" t="str">
        <f>IFERROR(__xludf.DUMMYFUNCTION("REGEXREPLACE(F222,$A$7, )"),"Tolong di perbaiki sistem aplikasi nya suka eror")</f>
        <v>Tolong di perbaiki sistem aplikasi nya suka eror</v>
      </c>
      <c r="H222" s="17" t="str">
        <f t="shared" si="1"/>
        <v>tolong di perbaiki sistem aplikasi nya suka eror</v>
      </c>
    </row>
    <row r="223">
      <c r="A223" s="16" t="s">
        <v>218</v>
      </c>
      <c r="B223" s="17" t="str">
        <f>IFERROR(__xludf.DUMMYFUNCTION("REGEXREPLACE(A223,$A$2, )"),"Gak jelas blas udh daftar gak bisa login")</f>
        <v>Gak jelas blas udh daftar gak bisa login</v>
      </c>
      <c r="C223" s="17" t="str">
        <f>IFERROR(__xludf.DUMMYFUNCTION("REGEXREPLACE(B223,$A$3, )"),"Gak jelas blas udh daftar gak bisa login")</f>
        <v>Gak jelas blas udh daftar gak bisa login</v>
      </c>
      <c r="D223" s="17" t="str">
        <f>IFERROR(__xludf.DUMMYFUNCTION("REGEXREPLACE(C223,$A$4, )"),"Gak jelas blas udh daftar gak bisa login")</f>
        <v>Gak jelas blas udh daftar gak bisa login</v>
      </c>
      <c r="E223" s="17" t="str">
        <f>IFERROR(__xludf.DUMMYFUNCTION("REGEXREPLACE(D223,$A$5, )"),"Gak jelas blas udh daftar gak bisa login")</f>
        <v>Gak jelas blas udh daftar gak bisa login</v>
      </c>
      <c r="F223" s="17" t="str">
        <f>IFERROR(__xludf.DUMMYFUNCTION("REGEXREPLACE(E223,$A$6, )"),"Gak jelas blas udh daftar gak bisa login")</f>
        <v>Gak jelas blas udh daftar gak bisa login</v>
      </c>
      <c r="G223" s="18" t="str">
        <f>IFERROR(__xludf.DUMMYFUNCTION("REGEXREPLACE(F223,$A$7, )"),"Gak jelas blas udh daftar gak bisa login")</f>
        <v>Gak jelas blas udh daftar gak bisa login</v>
      </c>
      <c r="H223" s="17" t="str">
        <f t="shared" si="1"/>
        <v>gak jelas blas udh daftar gak bisa login</v>
      </c>
    </row>
    <row r="224">
      <c r="A224" s="16" t="s">
        <v>219</v>
      </c>
      <c r="B224" s="17" t="str">
        <f>IFERROR(__xludf.DUMMYFUNCTION("REGEXREPLACE(A224,$A$2, )"),"Mohon untuk diperbaiki lagi.. masih terdapat beberapa bug. Contoh kecil saya mau membuat akun baru saja button pilih privinsj loading tidak muncul sama sekali malah ngfreeze foreclose.")</f>
        <v>Mohon untuk diperbaiki lagi.. masih terdapat beberapa bug. Contoh kecil saya mau membuat akun baru saja button pilih privinsj loading tidak muncul sama sekali malah ngfreeze foreclose.</v>
      </c>
      <c r="C224" s="17" t="str">
        <f>IFERROR(__xludf.DUMMYFUNCTION("REGEXREPLACE(B224,$A$3, )"),"Mohon untuk diperbaiki lagi.. masih terdapat beberapa bug. Contoh kecil saya mau membuat akun baru saja button pilih privinsj loading tidak muncul sama sekali malah ngfreeze foreclose.")</f>
        <v>Mohon untuk diperbaiki lagi.. masih terdapat beberapa bug. Contoh kecil saya mau membuat akun baru saja button pilih privinsj loading tidak muncul sama sekali malah ngfreeze foreclose.</v>
      </c>
      <c r="D224" s="17" t="str">
        <f>IFERROR(__xludf.DUMMYFUNCTION("REGEXREPLACE(C224,$A$4, )"),"Mohon untuk diperbaiki lagi.. masih terdapat beberapa bug. Contoh kecil saya mau membuat akun baru saja button pilih privinsj loading tidak muncul sama sekali malah ngfreeze foreclose.")</f>
        <v>Mohon untuk diperbaiki lagi.. masih terdapat beberapa bug. Contoh kecil saya mau membuat akun baru saja button pilih privinsj loading tidak muncul sama sekali malah ngfreeze foreclose.</v>
      </c>
      <c r="E224" s="17" t="str">
        <f>IFERROR(__xludf.DUMMYFUNCTION("REGEXREPLACE(D224,$A$5, )"),"Mohon untuk diperbaiki lagi.. masih terdapat beberapa bug. Contoh kecil saya mau membuat akun baru saja button pilih privinsj loading tidak muncul sama sekali malah ngfreeze foreclose.")</f>
        <v>Mohon untuk diperbaiki lagi.. masih terdapat beberapa bug. Contoh kecil saya mau membuat akun baru saja button pilih privinsj loading tidak muncul sama sekali malah ngfreeze foreclose.</v>
      </c>
      <c r="F224" s="17" t="str">
        <f>IFERROR(__xludf.DUMMYFUNCTION("REGEXREPLACE(E224,$A$6, )"),"Mohon untuk diperbaiki lagi masih terdapat beberapa bug Contoh kecil saya mau membuat akun baru saja button pilih privinsj loading tidak muncul sama sekali malah ngfreeze foreclose")</f>
        <v>Mohon untuk diperbaiki lagi masih terdapat beberapa bug Contoh kecil saya mau membuat akun baru saja button pilih privinsj loading tidak muncul sama sekali malah ngfreeze foreclose</v>
      </c>
      <c r="G224" s="18" t="str">
        <f>IFERROR(__xludf.DUMMYFUNCTION("REGEXREPLACE(F224,$A$7, )"),"Mohon untuk diperbaiki lagi masih terdapat beberapa bug Contoh kecil saya mau membuat akun baru saja button pilih privinsj loading tidak muncul sama sekali malah ngfreeze foreclose")</f>
        <v>Mohon untuk diperbaiki lagi masih terdapat beberapa bug Contoh kecil saya mau membuat akun baru saja button pilih privinsj loading tidak muncul sama sekali malah ngfreeze foreclose</v>
      </c>
      <c r="H224" s="17" t="str">
        <f t="shared" si="1"/>
        <v>mohon untuk diperbaiki lagi masih terdapat beberapa bug contoh kecil saya mau membuat akun baru saja button pilih privinsj loading tidak muncul sama sekali malah ngfreeze foreclose</v>
      </c>
    </row>
    <row r="225">
      <c r="A225" s="16" t="s">
        <v>220</v>
      </c>
      <c r="B225" s="17" t="str">
        <f>IFERROR(__xludf.DUMMYFUNCTION("REGEXREPLACE(A225,$A$2, )"),"Gak niat bantu warna gak usah bikin apk yang nyusahin kayak gini, udah di isi bener bener malah keluar tiba tiba gak jelas")</f>
        <v>Gak niat bantu warna gak usah bikin apk yang nyusahin kayak gini, udah di isi bener bener malah keluar tiba tiba gak jelas</v>
      </c>
      <c r="C225" s="17" t="str">
        <f>IFERROR(__xludf.DUMMYFUNCTION("REGEXREPLACE(B225,$A$3, )"),"Gak niat bantu warna gak usah bikin apk yang nyusahin kayak gini, udah di isi bener bener malah keluar tiba tiba gak jelas")</f>
        <v>Gak niat bantu warna gak usah bikin apk yang nyusahin kayak gini, udah di isi bener bener malah keluar tiba tiba gak jelas</v>
      </c>
      <c r="D225" s="17" t="str">
        <f>IFERROR(__xludf.DUMMYFUNCTION("REGEXREPLACE(C225,$A$4, )"),"Gak niat bantu warna gak usah bikin apk yang nyusahin kayak gini, udah di isi bener bener malah keluar tiba tiba gak jelas")</f>
        <v>Gak niat bantu warna gak usah bikin apk yang nyusahin kayak gini, udah di isi bener bener malah keluar tiba tiba gak jelas</v>
      </c>
      <c r="E225" s="17" t="str">
        <f>IFERROR(__xludf.DUMMYFUNCTION("REGEXREPLACE(D225,$A$5, )"),"Gak niat bantu warna gak usah bikin apk yang nyusahin kayak gini, udah di isi bener bener malah keluar tiba tiba gak jelas")</f>
        <v>Gak niat bantu warna gak usah bikin apk yang nyusahin kayak gini, udah di isi bener bener malah keluar tiba tiba gak jelas</v>
      </c>
      <c r="F225" s="17" t="str">
        <f>IFERROR(__xludf.DUMMYFUNCTION("REGEXREPLACE(E225,$A$6, )"),"Gak niat bantu warna gak usah bikin apk yang nyusahin kayak gini udah di isi bener bener malah keluar tiba tiba gak jelas")</f>
        <v>Gak niat bantu warna gak usah bikin apk yang nyusahin kayak gini udah di isi bener bener malah keluar tiba tiba gak jelas</v>
      </c>
      <c r="G225" s="18" t="str">
        <f>IFERROR(__xludf.DUMMYFUNCTION("REGEXREPLACE(F225,$A$7, )"),"Gak niat bantu warna gak usah bikin apk yang nyusahin kayak gini udah di isi bener bener malah keluar tiba tiba gak jelas")</f>
        <v>Gak niat bantu warna gak usah bikin apk yang nyusahin kayak gini udah di isi bener bener malah keluar tiba tiba gak jelas</v>
      </c>
      <c r="H225" s="17" t="str">
        <f t="shared" si="1"/>
        <v>gak niat bantu warna gak usah bikin apk yang nyusahin kayak gini udah di isi bener bener malah keluar tiba tiba gak jelas</v>
      </c>
    </row>
    <row r="226">
      <c r="A226" s="16" t="s">
        <v>221</v>
      </c>
      <c r="B226" s="17" t="str">
        <f>IFERROR(__xludf.DUMMYFUNCTION("REGEXREPLACE(A226,$A$2, )"),"Sebenernya ini aplikasi bisa dipakai engga sih eror terus,tiap buka eror")</f>
        <v>Sebenernya ini aplikasi bisa dipakai engga sih eror terus,tiap buka eror</v>
      </c>
      <c r="C226" s="17" t="str">
        <f>IFERROR(__xludf.DUMMYFUNCTION("REGEXREPLACE(B226,$A$3, )"),"Sebenernya ini aplikasi bisa dipakai engga sih eror terus,tiap buka eror")</f>
        <v>Sebenernya ini aplikasi bisa dipakai engga sih eror terus,tiap buka eror</v>
      </c>
      <c r="D226" s="17" t="str">
        <f>IFERROR(__xludf.DUMMYFUNCTION("REGEXREPLACE(C226,$A$4, )"),"Sebenernya ini aplikasi bisa dipakai engga sih eror terus,tiap buka eror")</f>
        <v>Sebenernya ini aplikasi bisa dipakai engga sih eror terus,tiap buka eror</v>
      </c>
      <c r="E226" s="17" t="str">
        <f>IFERROR(__xludf.DUMMYFUNCTION("REGEXREPLACE(D226,$A$5, )"),"Sebenernya ini aplikasi bisa dipakai engga sih eror terus,tiap buka eror")</f>
        <v>Sebenernya ini aplikasi bisa dipakai engga sih eror terus,tiap buka eror</v>
      </c>
      <c r="F226" s="17" t="str">
        <f>IFERROR(__xludf.DUMMYFUNCTION("REGEXREPLACE(E226,$A$6, )"),"Sebenernya ini aplikasi bisa dipakai engga sih eror terustiap buka eror")</f>
        <v>Sebenernya ini aplikasi bisa dipakai engga sih eror terustiap buka eror</v>
      </c>
      <c r="G226" s="18" t="str">
        <f>IFERROR(__xludf.DUMMYFUNCTION("REGEXREPLACE(F226,$A$7, )"),"Sebenernya ini aplikasi bisa dipakai engga sih eror terustiap buka eror")</f>
        <v>Sebenernya ini aplikasi bisa dipakai engga sih eror terustiap buka eror</v>
      </c>
      <c r="H226" s="17" t="str">
        <f t="shared" si="1"/>
        <v>sebenernya ini aplikasi bisa dipakai engga sih eror terustiap buka eror</v>
      </c>
    </row>
    <row r="227">
      <c r="A227" s="16" t="s">
        <v>222</v>
      </c>
      <c r="B227" s="17" t="str">
        <f>IFERROR(__xludf.DUMMYFUNCTION("REGEXREPLACE(A227,$A$2, )"),"Kok udh aktivasi kenapa ga bisa login ya")</f>
        <v>Kok udh aktivasi kenapa ga bisa login ya</v>
      </c>
      <c r="C227" s="17" t="str">
        <f>IFERROR(__xludf.DUMMYFUNCTION("REGEXREPLACE(B227,$A$3, )"),"Kok udh aktivasi kenapa ga bisa login ya")</f>
        <v>Kok udh aktivasi kenapa ga bisa login ya</v>
      </c>
      <c r="D227" s="17" t="str">
        <f>IFERROR(__xludf.DUMMYFUNCTION("REGEXREPLACE(C227,$A$4, )"),"Kok udh aktivasi kenapa ga bisa login ya")</f>
        <v>Kok udh aktivasi kenapa ga bisa login ya</v>
      </c>
      <c r="E227" s="17" t="str">
        <f>IFERROR(__xludf.DUMMYFUNCTION("REGEXREPLACE(D227,$A$5, )"),"Kok udh aktivasi kenapa ga bisa login ya")</f>
        <v>Kok udh aktivasi kenapa ga bisa login ya</v>
      </c>
      <c r="F227" s="17" t="str">
        <f>IFERROR(__xludf.DUMMYFUNCTION("REGEXREPLACE(E227,$A$6, )"),"Kok udh aktivasi kenapa ga bisa login ya")</f>
        <v>Kok udh aktivasi kenapa ga bisa login ya</v>
      </c>
      <c r="G227" s="18" t="str">
        <f>IFERROR(__xludf.DUMMYFUNCTION("REGEXREPLACE(F227,$A$7, )"),"Kok udh aktivasi kenapa ga bisa login ya")</f>
        <v>Kok udh aktivasi kenapa ga bisa login ya</v>
      </c>
      <c r="H227" s="17" t="str">
        <f t="shared" si="1"/>
        <v>kok udh aktivasi kenapa ga bisa login ya</v>
      </c>
    </row>
    <row r="228">
      <c r="A228" s="16" t="s">
        <v>223</v>
      </c>
      <c r="B228" s="17" t="str">
        <f>IFERROR(__xludf.DUMMYFUNCTION("REGEXREPLACE(A228,$A$2, )"),"saya udh isi data lngkap tapi knpa gak bisa poto ktp saya disitu ad yg tanda plus gak bisa di buka mhon jlaskn gmna cara nya biar bisa poto ktp")</f>
        <v>saya udh isi data lngkap tapi knpa gak bisa poto ktp saya disitu ad yg tanda plus gak bisa di buka mhon jlaskn gmna cara nya biar bisa poto ktp</v>
      </c>
      <c r="C228" s="17" t="str">
        <f>IFERROR(__xludf.DUMMYFUNCTION("REGEXREPLACE(B228,$A$3, )"),"saya udh isi data lngkap tapi knpa gak bisa poto ktp saya disitu ad yg tanda plus gak bisa di buka mhon jlaskn gmna cara nya biar bisa poto ktp")</f>
        <v>saya udh isi data lngkap tapi knpa gak bisa poto ktp saya disitu ad yg tanda plus gak bisa di buka mhon jlaskn gmna cara nya biar bisa poto ktp</v>
      </c>
      <c r="D228" s="17" t="str">
        <f>IFERROR(__xludf.DUMMYFUNCTION("REGEXREPLACE(C228,$A$4, )"),"saya udh isi data lngkap tapi knpa gak bisa poto ktp saya disitu ad yg tanda plus gak bisa di buka mhon jlaskn gmna cara nya biar bisa poto ktp")</f>
        <v>saya udh isi data lngkap tapi knpa gak bisa poto ktp saya disitu ad yg tanda plus gak bisa di buka mhon jlaskn gmna cara nya biar bisa poto ktp</v>
      </c>
      <c r="E228" s="17" t="str">
        <f>IFERROR(__xludf.DUMMYFUNCTION("REGEXREPLACE(D228,$A$5, )"),"saya udh isi data lngkap tapi knpa gak bisa poto ktp saya disitu ad yg tanda plus gak bisa di buka mhon jlaskn gmna cara nya biar bisa poto ktp")</f>
        <v>saya udh isi data lngkap tapi knpa gak bisa poto ktp saya disitu ad yg tanda plus gak bisa di buka mhon jlaskn gmna cara nya biar bisa poto ktp</v>
      </c>
      <c r="F228" s="17" t="str">
        <f>IFERROR(__xludf.DUMMYFUNCTION("REGEXREPLACE(E228,$A$6, )"),"saya udh isi data lngkap tapi knpa gak bisa poto ktp saya disitu ad yg tanda plus gak bisa di buka mhon jlaskn gmna cara nya biar bisa poto ktp")</f>
        <v>saya udh isi data lngkap tapi knpa gak bisa poto ktp saya disitu ad yg tanda plus gak bisa di buka mhon jlaskn gmna cara nya biar bisa poto ktp</v>
      </c>
      <c r="G228" s="18" t="str">
        <f>IFERROR(__xludf.DUMMYFUNCTION("REGEXREPLACE(F228,$A$7, )"),"saya udh isi data lngkap tapi knpa gak bisa poto ktp saya disitu ad yg tanda plus gak bisa di buka mhon jlaskn gmna cara nya biar bisa poto ktp")</f>
        <v>saya udh isi data lngkap tapi knpa gak bisa poto ktp saya disitu ad yg tanda plus gak bisa di buka mhon jlaskn gmna cara nya biar bisa poto ktp</v>
      </c>
      <c r="H228" s="17" t="str">
        <f t="shared" si="1"/>
        <v>saya udh isi data lngkap tapi knpa gak bisa poto ktp saya disitu ad yg tanda plus gak bisa di buka mhon jlaskn gmna cara nya biar bisa poto ktp</v>
      </c>
    </row>
    <row r="229">
      <c r="A229" s="16" t="s">
        <v>224</v>
      </c>
      <c r="B229" s="17" t="str">
        <f>IFERROR(__xludf.DUMMYFUNCTION("REGEXREPLACE(A229,$A$2, )"),"Perbaikn ap sih..dsni masih error...klo niat bantu yg bner jgn setengah²..ap ini apliksi abal²..???")</f>
        <v>Perbaikn ap sih..dsni masih error...klo niat bantu yg bner jgn setengah²..ap ini apliksi abal²..???</v>
      </c>
      <c r="C229" s="17" t="str">
        <f>IFERROR(__xludf.DUMMYFUNCTION("REGEXREPLACE(B229,$A$3, )"),"Perbaikn ap sih..dsni masih error...klo niat bantu yg bner jgn setengah²..ap ini apliksi abal²..???")</f>
        <v>Perbaikn ap sih..dsni masih error...klo niat bantu yg bner jgn setengah²..ap ini apliksi abal²..???</v>
      </c>
      <c r="D229" s="17" t="str">
        <f>IFERROR(__xludf.DUMMYFUNCTION("REGEXREPLACE(C229,$A$4, )"),"Perbaikn ap sih..dsni masih error...klo niat bantu yg bner jgn setengah²..ap ini apliksi abal²..???")</f>
        <v>Perbaikn ap sih..dsni masih error...klo niat bantu yg bner jgn setengah²..ap ini apliksi abal²..???</v>
      </c>
      <c r="E229" s="17" t="str">
        <f>IFERROR(__xludf.DUMMYFUNCTION("REGEXREPLACE(D229,$A$5, )"),"Perbaikn ap sih..dsni masih error...klo niat bantu yg bner jgn setengah²..ap ini apliksi abal²..???")</f>
        <v>Perbaikn ap sih..dsni masih error...klo niat bantu yg bner jgn setengah²..ap ini apliksi abal²..???</v>
      </c>
      <c r="F229" s="17" t="str">
        <f>IFERROR(__xludf.DUMMYFUNCTION("REGEXREPLACE(E229,$A$6, )"),"Perbaikn ap sihdsni masih errorklo niat bantu yg bner jgn setengah²ap ini apliksi abal²")</f>
        <v>Perbaikn ap sihdsni masih errorklo niat bantu yg bner jgn setengah²ap ini apliksi abal²</v>
      </c>
      <c r="G229" s="18" t="str">
        <f>IFERROR(__xludf.DUMMYFUNCTION("REGEXREPLACE(F229,$A$7, )"),"Perbaikn ap sihdsni masih errorklo niat bantu yg bner jgn setengah²ap ini apliksi abal²")</f>
        <v>Perbaikn ap sihdsni masih errorklo niat bantu yg bner jgn setengah²ap ini apliksi abal²</v>
      </c>
      <c r="H229" s="17" t="str">
        <f t="shared" si="1"/>
        <v>perbaikn ap sihdsni masih errorklo niat bantu yg bner jgn setengah²ap ini apliksi abal²</v>
      </c>
    </row>
    <row r="230">
      <c r="A230" s="16" t="s">
        <v>225</v>
      </c>
      <c r="B230" s="17" t="str">
        <f>IFERROR(__xludf.DUMMYFUNCTION("REGEXREPLACE(A230,$A$2, )"),"Kecewa banget aplikasi nya gak bisa login")</f>
        <v>Kecewa banget aplikasi nya gak bisa login</v>
      </c>
      <c r="C230" s="17" t="str">
        <f>IFERROR(__xludf.DUMMYFUNCTION("REGEXREPLACE(B230,$A$3, )"),"Kecewa banget aplikasi nya gak bisa login")</f>
        <v>Kecewa banget aplikasi nya gak bisa login</v>
      </c>
      <c r="D230" s="17" t="str">
        <f>IFERROR(__xludf.DUMMYFUNCTION("REGEXREPLACE(C230,$A$4, )"),"Kecewa banget aplikasi nya gak bisa login")</f>
        <v>Kecewa banget aplikasi nya gak bisa login</v>
      </c>
      <c r="E230" s="17" t="str">
        <f>IFERROR(__xludf.DUMMYFUNCTION("REGEXREPLACE(D230,$A$5, )"),"Kecewa banget aplikasi nya gak bisa login")</f>
        <v>Kecewa banget aplikasi nya gak bisa login</v>
      </c>
      <c r="F230" s="17" t="str">
        <f>IFERROR(__xludf.DUMMYFUNCTION("REGEXREPLACE(E230,$A$6, )"),"Kecewa banget aplikasi nya gak bisa login")</f>
        <v>Kecewa banget aplikasi nya gak bisa login</v>
      </c>
      <c r="G230" s="18" t="str">
        <f>IFERROR(__xludf.DUMMYFUNCTION("REGEXREPLACE(F230,$A$7, )"),"Kecewa banget aplikasi nya gak bisa login")</f>
        <v>Kecewa banget aplikasi nya gak bisa login</v>
      </c>
      <c r="H230" s="17" t="str">
        <f t="shared" si="1"/>
        <v>kecewa banget aplikasi nya gak bisa login</v>
      </c>
    </row>
    <row r="231">
      <c r="A231" s="16" t="s">
        <v>226</v>
      </c>
      <c r="B231" s="17" t="str">
        <f>IFERROR(__xludf.DUMMYFUNCTION("REGEXREPLACE(A231,$A$2, )"),"Berharap dengan aplikasi ini bisa mendaftar kan diri sebagai calon penerima PKH karena bantuan apapun kami tidak terima. Padahal kalau lihat kriteria saya sangat masuk .. punya dua anak balita . Tapi pas mau daftar ERROR ERROR ERROR. daftar tengah malam b"&amp;"erharap jaringan bagus ee tetap ERROR. Memang apk.nya kurang bagus . Tolong di PERBAIKI..KAMI SANGAT BUTUH.")</f>
        <v>Berharap dengan aplikasi ini bisa mendaftar kan diri sebagai calon penerima PKH karena bantuan apapun kami tidak terima. Padahal kalau lihat kriteria saya sangat masuk .. punya dua anak balita . Tapi pas mau daftar ERROR ERROR ERROR. daftar tengah malam berharap jaringan bagus ee tetap ERROR. Memang apk.nya kurang bagus . Tolong di PERBAIKI..KAMI SANGAT BUTUH.</v>
      </c>
      <c r="C231" s="17" t="str">
        <f>IFERROR(__xludf.DUMMYFUNCTION("REGEXREPLACE(B231,$A$3, )"),"Berharap dengan aplikasi ini bisa mendaftar kan diri sebagai calon penerima PKH karena bantuan apapun kami tidak terima. Padahal kalau lihat kriteria saya sangat masuk .. punya dua anak balita . Tapi pas mau daftar ERROR ERROR ERROR. daftar tengah malam b"&amp;"erharap jaringan bagus ee tetap ERROR. Memang apk.nya kurang bagus . Tolong di PERBAIKI..KAMI SANGAT BUTUH.")</f>
        <v>Berharap dengan aplikasi ini bisa mendaftar kan diri sebagai calon penerima PKH karena bantuan apapun kami tidak terima. Padahal kalau lihat kriteria saya sangat masuk .. punya dua anak balita . Tapi pas mau daftar ERROR ERROR ERROR. daftar tengah malam berharap jaringan bagus ee tetap ERROR. Memang apk.nya kurang bagus . Tolong di PERBAIKI..KAMI SANGAT BUTUH.</v>
      </c>
      <c r="D231" s="17" t="str">
        <f>IFERROR(__xludf.DUMMYFUNCTION("REGEXREPLACE(C231,$A$4, )"),"Berharap dengan aplikasi ini bisa mendaftar kan diri sebagai calon penerima PKH karena bantuan apapun kami tidak terima. Padahal kalau lihat kriteria saya sangat masuk .. punya dua anak balita . Tapi pas mau daftar ERROR ERROR ERROR. daftar tengah malam b"&amp;"erharap jaringan bagus ee tetap ERROR. Memang apk.nya kurang bagus . Tolong di PERBAIKI..KAMI SANGAT BUTUH.")</f>
        <v>Berharap dengan aplikasi ini bisa mendaftar kan diri sebagai calon penerima PKH karena bantuan apapun kami tidak terima. Padahal kalau lihat kriteria saya sangat masuk .. punya dua anak balita . Tapi pas mau daftar ERROR ERROR ERROR. daftar tengah malam berharap jaringan bagus ee tetap ERROR. Memang apk.nya kurang bagus . Tolong di PERBAIKI..KAMI SANGAT BUTUH.</v>
      </c>
      <c r="E231" s="17" t="str">
        <f>IFERROR(__xludf.DUMMYFUNCTION("REGEXREPLACE(D231,$A$5, )"),"Berharap dengan aplikasi ini bisa mendaftar kan diri sebagai calon penerima PKH karena bantuan apapun kami tidak terima. Padahal kalau lihat kriteria saya sangat masuk .. punya dua anak balita . Tapi pas mau daftar ERROR ERROR ERROR. daftar tengah malam b"&amp;"erharap jaringan bagus ee tetap ERROR. Memang apk.nya kurang bagus . Tolong di PERBAIKI..KAMI SANGAT BUTUH.")</f>
        <v>Berharap dengan aplikasi ini bisa mendaftar kan diri sebagai calon penerima PKH karena bantuan apapun kami tidak terima. Padahal kalau lihat kriteria saya sangat masuk .. punya dua anak balita . Tapi pas mau daftar ERROR ERROR ERROR. daftar tengah malam berharap jaringan bagus ee tetap ERROR. Memang apk.nya kurang bagus . Tolong di PERBAIKI..KAMI SANGAT BUTUH.</v>
      </c>
      <c r="F231" s="17" t="str">
        <f>IFERROR(__xludf.DUMMYFUNCTION("REGEXREPLACE(E231,$A$6, )"),"Berharap dengan aplikasi ini bisa mendaftar kan diri sebagai calon penerima PKH karena bantuan apapun kami tidak terima Padahal kalau lihat kriteria saya sangat masuk  punya dua anak balita  Tapi pas mau daftar ERROR ERROR ERROR daftar tengah malam berhar"&amp;"ap jaringan bagus ee tetap ERROR Memang apknya kurang bagus  Tolong di PERBAIKIKAMI SANGAT BUTUH")</f>
        <v>Berharap dengan aplikasi ini bisa mendaftar kan diri sebagai calon penerima PKH karena bantuan apapun kami tidak terima Padahal kalau lihat kriteria saya sangat masuk  punya dua anak balita  Tapi pas mau daftar ERROR ERROR ERROR daftar tengah malam berharap jaringan bagus ee tetap ERROR Memang apknya kurang bagus  Tolong di PERBAIKIKAMI SANGAT BUTUH</v>
      </c>
      <c r="G231" s="18" t="str">
        <f>IFERROR(__xludf.DUMMYFUNCTION("REGEXREPLACE(F231,$A$7, )"),"Berharap dengan aplikasi ini bisa mendaftar kan diri sebagai calon penerima PKH karena bantuan apapun kami tidak terima Padahal kalau lihat kriteria saya sangat masuk  punya dua anak balita  Tapi pas mau daftar ERROR ERROR ERROR daftar tengah malam berhar"&amp;"ap jaringan bagus ee tetap ERROR Memang apknya kurang bagus  Tolong di PERBAIKIKAMI SANGAT BUTUH")</f>
        <v>Berharap dengan aplikasi ini bisa mendaftar kan diri sebagai calon penerima PKH karena bantuan apapun kami tidak terima Padahal kalau lihat kriteria saya sangat masuk  punya dua anak balita  Tapi pas mau daftar ERROR ERROR ERROR daftar tengah malam berharap jaringan bagus ee tetap ERROR Memang apknya kurang bagus  Tolong di PERBAIKIKAMI SANGAT BUTUH</v>
      </c>
      <c r="H231" s="17" t="str">
        <f t="shared" si="1"/>
        <v>berharap dengan aplikasi ini bisa mendaftar kan diri sebagai calon penerima pkh karena bantuan apapun kami tidak terima padahal kalau lihat kriteria saya sangat masuk  punya dua anak balita  tapi pas mau daftar error error error daftar tengah malam berharap jaringan bagus ee tetap error memang apknya kurang bagus  tolong di perbaikikami sangat butuh</v>
      </c>
    </row>
    <row r="232">
      <c r="A232" s="16" t="s">
        <v>227</v>
      </c>
      <c r="B232" s="17" t="str">
        <f>IFERROR(__xludf.DUMMYFUNCTION("REGEXREPLACE(A232,$A$2, )"),"Aplikasi erorr, tolong di perbaiki")</f>
        <v>Aplikasi erorr, tolong di perbaiki</v>
      </c>
      <c r="C232" s="17" t="str">
        <f>IFERROR(__xludf.DUMMYFUNCTION("REGEXREPLACE(B232,$A$3, )"),"Aplikasi erorr, tolong di perbaiki")</f>
        <v>Aplikasi erorr, tolong di perbaiki</v>
      </c>
      <c r="D232" s="17" t="str">
        <f>IFERROR(__xludf.DUMMYFUNCTION("REGEXREPLACE(C232,$A$4, )"),"Aplikasi erorr, tolong di perbaiki")</f>
        <v>Aplikasi erorr, tolong di perbaiki</v>
      </c>
      <c r="E232" s="17" t="str">
        <f>IFERROR(__xludf.DUMMYFUNCTION("REGEXREPLACE(D232,$A$5, )"),"Aplikasi erorr, tolong di perbaiki")</f>
        <v>Aplikasi erorr, tolong di perbaiki</v>
      </c>
      <c r="F232" s="17" t="str">
        <f>IFERROR(__xludf.DUMMYFUNCTION("REGEXREPLACE(E232,$A$6, )"),"Aplikasi erorr tolong di perbaiki")</f>
        <v>Aplikasi erorr tolong di perbaiki</v>
      </c>
      <c r="G232" s="18" t="str">
        <f>IFERROR(__xludf.DUMMYFUNCTION("REGEXREPLACE(F232,$A$7, )"),"Aplikasi erorr tolong di perbaiki")</f>
        <v>Aplikasi erorr tolong di perbaiki</v>
      </c>
      <c r="H232" s="17" t="str">
        <f t="shared" si="1"/>
        <v>aplikasi erorr tolong di perbaiki</v>
      </c>
    </row>
    <row r="233">
      <c r="A233" s="16" t="s">
        <v>228</v>
      </c>
      <c r="B233" s="17" t="str">
        <f>IFERROR(__xludf.DUMMYFUNCTION("REGEXREPLACE(A233,$A$2, )"),"Usulan saya gak pernah di respon. Saya dapat kartu ATM sembako dari 2021 tp sampai saat ini kartu tidak bisa dipakai")</f>
        <v>Usulan saya gak pernah di respon. Saya dapat kartu ATM sembako dari 2021 tp sampai saat ini kartu tidak bisa dipakai</v>
      </c>
      <c r="C233" s="17" t="str">
        <f>IFERROR(__xludf.DUMMYFUNCTION("REGEXREPLACE(B233,$A$3, )"),"Usulan saya gak pernah di respon. Saya dapat kartu ATM sembako dari 2021 tp sampai saat ini kartu tidak bisa dipakai")</f>
        <v>Usulan saya gak pernah di respon. Saya dapat kartu ATM sembako dari 2021 tp sampai saat ini kartu tidak bisa dipakai</v>
      </c>
      <c r="D233" s="17" t="str">
        <f>IFERROR(__xludf.DUMMYFUNCTION("REGEXREPLACE(C233,$A$4, )"),"Usulan saya gak pernah di respon. Saya dapat kartu ATM sembako dari 2021 tp sampai saat ini kartu tidak bisa dipakai")</f>
        <v>Usulan saya gak pernah di respon. Saya dapat kartu ATM sembako dari 2021 tp sampai saat ini kartu tidak bisa dipakai</v>
      </c>
      <c r="E233" s="17" t="str">
        <f>IFERROR(__xludf.DUMMYFUNCTION("REGEXREPLACE(D233,$A$5, )"),"Usulan saya gak pernah di respon. Saya dapat kartu ATM sembako dari  tp sampai saat ini kartu tidak bisa dipakai")</f>
        <v>Usulan saya gak pernah di respon. Saya dapat kartu ATM sembako dari  tp sampai saat ini kartu tidak bisa dipakai</v>
      </c>
      <c r="F233" s="17" t="str">
        <f>IFERROR(__xludf.DUMMYFUNCTION("REGEXREPLACE(E233,$A$6, )"),"Usulan saya gak pernah di respon Saya dapat kartu ATM sembako dari  tp sampai saat ini kartu tidak bisa dipakai")</f>
        <v>Usulan saya gak pernah di respon Saya dapat kartu ATM sembako dari  tp sampai saat ini kartu tidak bisa dipakai</v>
      </c>
      <c r="G233" s="18" t="str">
        <f>IFERROR(__xludf.DUMMYFUNCTION("REGEXREPLACE(F233,$A$7, )"),"Usulan saya gak pernah di respon Saya dapat kartu ATM sembako dari  tp sampai saat ini kartu tidak bisa dipakai")</f>
        <v>Usulan saya gak pernah di respon Saya dapat kartu ATM sembako dari  tp sampai saat ini kartu tidak bisa dipakai</v>
      </c>
      <c r="H233" s="17" t="str">
        <f t="shared" si="1"/>
        <v>usulan saya gak pernah di respon saya dapat kartu atm sembako dari  tp sampai saat ini kartu tidak bisa dipakai</v>
      </c>
    </row>
    <row r="234">
      <c r="A234" s="16" t="s">
        <v>229</v>
      </c>
      <c r="B234" s="17" t="str">
        <f>IFERROR(__xludf.DUMMYFUNCTION("REGEXREPLACE(A234,$A$2, )"),"Mhn solusinya aplikasi setelah di download aplikasi tdk bsa di buka.tenks")</f>
        <v>Mhn solusinya aplikasi setelah di download aplikasi tdk bsa di buka.tenks</v>
      </c>
      <c r="C234" s="17" t="str">
        <f>IFERROR(__xludf.DUMMYFUNCTION("REGEXREPLACE(B234,$A$3, )"),"Mhn solusinya aplikasi setelah di download aplikasi tdk bsa di buka.tenks")</f>
        <v>Mhn solusinya aplikasi setelah di download aplikasi tdk bsa di buka.tenks</v>
      </c>
      <c r="D234" s="17" t="str">
        <f>IFERROR(__xludf.DUMMYFUNCTION("REGEXREPLACE(C234,$A$4, )"),"Mhn solusinya aplikasi setelah di download aplikasi tdk bsa di buka.tenks")</f>
        <v>Mhn solusinya aplikasi setelah di download aplikasi tdk bsa di buka.tenks</v>
      </c>
      <c r="E234" s="17" t="str">
        <f>IFERROR(__xludf.DUMMYFUNCTION("REGEXREPLACE(D234,$A$5, )"),"Mhn solusinya aplikasi setelah di download aplikasi tdk bsa di buka.tenks")</f>
        <v>Mhn solusinya aplikasi setelah di download aplikasi tdk bsa di buka.tenks</v>
      </c>
      <c r="F234" s="17" t="str">
        <f>IFERROR(__xludf.DUMMYFUNCTION("REGEXREPLACE(E234,$A$6, )"),"Mhn solusinya aplikasi setelah di download aplikasi tdk bsa di bukatenks")</f>
        <v>Mhn solusinya aplikasi setelah di download aplikasi tdk bsa di bukatenks</v>
      </c>
      <c r="G234" s="18" t="str">
        <f>IFERROR(__xludf.DUMMYFUNCTION("REGEXREPLACE(F234,$A$7, )"),"Mhn solusinya aplikasi setelah di download aplikasi tdk bsa di bukatenks")</f>
        <v>Mhn solusinya aplikasi setelah di download aplikasi tdk bsa di bukatenks</v>
      </c>
      <c r="H234" s="17" t="str">
        <f t="shared" si="1"/>
        <v>mhn solusinya aplikasi setelah di download aplikasi tdk bsa di bukatenks</v>
      </c>
    </row>
    <row r="235">
      <c r="A235" s="16" t="s">
        <v>230</v>
      </c>
      <c r="B235" s="17" t="str">
        <f>IFERROR(__xludf.DUMMYFUNCTION("REGEXREPLACE(A235,$A$2, )"),"Aplikasi cek bansos ini memang sengaja di buat error.. Terbukti tidak ada usaha pemerintah untuk memperbaiki..")</f>
        <v>Aplikasi cek bansos ini memang sengaja di buat error.. Terbukti tidak ada usaha pemerintah untuk memperbaiki..</v>
      </c>
      <c r="C235" s="17" t="str">
        <f>IFERROR(__xludf.DUMMYFUNCTION("REGEXREPLACE(B235,$A$3, )"),"Aplikasi cek bansos ini memang sengaja di buat error.. Terbukti tidak ada usaha pemerintah untuk memperbaiki..")</f>
        <v>Aplikasi cek bansos ini memang sengaja di buat error.. Terbukti tidak ada usaha pemerintah untuk memperbaiki..</v>
      </c>
      <c r="D235" s="17" t="str">
        <f>IFERROR(__xludf.DUMMYFUNCTION("REGEXREPLACE(C235,$A$4, )"),"Aplikasi cek bansos ini memang sengaja di buat error.. Terbukti tidak ada usaha pemerintah untuk memperbaiki..")</f>
        <v>Aplikasi cek bansos ini memang sengaja di buat error.. Terbukti tidak ada usaha pemerintah untuk memperbaiki..</v>
      </c>
      <c r="E235" s="17" t="str">
        <f>IFERROR(__xludf.DUMMYFUNCTION("REGEXREPLACE(D235,$A$5, )"),"Aplikasi cek bansos ini memang sengaja di buat error.. Terbukti tidak ada usaha pemerintah untuk memperbaiki..")</f>
        <v>Aplikasi cek bansos ini memang sengaja di buat error.. Terbukti tidak ada usaha pemerintah untuk memperbaiki..</v>
      </c>
      <c r="F235" s="17" t="str">
        <f>IFERROR(__xludf.DUMMYFUNCTION("REGEXREPLACE(E235,$A$6, )"),"Aplikasi cek bansos ini memang sengaja di buat error Terbukti tidak ada usaha pemerintah untuk memperbaiki")</f>
        <v>Aplikasi cek bansos ini memang sengaja di buat error Terbukti tidak ada usaha pemerintah untuk memperbaiki</v>
      </c>
      <c r="G235" s="18" t="str">
        <f>IFERROR(__xludf.DUMMYFUNCTION("REGEXREPLACE(F235,$A$7, )"),"Aplikasi cek bansos ini memang sengaja di buat error Terbukti tidak ada usaha pemerintah untuk memperbaiki")</f>
        <v>Aplikasi cek bansos ini memang sengaja di buat error Terbukti tidak ada usaha pemerintah untuk memperbaiki</v>
      </c>
      <c r="H235" s="17" t="str">
        <f t="shared" si="1"/>
        <v>aplikasi cek bansos ini memang sengaja di buat error terbukti tidak ada usaha pemerintah untuk memperbaiki</v>
      </c>
    </row>
    <row r="236">
      <c r="A236" s="16" t="s">
        <v>231</v>
      </c>
      <c r="B236" s="17" t="str">
        <f>IFERROR(__xludf.DUMMYFUNCTION("REGEXREPLACE(A236,$A$2, )"),"Payah lah, alasannya username sama password salah, tak suka tak sulka")</f>
        <v>Payah lah, alasannya username sama password salah, tak suka tak sulka</v>
      </c>
      <c r="C236" s="17" t="str">
        <f>IFERROR(__xludf.DUMMYFUNCTION("REGEXREPLACE(B236,$A$3, )"),"Payah lah, alasannya username sama password salah, tak suka tak sulka")</f>
        <v>Payah lah, alasannya username sama password salah, tak suka tak sulka</v>
      </c>
      <c r="D236" s="17" t="str">
        <f>IFERROR(__xludf.DUMMYFUNCTION("REGEXREPLACE(C236,$A$4, )"),"Payah lah, alasannya username sama password salah, tak suka tak sulka")</f>
        <v>Payah lah, alasannya username sama password salah, tak suka tak sulka</v>
      </c>
      <c r="E236" s="17" t="str">
        <f>IFERROR(__xludf.DUMMYFUNCTION("REGEXREPLACE(D236,$A$5, )"),"Payah lah, alasannya username sama password salah, tak suka tak sulka")</f>
        <v>Payah lah, alasannya username sama password salah, tak suka tak sulka</v>
      </c>
      <c r="F236" s="17" t="str">
        <f>IFERROR(__xludf.DUMMYFUNCTION("REGEXREPLACE(E236,$A$6, )"),"Payah lah alasannya username sama password salah tak suka tak sulka")</f>
        <v>Payah lah alasannya username sama password salah tak suka tak sulka</v>
      </c>
      <c r="G236" s="18" t="str">
        <f>IFERROR(__xludf.DUMMYFUNCTION("REGEXREPLACE(F236,$A$7, )"),"Payah lah alasannya username sama password salah tak suka tak sulka")</f>
        <v>Payah lah alasannya username sama password salah tak suka tak sulka</v>
      </c>
      <c r="H236" s="17" t="str">
        <f t="shared" si="1"/>
        <v>payah lah alasannya username sama password salah tak suka tak sulka</v>
      </c>
    </row>
    <row r="237">
      <c r="A237" s="16" t="s">
        <v>232</v>
      </c>
      <c r="B237" s="17" t="str">
        <f>IFERROR(__xludf.DUMMYFUNCTION("REGEXREPLACE(A237,$A$2, )"),"Aplikasi hancur pilih propinsi loading lama , sudah telpon bantuan layanan di suruh coba berkala di coba jam 7 pagi , 7 malam , 2 pagi masih saja loading propinsi dengan dalil banyak orang yang mengakses , lucunya kok pas pilih propinsi tidak ada respon t"&amp;"raffic dari databasenya")</f>
        <v>Aplikasi hancur pilih propinsi loading lama , sudah telpon bantuan layanan di suruh coba berkala di coba jam 7 pagi , 7 malam , 2 pagi masih saja loading propinsi dengan dalil banyak orang yang mengakses , lucunya kok pas pilih propinsi tidak ada respon traffic dari databasenya</v>
      </c>
      <c r="C237" s="17" t="str">
        <f>IFERROR(__xludf.DUMMYFUNCTION("REGEXREPLACE(B237,$A$3, )"),"Aplikasi hancur pilih propinsi loading lama , sudah telpon bantuan layanan di suruh coba berkala di coba jam 7 pagi , 7 malam , 2 pagi masih saja loading propinsi dengan dalil banyak orang yang mengakses , lucunya kok pas pilih propinsi tidak ada respon t"&amp;"raffic dari databasenya")</f>
        <v>Aplikasi hancur pilih propinsi loading lama , sudah telpon bantuan layanan di suruh coba berkala di coba jam 7 pagi , 7 malam , 2 pagi masih saja loading propinsi dengan dalil banyak orang yang mengakses , lucunya kok pas pilih propinsi tidak ada respon traffic dari databasenya</v>
      </c>
      <c r="D237" s="17" t="str">
        <f>IFERROR(__xludf.DUMMYFUNCTION("REGEXREPLACE(C237,$A$4, )"),"Aplikasi hancur pilih propinsi loading lama , sudah telpon bantuan layanan di suruh coba berkala di coba jam 7 pagi , 7 malam , 2 pagi masih saja loading propinsi dengan dalil banyak orang yang mengakses , lucunya kok pas pilih propinsi tidak ada respon t"&amp;"raffic dari databasenya")</f>
        <v>Aplikasi hancur pilih propinsi loading lama , sudah telpon bantuan layanan di suruh coba berkala di coba jam 7 pagi , 7 malam , 2 pagi masih saja loading propinsi dengan dalil banyak orang yang mengakses , lucunya kok pas pilih propinsi tidak ada respon traffic dari databasenya</v>
      </c>
      <c r="E237" s="17" t="str">
        <f>IFERROR(__xludf.DUMMYFUNCTION("REGEXREPLACE(D237,$A$5, )"),"Aplikasi hancur pilih propinsi loading lama , sudah telpon bantuan layanan di suruh coba berkala di coba jam  pagi ,  malam ,  pagi masih saja loading propinsi dengan dalil banyak orang yang mengakses , lucunya kok pas pilih propinsi tidak ada respon traf"&amp;"fic dari databasenya")</f>
        <v>Aplikasi hancur pilih propinsi loading lama , sudah telpon bantuan layanan di suruh coba berkala di coba jam  pagi ,  malam ,  pagi masih saja loading propinsi dengan dalil banyak orang yang mengakses , lucunya kok pas pilih propinsi tidak ada respon traffic dari databasenya</v>
      </c>
      <c r="F237" s="17" t="str">
        <f>IFERROR(__xludf.DUMMYFUNCTION("REGEXREPLACE(E237,$A$6, )"),"Aplikasi hancur pilih propinsi loading lama  sudah telpon bantuan layanan di suruh coba berkala di coba jam  pagi   malam   pagi masih saja loading propinsi dengan dalil banyak orang yang mengakses  lucunya kok pas pilih propinsi tidak ada respon traffic "&amp;"dari databasenya")</f>
        <v>Aplikasi hancur pilih propinsi loading lama  sudah telpon bantuan layanan di suruh coba berkala di coba jam  pagi   malam   pagi masih saja loading propinsi dengan dalil banyak orang yang mengakses  lucunya kok pas pilih propinsi tidak ada respon traffic dari databasenya</v>
      </c>
      <c r="G237" s="18" t="str">
        <f>IFERROR(__xludf.DUMMYFUNCTION("REGEXREPLACE(F237,$A$7, )"),"Aplikasi hancur pilih propinsi loading lama  sudah telpon bantuan layanan di suruh coba berkala di coba jam  pagi   malam   pagi masih saja loading propinsi dengan dalil banyak orang yang mengakses  lucunya kok pas pilih propinsi tidak ada respon traffic "&amp;"dari databasenya")</f>
        <v>Aplikasi hancur pilih propinsi loading lama  sudah telpon bantuan layanan di suruh coba berkala di coba jam  pagi   malam   pagi masih saja loading propinsi dengan dalil banyak orang yang mengakses  lucunya kok pas pilih propinsi tidak ada respon traffic dari databasenya</v>
      </c>
      <c r="H237" s="17" t="str">
        <f t="shared" si="1"/>
        <v>aplikasi hancur pilih propinsi loading lama  sudah telpon bantuan layanan di suruh coba berkala di coba jam  pagi   malam   pagi masih saja loading propinsi dengan dalil banyak orang yang mengakses  lucunya kok pas pilih propinsi tidak ada respon traffic dari databasenya</v>
      </c>
    </row>
    <row r="238">
      <c r="A238" s="16" t="s">
        <v>233</v>
      </c>
      <c r="B238" s="17" t="str">
        <f>IFERROR(__xludf.DUMMYFUNCTION("REGEXREPLACE(A238,$A$2, )"),"Aplikasi bodong,, berkali2 coba masuk ttp aja gk bisa padahal username sama password nya bener tapi ttp aja gk bisa masuk jaringan bagus ttp aja gk bisa masuk,, ku coba periksa email takut ada konfirmasi melalui email, ttp aja gak ada email masuk,, aku be"&amp;"rharap aplikasi ini bisa berjalan dengan baik karna aplikasi sangat bisa membantu orang kecil untuk bisa mendapatkan hak nya")</f>
        <v>Aplikasi bodong,, berkali2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c r="C238" s="17" t="str">
        <f>IFERROR(__xludf.DUMMYFUNCTION("REGEXREPLACE(B238,$A$3, )"),"Aplikasi bodong,, berkali2 coba masuk ttp aja gk bisa padahal username sama password nya bener tapi ttp aja gk bisa masuk jaringan bagus ttp aja gk bisa masuk,, ku coba periksa email takut ada konfirmasi melalui email, ttp aja gak ada email masuk,, aku be"&amp;"rharap aplikasi ini bisa berjalan dengan baik karna aplikasi sangat bisa membantu orang kecil untuk bisa mendapatkan hak nya")</f>
        <v>Aplikasi bodong,, berkali2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c r="D238" s="17" t="str">
        <f>IFERROR(__xludf.DUMMYFUNCTION("REGEXREPLACE(C238,$A$4, )"),"Aplikasi bodong,, berkali2 coba masuk ttp aja gk bisa padahal username sama password nya bener tapi ttp aja gk bisa masuk jaringan bagus ttp aja gk bisa masuk,, ku coba periksa email takut ada konfirmasi melalui email, ttp aja gak ada email masuk,, aku be"&amp;"rharap aplikasi ini bisa berjalan dengan baik karna aplikasi sangat bisa membantu orang kecil untuk bisa mendapatkan hak nya")</f>
        <v>Aplikasi bodong,, berkali2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c r="E238" s="17" t="str">
        <f>IFERROR(__xludf.DUMMYFUNCTION("REGEXREPLACE(D238,$A$5, )"),"Aplikasi bodong,, berkali coba masuk ttp aja gk bisa padahal username sama password nya bener tapi ttp aja gk bisa masuk jaringan bagus ttp aja gk bisa masuk,, ku coba periksa email takut ada konfirmasi melalui email, ttp aja gak ada email masuk,, aku ber"&amp;"harap aplikasi ini bisa berjalan dengan baik karna aplikasi sangat bisa membantu orang kecil untuk bisa mendapatkan hak nya")</f>
        <v>Aplikasi bodong,, berkali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c r="F238" s="17" t="str">
        <f>IFERROR(__xludf.DUMMYFUNCTION("REGEXREPLACE(E238,$A$6, )"),"Aplikasi bodong berkali coba masuk ttp aja gk bisa padahal username sama password nya bener tapi ttp aja gk bisa masuk jaringan bagus ttp aja gk bisa masuk ku coba periksa email takut ada konfirmasi melalui email ttp aja gak ada email masuk aku berharap a"&amp;"plikasi ini bisa berjalan dengan baik karna aplikasi sangat bisa membantu orang kecil untuk bisa mendapatkan hak nya")</f>
        <v>Aplikasi bodong berkali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c r="G238" s="18" t="str">
        <f>IFERROR(__xludf.DUMMYFUNCTION("REGEXREPLACE(F238,$A$7, )"),"Aplikasi bodong berkali coba masuk ttp aja gk bisa padahal username sama password nya bener tapi ttp aja gk bisa masuk jaringan bagus ttp aja gk bisa masuk ku coba periksa email takut ada konfirmasi melalui email ttp aja gak ada email masuk aku berharap a"&amp;"plikasi ini bisa berjalan dengan baik karna aplikasi sangat bisa membantu orang kecil untuk bisa mendapatkan hak nya")</f>
        <v>Aplikasi bodong berkali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c r="H238" s="17" t="str">
        <f t="shared" si="1"/>
        <v>aplikasi bodong berkali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row>
    <row r="239">
      <c r="A239" s="16" t="s">
        <v>234</v>
      </c>
      <c r="B239" s="17" t="str">
        <f>IFERROR(__xludf.DUMMYFUNCTION("REGEXREPLACE(A239,$A$2, )"),"Masalah sama seperti yang lain, udah daftar akun, tp begitu login latanya akun belom aktivasi giliran bikin ulang akun katanya sudah terdaftar. Ga guna banget ni aplikasi! Dan parah nya lagi dari setiap ulasan, gda 1 pun yang di tanggapi ! Dah ga aneh, se"&amp;"moga data semua yang masuk ga di salah gunakan..")</f>
        <v>Masalah sama seperti yang lain, udah daftar akun, tp begitu login latanya akun belom aktivasi giliran bikin ulang akun katanya sudah terdaftar. Ga guna banget ni aplikasi! Dan parah nya lagi dari setiap ulasan, gda 1 pun yang di tanggapi ! Dah ga aneh, semoga data semua yang masuk ga di salah gunakan..</v>
      </c>
      <c r="C239" s="17" t="str">
        <f>IFERROR(__xludf.DUMMYFUNCTION("REGEXREPLACE(B239,$A$3, )"),"Masalah sama seperti yang lain, udah daftar akun, tp begitu login latanya akun belom aktivasi giliran bikin ulang akun katanya sudah terdaftar. Ga guna banget ni aplikasi! Dan parah nya lagi dari setiap ulasan, gda 1 pun yang di tanggapi ! Dah ga aneh, se"&amp;"moga data semua yang masuk ga di salah gunakan..")</f>
        <v>Masalah sama seperti yang lain, udah daftar akun, tp begitu login latanya akun belom aktivasi giliran bikin ulang akun katanya sudah terdaftar. Ga guna banget ni aplikasi! Dan parah nya lagi dari setiap ulasan, gda 1 pun yang di tanggapi ! Dah ga aneh, semoga data semua yang masuk ga di salah gunakan..</v>
      </c>
      <c r="D239" s="17" t="str">
        <f>IFERROR(__xludf.DUMMYFUNCTION("REGEXREPLACE(C239,$A$4, )"),"Masalah sama seperti yang lain, udah daftar akun, tp begitu login latanya akun belom aktivasi giliran bikin ulang akun katanya sudah terdaftar. Ga guna banget ni aplikasi! Dan parah nya lagi dari setiap ulasan, gda 1 pun yang di tanggapi ! Dah ga aneh, se"&amp;"moga data semua yang masuk ga di salah gunakan..")</f>
        <v>Masalah sama seperti yang lain, udah daftar akun, tp begitu login latanya akun belom aktivasi giliran bikin ulang akun katanya sudah terdaftar. Ga guna banget ni aplikasi! Dan parah nya lagi dari setiap ulasan, gda 1 pun yang di tanggapi ! Dah ga aneh, semoga data semua yang masuk ga di salah gunakan..</v>
      </c>
      <c r="E239" s="17" t="str">
        <f>IFERROR(__xludf.DUMMYFUNCTION("REGEXREPLACE(D239,$A$5, )"),"Masalah sama seperti yang lain, udah daftar akun, tp begitu login latanya akun belom aktivasi giliran bikin ulang akun katanya sudah terdaftar. Ga guna banget ni aplikasi! Dan parah nya lagi dari setiap ulasan, gda  pun yang di tanggapi ! Dah ga aneh, sem"&amp;"oga data semua yang masuk ga di salah gunakan..")</f>
        <v>Masalah sama seperti yang lain, udah daftar akun, tp begitu login latanya akun belom aktivasi giliran bikin ulang akun katanya sudah terdaftar. Ga guna banget ni aplikasi! Dan parah nya lagi dari setiap ulasan, gda  pun yang di tanggapi ! Dah ga aneh, semoga data semua yang masuk ga di salah gunakan..</v>
      </c>
      <c r="F239" s="17" t="str">
        <f>IFERROR(__xludf.DUMMYFUNCTION("REGEXREPLACE(E239,$A$6, )"),"Masalah sama seperti yang lain udah daftar akun tp begitu login latanya akun belom aktivasi giliran bikin ulang akun katanya sudah terdaftar Ga guna banget ni aplikasi Dan parah nya lagi dari setiap ulasan gda  pun yang di tanggapi  Dah ga aneh semoga dat"&amp;"a semua yang masuk ga di salah gunakan")</f>
        <v>Masalah sama seperti yang lain udah daftar akun tp begitu login latanya akun belom aktivasi giliran bikin ulang akun katanya sudah terdaftar Ga guna banget ni aplikasi Dan parah nya lagi dari setiap ulasan gda  pun yang di tanggapi  Dah ga aneh semoga data semua yang masuk ga di salah gunakan</v>
      </c>
      <c r="G239" s="18" t="str">
        <f>IFERROR(__xludf.DUMMYFUNCTION("REGEXREPLACE(F239,$A$7, )"),"Masalah sama seperti yang lain udah daftar akun tp begitu login latanya akun belom aktivasi giliran bikin ulang akun katanya sudah terdaftar Ga guna banget ni aplikasi Dan parah nya lagi dari setiap ulasan gda  pun yang di tanggapi  Dah ga aneh semoga dat"&amp;"a semua yang masuk ga di salah gunakan")</f>
        <v>Masalah sama seperti yang lain udah daftar akun tp begitu login latanya akun belom aktivasi giliran bikin ulang akun katanya sudah terdaftar Ga guna banget ni aplikasi Dan parah nya lagi dari setiap ulasan gda  pun yang di tanggapi  Dah ga aneh semoga data semua yang masuk ga di salah gunakan</v>
      </c>
      <c r="H239" s="17" t="str">
        <f t="shared" si="1"/>
        <v>masalah sama seperti yang lain udah daftar akun tp begitu login latanya akun belom aktivasi giliran bikin ulang akun katanya sudah terdaftar ga guna banget ni aplikasi dan parah nya lagi dari setiap ulasan gda  pun yang di tanggapi  dah ga aneh semoga data semua yang masuk ga di salah gunakan</v>
      </c>
    </row>
    <row r="240">
      <c r="A240" s="16" t="s">
        <v>235</v>
      </c>
      <c r="B240" s="17" t="str">
        <f>IFERROR(__xludf.DUMMYFUNCTION("REGEXREPLACE(A240,$A$2, )"),"Setelah di update malah ada bacaan error' Jason parase!")</f>
        <v>Setelah di update malah ada bacaan error' Jason parase!</v>
      </c>
      <c r="C240" s="17" t="str">
        <f>IFERROR(__xludf.DUMMYFUNCTION("REGEXREPLACE(B240,$A$3, )"),"Setelah di update malah ada bacaan error' Jason parase!")</f>
        <v>Setelah di update malah ada bacaan error' Jason parase!</v>
      </c>
      <c r="D240" s="17" t="str">
        <f>IFERROR(__xludf.DUMMYFUNCTION("REGEXREPLACE(C240,$A$4, )"),"Setelah di update malah ada bacaan error' Jason parase!")</f>
        <v>Setelah di update malah ada bacaan error' Jason parase!</v>
      </c>
      <c r="E240" s="17" t="str">
        <f>IFERROR(__xludf.DUMMYFUNCTION("REGEXREPLACE(D240,$A$5, )"),"Setelah di update malah ada bacaan error' Jason parase!")</f>
        <v>Setelah di update malah ada bacaan error' Jason parase!</v>
      </c>
      <c r="F240" s="17" t="str">
        <f>IFERROR(__xludf.DUMMYFUNCTION("REGEXREPLACE(E240,$A$6, )"),"Setelah di update malah ada bacaan error Jason parase")</f>
        <v>Setelah di update malah ada bacaan error Jason parase</v>
      </c>
      <c r="G240" s="18" t="str">
        <f>IFERROR(__xludf.DUMMYFUNCTION("REGEXREPLACE(F240,$A$7, )"),"Setelah di update malah ada bacaan error Jason parase")</f>
        <v>Setelah di update malah ada bacaan error Jason parase</v>
      </c>
      <c r="H240" s="17" t="str">
        <f t="shared" si="1"/>
        <v>setelah di update malah ada bacaan error jason parase</v>
      </c>
    </row>
    <row r="241">
      <c r="A241" s="16" t="s">
        <v>236</v>
      </c>
      <c r="B241" s="17" t="str">
        <f>IFERROR(__xludf.DUMMYFUNCTION("REGEXREPLACE(A241,$A$2, )"),"Percuma komen, ga bakal d dengar... Sya udh 2 x instal, 2x juga uninstal. Berharap besar tpi mengecewakan... Slalu jaringan yg d salahkn...")</f>
        <v>Percuma komen, ga bakal d dengar... Sya udh 2 x instal, 2x juga uninstal. Berharap besar tpi mengecewakan... Slalu jaringan yg d salahkn...</v>
      </c>
      <c r="C241" s="17" t="str">
        <f>IFERROR(__xludf.DUMMYFUNCTION("REGEXREPLACE(B241,$A$3, )"),"Percuma komen, ga bakal d dengar... Sya udh 2 x instal, 2x juga uninstal. Berharap besar tpi mengecewakan... Slalu jaringan yg d salahkn...")</f>
        <v>Percuma komen, ga bakal d dengar... Sya udh 2 x instal, 2x juga uninstal. Berharap besar tpi mengecewakan... Slalu jaringan yg d salahkn...</v>
      </c>
      <c r="D241" s="17" t="str">
        <f>IFERROR(__xludf.DUMMYFUNCTION("REGEXREPLACE(C241,$A$4, )"),"Percuma komen, ga bakal d dengar... Sya udh 2 x instal, 2x juga uninstal. Berharap besar tpi mengecewakan... Slalu jaringan yg d salahkn...")</f>
        <v>Percuma komen, ga bakal d dengar... Sya udh 2 x instal, 2x juga uninstal. Berharap besar tpi mengecewakan... Slalu jaringan yg d salahkn...</v>
      </c>
      <c r="E241" s="17" t="str">
        <f>IFERROR(__xludf.DUMMYFUNCTION("REGEXREPLACE(D241,$A$5, )"),"Percuma komen, ga bakal d dengar... Sya udh  x instal, x juga uninstal. Berharap besar tpi mengecewakan... Slalu jaringan yg d salahkn...")</f>
        <v>Percuma komen, ga bakal d dengar... Sya udh  x instal, x juga uninstal. Berharap besar tpi mengecewakan... Slalu jaringan yg d salahkn...</v>
      </c>
      <c r="F241" s="17" t="str">
        <f>IFERROR(__xludf.DUMMYFUNCTION("REGEXREPLACE(E241,$A$6, )"),"Percuma komen ga bakal d dengar Sya udh  x instal x juga uninstal Berharap besar tpi mengecewakan Slalu jaringan yg d salahkn")</f>
        <v>Percuma komen ga bakal d dengar Sya udh  x instal x juga uninstal Berharap besar tpi mengecewakan Slalu jaringan yg d salahkn</v>
      </c>
      <c r="G241" s="18" t="str">
        <f>IFERROR(__xludf.DUMMYFUNCTION("REGEXREPLACE(F241,$A$7, )"),"Percuma komen ga bakal d dengar Sya udh  x instal x juga uninstal Berharap besar tpi mengecewakan Slalu jaringan yg d salahkn")</f>
        <v>Percuma komen ga bakal d dengar Sya udh  x instal x juga uninstal Berharap besar tpi mengecewakan Slalu jaringan yg d salahkn</v>
      </c>
      <c r="H241" s="17" t="str">
        <f t="shared" si="1"/>
        <v>percuma komen ga bakal d dengar sya udh  x instal x juga uninstal berharap besar tpi mengecewakan slalu jaringan yg d salahkn</v>
      </c>
    </row>
    <row r="242">
      <c r="A242" s="16" t="s">
        <v>237</v>
      </c>
      <c r="B242" s="17" t="str">
        <f>IFERROR(__xludf.DUMMYFUNCTION("REGEXREPLACE(A242,$A$2, )"),"Dartar akun smpe 5x error trus Sering error, gak guna lah")</f>
        <v>Dartar akun smpe 5x error trus Sering error, gak guna lah</v>
      </c>
      <c r="C242" s="17" t="str">
        <f>IFERROR(__xludf.DUMMYFUNCTION("REGEXREPLACE(B242,$A$3, )"),"Dartar akun smpe 5x error trus Sering error, gak guna lah")</f>
        <v>Dartar akun smpe 5x error trus Sering error, gak guna lah</v>
      </c>
      <c r="D242" s="17" t="str">
        <f>IFERROR(__xludf.DUMMYFUNCTION("REGEXREPLACE(C242,$A$4, )"),"Dartar akun smpe 5x error trus Sering error, gak guna lah")</f>
        <v>Dartar akun smpe 5x error trus Sering error, gak guna lah</v>
      </c>
      <c r="E242" s="17" t="str">
        <f>IFERROR(__xludf.DUMMYFUNCTION("REGEXREPLACE(D242,$A$5, )"),"Dartar akun smpe x error trus Sering error, gak guna lah")</f>
        <v>Dartar akun smpe x error trus Sering error, gak guna lah</v>
      </c>
      <c r="F242" s="17" t="str">
        <f>IFERROR(__xludf.DUMMYFUNCTION("REGEXREPLACE(E242,$A$6, )"),"Dartar akun smpe x error trus Sering error gak guna lah")</f>
        <v>Dartar akun smpe x error trus Sering error gak guna lah</v>
      </c>
      <c r="G242" s="18" t="str">
        <f>IFERROR(__xludf.DUMMYFUNCTION("REGEXREPLACE(F242,$A$7, )"),"Dartar akun smpe x error trus Sering error gak guna lah")</f>
        <v>Dartar akun smpe x error trus Sering error gak guna lah</v>
      </c>
      <c r="H242" s="17" t="str">
        <f t="shared" si="1"/>
        <v>dartar akun smpe x error trus sering error gak guna lah</v>
      </c>
    </row>
    <row r="243">
      <c r="A243" s="16" t="s">
        <v>238</v>
      </c>
      <c r="B243" s="17" t="str">
        <f>IFERROR(__xludf.DUMMYFUNCTION("REGEXREPLACE(A243,$A$2, )"),"Udah di downlod gak bisa regestrasi katanya aplikasi eror, hadeh gimana ini....")</f>
        <v>Udah di downlod gak bisa regestrasi katanya aplikasi eror, hadeh gimana ini....</v>
      </c>
      <c r="C243" s="17" t="str">
        <f>IFERROR(__xludf.DUMMYFUNCTION("REGEXREPLACE(B243,$A$3, )"),"Udah di downlod gak bisa regestrasi katanya aplikasi eror, hadeh gimana ini....")</f>
        <v>Udah di downlod gak bisa regestrasi katanya aplikasi eror, hadeh gimana ini....</v>
      </c>
      <c r="D243" s="17" t="str">
        <f>IFERROR(__xludf.DUMMYFUNCTION("REGEXREPLACE(C243,$A$4, )"),"Udah di downlod gak bisa regestrasi katanya aplikasi eror, hadeh gimana ini....")</f>
        <v>Udah di downlod gak bisa regestrasi katanya aplikasi eror, hadeh gimana ini....</v>
      </c>
      <c r="E243" s="17" t="str">
        <f>IFERROR(__xludf.DUMMYFUNCTION("REGEXREPLACE(D243,$A$5, )"),"Udah di downlod gak bisa regestrasi katanya aplikasi eror, hadeh gimana ini....")</f>
        <v>Udah di downlod gak bisa regestrasi katanya aplikasi eror, hadeh gimana ini....</v>
      </c>
      <c r="F243" s="17" t="str">
        <f>IFERROR(__xludf.DUMMYFUNCTION("REGEXREPLACE(E243,$A$6, )"),"Udah di downlod gak bisa regestrasi katanya aplikasi eror hadeh gimana ini")</f>
        <v>Udah di downlod gak bisa regestrasi katanya aplikasi eror hadeh gimana ini</v>
      </c>
      <c r="G243" s="18" t="str">
        <f>IFERROR(__xludf.DUMMYFUNCTION("REGEXREPLACE(F243,$A$7, )"),"Udah di downlod gak bisa regestrasi katanya aplikasi eror hadeh gimana ini")</f>
        <v>Udah di downlod gak bisa regestrasi katanya aplikasi eror hadeh gimana ini</v>
      </c>
      <c r="H243" s="17" t="str">
        <f t="shared" si="1"/>
        <v>udah di downlod gak bisa regestrasi katanya aplikasi eror hadeh gimana ini</v>
      </c>
    </row>
    <row r="244">
      <c r="A244" s="16" t="s">
        <v>239</v>
      </c>
      <c r="B244" s="17" t="str">
        <f>IFERROR(__xludf.DUMMYFUNCTION("REGEXREPLACE(A244,$A$2, )"),"Sangat di sesalkan,harapan satu-satunya tidak bisa daftar online padahal saya tdk dapat bantuan apapun dari Rt...😭,")</f>
        <v>Sangat di sesalkan,harapan satu-satunya tidak bisa daftar online padahal saya tdk dapat bantuan apapun dari Rt...😭,</v>
      </c>
      <c r="C244" s="17" t="str">
        <f>IFERROR(__xludf.DUMMYFUNCTION("REGEXREPLACE(B244,$A$3, )"),"Sangat di sesalkan,harapan satu-satunya tidak bisa daftar online padahal saya tdk dapat bantuan apapun dari Rt...😭,")</f>
        <v>Sangat di sesalkan,harapan satu-satunya tidak bisa daftar online padahal saya tdk dapat bantuan apapun dari Rt...😭,</v>
      </c>
      <c r="D244" s="17" t="str">
        <f>IFERROR(__xludf.DUMMYFUNCTION("REGEXREPLACE(C244,$A$4, )"),"Sangat di sesalkan,harapan satu-satunya tidak bisa daftar online padahal saya tdk dapat bantuan apapun dari Rt...😭,")</f>
        <v>Sangat di sesalkan,harapan satu-satunya tidak bisa daftar online padahal saya tdk dapat bantuan apapun dari Rt...😭,</v>
      </c>
      <c r="E244" s="17" t="str">
        <f>IFERROR(__xludf.DUMMYFUNCTION("REGEXREPLACE(D244,$A$5, )"),"Sangat di sesalkan,harapan satu-satunya tidak bisa daftar online padahal saya tdk dapat bantuan apapun dari Rt...😭,")</f>
        <v>Sangat di sesalkan,harapan satu-satunya tidak bisa daftar online padahal saya tdk dapat bantuan apapun dari Rt...😭,</v>
      </c>
      <c r="F244" s="17" t="str">
        <f>IFERROR(__xludf.DUMMYFUNCTION("REGEXREPLACE(E244,$A$6, )"),"Sangat di sesalkanharapan satusatunya tidak bisa daftar online padahal saya tdk dapat bantuan apapun dari Rt😭")</f>
        <v>Sangat di sesalkanharapan satusatunya tidak bisa daftar online padahal saya tdk dapat bantuan apapun dari Rt😭</v>
      </c>
      <c r="G244" s="18" t="str">
        <f>IFERROR(__xludf.DUMMYFUNCTION("REGEXREPLACE(F244,$A$7, )"),"Sangat di sesalkanharapan satusatunya tidak bisa daftar online padahal saya tdk dapat bantuan apapun dari Rt")</f>
        <v>Sangat di sesalkanharapan satusatunya tidak bisa daftar online padahal saya tdk dapat bantuan apapun dari Rt</v>
      </c>
      <c r="H244" s="17" t="str">
        <f t="shared" si="1"/>
        <v>sangat di sesalkanharapan satusatunya tidak bisa daftar online padahal saya tdk dapat bantuan apapun dari rt</v>
      </c>
    </row>
    <row r="245">
      <c r="A245" s="16" t="s">
        <v>240</v>
      </c>
      <c r="B245" s="17" t="str">
        <f>IFERROR(__xludf.DUMMYFUNCTION("REGEXREPLACE(A245,$A$2, )"),"Masa ngisi registrasi bagian alamat susah banget.. Error mulu")</f>
        <v>Masa ngisi registrasi bagian alamat susah banget.. Error mulu</v>
      </c>
      <c r="C245" s="17" t="str">
        <f>IFERROR(__xludf.DUMMYFUNCTION("REGEXREPLACE(B245,$A$3, )"),"Masa ngisi registrasi bagian alamat susah banget.. Error mulu")</f>
        <v>Masa ngisi registrasi bagian alamat susah banget.. Error mulu</v>
      </c>
      <c r="D245" s="17" t="str">
        <f>IFERROR(__xludf.DUMMYFUNCTION("REGEXREPLACE(C245,$A$4, )"),"Masa ngisi registrasi bagian alamat susah banget.. Error mulu")</f>
        <v>Masa ngisi registrasi bagian alamat susah banget.. Error mulu</v>
      </c>
      <c r="E245" s="17" t="str">
        <f>IFERROR(__xludf.DUMMYFUNCTION("REGEXREPLACE(D245,$A$5, )"),"Masa ngisi registrasi bagian alamat susah banget.. Error mulu")</f>
        <v>Masa ngisi registrasi bagian alamat susah banget.. Error mulu</v>
      </c>
      <c r="F245" s="17" t="str">
        <f>IFERROR(__xludf.DUMMYFUNCTION("REGEXREPLACE(E245,$A$6, )"),"Masa ngisi registrasi bagian alamat susah banget Error mulu")</f>
        <v>Masa ngisi registrasi bagian alamat susah banget Error mulu</v>
      </c>
      <c r="G245" s="18" t="str">
        <f>IFERROR(__xludf.DUMMYFUNCTION("REGEXREPLACE(F245,$A$7, )"),"Masa ngisi registrasi bagian alamat susah banget Error mulu")</f>
        <v>Masa ngisi registrasi bagian alamat susah banget Error mulu</v>
      </c>
      <c r="H245" s="17" t="str">
        <f t="shared" si="1"/>
        <v>masa ngisi registrasi bagian alamat susah banget error mulu</v>
      </c>
    </row>
    <row r="246">
      <c r="A246" s="16" t="s">
        <v>241</v>
      </c>
      <c r="B246" s="17" t="str">
        <f>IFERROR(__xludf.DUMMYFUNCTION("REGEXREPLACE(A246,$A$2, )"),"Berkali2 masukkan data untuk buat akun baru, dan data sudah sesuai semuanya, tapi selalu gagal registrasi ""alamat tidak sesuai"" katanya, tolong dong kemensos aplikasi nya diperbaiki, banyak orang yg membutuhkan, masih banyak orang yang kurang mampu belu"&amp;"m mendapatkan bansos.")</f>
        <v>Berkali2 masukkan data untuk buat akun baru, dan data sudah sesuai semuanya, tapi selalu gagal registrasi "alamat tidak sesuai" katanya, tolong dong kemensos aplikasi nya diperbaiki, banyak orang yg membutuhkan, masih banyak orang yang kurang mampu belum mendapatkan bansos.</v>
      </c>
      <c r="C246" s="17" t="str">
        <f>IFERROR(__xludf.DUMMYFUNCTION("REGEXREPLACE(B246,$A$3, )"),"Berkali2 masukkan data untuk buat akun baru, dan data sudah sesuai semuanya, tapi selalu gagal registrasi ""alamat tidak sesuai"" katanya, tolong dong kemensos aplikasi nya diperbaiki, banyak orang yg membutuhkan, masih banyak orang yang kurang mampu belu"&amp;"m mendapatkan bansos.")</f>
        <v>Berkali2 masukkan data untuk buat akun baru, dan data sudah sesuai semuanya, tapi selalu gagal registrasi "alamat tidak sesuai" katanya, tolong dong kemensos aplikasi nya diperbaiki, banyak orang yg membutuhkan, masih banyak orang yang kurang mampu belum mendapatkan bansos.</v>
      </c>
      <c r="D246" s="17" t="str">
        <f>IFERROR(__xludf.DUMMYFUNCTION("REGEXREPLACE(C246,$A$4, )"),"Berkali2 masukkan data untuk buat akun baru, dan data sudah sesuai semuanya, tapi selalu gagal registrasi ""alamat tidak sesuai"" katanya, tolong dong kemensos aplikasi nya diperbaiki, banyak orang yg membutuhkan, masih banyak orang yang kurang mampu belu"&amp;"m mendapatkan bansos.")</f>
        <v>Berkali2 masukkan data untuk buat akun baru, dan data sudah sesuai semuanya, tapi selalu gagal registrasi "alamat tidak sesuai" katanya, tolong dong kemensos aplikasi nya diperbaiki, banyak orang yg membutuhkan, masih banyak orang yang kurang mampu belum mendapatkan bansos.</v>
      </c>
      <c r="E246" s="17" t="str">
        <f>IFERROR(__xludf.DUMMYFUNCTION("REGEXREPLACE(D246,$A$5, )"),"Berkali masukkan data untuk buat akun baru, dan data sudah sesuai semuanya, tapi selalu gagal registrasi ""alamat tidak sesuai"" katanya, tolong dong kemensos aplikasi nya diperbaiki, banyak orang yg membutuhkan, masih banyak orang yang kurang mampu belum"&amp;" mendapatkan bansos.")</f>
        <v>Berkali masukkan data untuk buat akun baru, dan data sudah sesuai semuanya, tapi selalu gagal registrasi "alamat tidak sesuai" katanya, tolong dong kemensos aplikasi nya diperbaiki, banyak orang yg membutuhkan, masih banyak orang yang kurang mampu belum mendapatkan bansos.</v>
      </c>
      <c r="F246" s="17" t="str">
        <f>IFERROR(__xludf.DUMMYFUNCTION("REGEXREPLACE(E246,$A$6, )"),"Berkali masukkan data untuk buat akun baru dan data sudah sesuai semuanya tapi selalu gagal registrasi alamat tidak sesuai katanya tolong dong kemensos aplikasi nya diperbaiki banyak orang yg membutuhkan masih banyak orang yang kurang mampu belum mendapat"&amp;"kan bansos")</f>
        <v>Berkali masukkan data untuk buat akun baru dan data sudah sesuai semuanya tapi selalu gagal registrasi alamat tidak sesuai katanya tolong dong kemensos aplikasi nya diperbaiki banyak orang yg membutuhkan masih banyak orang yang kurang mampu belum mendapatkan bansos</v>
      </c>
      <c r="G246" s="18" t="str">
        <f>IFERROR(__xludf.DUMMYFUNCTION("REGEXREPLACE(F246,$A$7, )"),"Berkali masukkan data untuk buat akun baru dan data sudah sesuai semuanya tapi selalu gagal registrasi alamat tidak sesuai katanya tolong dong kemensos aplikasi nya diperbaiki banyak orang yg membutuhkan masih banyak orang yang kurang mampu belum mendapat"&amp;"kan bansos")</f>
        <v>Berkali masukkan data untuk buat akun baru dan data sudah sesuai semuanya tapi selalu gagal registrasi alamat tidak sesuai katanya tolong dong kemensos aplikasi nya diperbaiki banyak orang yg membutuhkan masih banyak orang yang kurang mampu belum mendapatkan bansos</v>
      </c>
      <c r="H246" s="17" t="str">
        <f t="shared" si="1"/>
        <v>berkali masukkan data untuk buat akun baru dan data sudah sesuai semuanya tapi selalu gagal registrasi alamat tidak sesuai katanya tolong dong kemensos aplikasi nya diperbaiki banyak orang yg membutuhkan masih banyak orang yang kurang mampu belum mendapatkan bansos</v>
      </c>
    </row>
    <row r="247">
      <c r="A247" s="16" t="s">
        <v>242</v>
      </c>
      <c r="B247" s="17" t="str">
        <f>IFERROR(__xludf.DUMMYFUNCTION("REGEXREPLACE(A247,$A$2, )"),"Aku hanya mau bilang, kesaaaaallll berapa kali login gagal, dan pilih lupa fswd eh malah situsnya gak resmi, skala pemerintah lo ini...")</f>
        <v>Aku hanya mau bilang, kesaaaaallll berapa kali login gagal, dan pilih lupa fswd eh malah situsnya gak resmi, skala pemerintah lo ini...</v>
      </c>
      <c r="C247" s="17" t="str">
        <f>IFERROR(__xludf.DUMMYFUNCTION("REGEXREPLACE(B247,$A$3, )"),"Aku hanya mau bilang, kesaaaaallll berapa kali login gagal, dan pilih lupa fswd eh malah situsnya gak resmi, skala pemerintah lo ini...")</f>
        <v>Aku hanya mau bilang, kesaaaaallll berapa kali login gagal, dan pilih lupa fswd eh malah situsnya gak resmi, skala pemerintah lo ini...</v>
      </c>
      <c r="D247" s="17" t="str">
        <f>IFERROR(__xludf.DUMMYFUNCTION("REGEXREPLACE(C247,$A$4, )"),"Aku hanya mau bilang, kesaaaaallll berapa kali login gagal, dan pilih lupa fswd eh malah situsnya gak resmi, skala pemerintah lo ini...")</f>
        <v>Aku hanya mau bilang, kesaaaaallll berapa kali login gagal, dan pilih lupa fswd eh malah situsnya gak resmi, skala pemerintah lo ini...</v>
      </c>
      <c r="E247" s="17" t="str">
        <f>IFERROR(__xludf.DUMMYFUNCTION("REGEXREPLACE(D247,$A$5, )"),"Aku hanya mau bilang, kesaaaaallll berapa kali login gagal, dan pilih lupa fswd eh malah situsnya gak resmi, skala pemerintah lo ini...")</f>
        <v>Aku hanya mau bilang, kesaaaaallll berapa kali login gagal, dan pilih lupa fswd eh malah situsnya gak resmi, skala pemerintah lo ini...</v>
      </c>
      <c r="F247" s="17" t="str">
        <f>IFERROR(__xludf.DUMMYFUNCTION("REGEXREPLACE(E247,$A$6, )"),"Aku hanya mau bilang kesaaaaallll berapa kali login gagal dan pilih lupa fswd eh malah situsnya gak resmi skala pemerintah lo ini")</f>
        <v>Aku hanya mau bilang kesaaaaallll berapa kali login gagal dan pilih lupa fswd eh malah situsnya gak resmi skala pemerintah lo ini</v>
      </c>
      <c r="G247" s="18" t="str">
        <f>IFERROR(__xludf.DUMMYFUNCTION("REGEXREPLACE(F247,$A$7, )"),"Aku hanya mau bilang kesaaaaallll berapa kali login gagal dan pilih lupa fswd eh malah situsnya gak resmi skala pemerintah lo ini")</f>
        <v>Aku hanya mau bilang kesaaaaallll berapa kali login gagal dan pilih lupa fswd eh malah situsnya gak resmi skala pemerintah lo ini</v>
      </c>
      <c r="H247" s="17" t="str">
        <f t="shared" si="1"/>
        <v>aku hanya mau bilang kesaaaaallll berapa kali login gagal dan pilih lupa fswd eh malah situsnya gak resmi skala pemerintah lo ini</v>
      </c>
    </row>
    <row r="248">
      <c r="A248" s="16" t="s">
        <v>243</v>
      </c>
      <c r="B248" s="17" t="str">
        <f>IFERROR(__xludf.DUMMYFUNCTION("REGEXREPLACE(A248,$A$2, )"),"Aplikasi g jlas, daftar pengguna baru 3 kali eror terus")</f>
        <v>Aplikasi g jlas, daftar pengguna baru 3 kali eror terus</v>
      </c>
      <c r="C248" s="17" t="str">
        <f>IFERROR(__xludf.DUMMYFUNCTION("REGEXREPLACE(B248,$A$3, )"),"Aplikasi g jlas, daftar pengguna baru 3 kali eror terus")</f>
        <v>Aplikasi g jlas, daftar pengguna baru 3 kali eror terus</v>
      </c>
      <c r="D248" s="17" t="str">
        <f>IFERROR(__xludf.DUMMYFUNCTION("REGEXREPLACE(C248,$A$4, )"),"Aplikasi g jlas, daftar pengguna baru 3 kali eror terus")</f>
        <v>Aplikasi g jlas, daftar pengguna baru 3 kali eror terus</v>
      </c>
      <c r="E248" s="17" t="str">
        <f>IFERROR(__xludf.DUMMYFUNCTION("REGEXREPLACE(D248,$A$5, )"),"Aplikasi g jlas, daftar pengguna baru  kali eror terus")</f>
        <v>Aplikasi g jlas, daftar pengguna baru  kali eror terus</v>
      </c>
      <c r="F248" s="17" t="str">
        <f>IFERROR(__xludf.DUMMYFUNCTION("REGEXREPLACE(E248,$A$6, )"),"Aplikasi g jlas daftar pengguna baru  kali eror terus")</f>
        <v>Aplikasi g jlas daftar pengguna baru  kali eror terus</v>
      </c>
      <c r="G248" s="18" t="str">
        <f>IFERROR(__xludf.DUMMYFUNCTION("REGEXREPLACE(F248,$A$7, )"),"Aplikasi g jlas daftar pengguna baru  kali eror terus")</f>
        <v>Aplikasi g jlas daftar pengguna baru  kali eror terus</v>
      </c>
      <c r="H248" s="17" t="str">
        <f t="shared" si="1"/>
        <v>aplikasi g jlas daftar pengguna baru  kali eror terus</v>
      </c>
    </row>
    <row r="249">
      <c r="A249" s="16" t="s">
        <v>244</v>
      </c>
      <c r="B249" s="17" t="str">
        <f>IFERROR(__xludf.DUMMYFUNCTION("REGEXREPLACE(A249,$A$2, )"),"Aplikasi yang dibuat dengan sangat buruk dan tidak matang. Banyak sekali bug, bug UI, bug untuk regist email dan username, koneksi eror dengan DB, untuk aplikasi yang akan digunakan banyak orang ini sudah sangat parah sekali. Carilah orang yang profession"&amp;"al dan berpengalaman, jangan pakai jalur dalam. Menyusahkan orang saja")</f>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c r="C249" s="17" t="str">
        <f>IFERROR(__xludf.DUMMYFUNCTION("REGEXREPLACE(B249,$A$3, )"),"Aplikasi yang dibuat dengan sangat buruk dan tidak matang. Banyak sekali bug, bug UI, bug untuk regist email dan username, koneksi eror dengan DB, untuk aplikasi yang akan digunakan banyak orang ini sudah sangat parah sekali. Carilah orang yang profession"&amp;"al dan berpengalaman, jangan pakai jalur dalam. Menyusahkan orang saja")</f>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c r="D249" s="17" t="str">
        <f>IFERROR(__xludf.DUMMYFUNCTION("REGEXREPLACE(C249,$A$4, )"),"Aplikasi yang dibuat dengan sangat buruk dan tidak matang. Banyak sekali bug, bug UI, bug untuk regist email dan username, koneksi eror dengan DB, untuk aplikasi yang akan digunakan banyak orang ini sudah sangat parah sekali. Carilah orang yang profession"&amp;"al dan berpengalaman, jangan pakai jalur dalam. Menyusahkan orang saja")</f>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c r="E249" s="17" t="str">
        <f>IFERROR(__xludf.DUMMYFUNCTION("REGEXREPLACE(D249,$A$5, )"),"Aplikasi yang dibuat dengan sangat buruk dan tidak matang. Banyak sekali bug, bug UI, bug untuk regist email dan username, koneksi eror dengan DB, untuk aplikasi yang akan digunakan banyak orang ini sudah sangat parah sekali. Carilah orang yang profession"&amp;"al dan berpengalaman, jangan pakai jalur dalam. Menyusahkan orang saja")</f>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c r="F249" s="17" t="str">
        <f>IFERROR(__xludf.DUMMYFUNCTION("REGEXREPLACE(E249,$A$6, )"),"Aplikasi yang dibuat dengan sangat buruk dan tidak matang Banyak sekali bug bug UI bug untuk regist email dan username koneksi eror dengan DB untuk aplikasi yang akan digunakan banyak orang ini sudah sangat parah sekali Carilah orang yang professional dan"&amp;" berpengalaman jangan pakai jalur dalam Menyusahkan orang saja")</f>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c r="G249" s="18" t="str">
        <f>IFERROR(__xludf.DUMMYFUNCTION("REGEXREPLACE(F249,$A$7, )"),"Aplikasi yang dibuat dengan sangat buruk dan tidak matang Banyak sekali bug bug UI bug untuk regist email dan username koneksi eror dengan DB untuk aplikasi yang akan digunakan banyak orang ini sudah sangat parah sekali Carilah orang yang professional dan"&amp;" berpengalaman jangan pakai jalur dalam Menyusahkan orang saja")</f>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c r="H249" s="17" t="str">
        <f t="shared" si="1"/>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row>
    <row r="250">
      <c r="A250" s="16" t="s">
        <v>245</v>
      </c>
      <c r="B250" s="17" t="str">
        <f>IFERROR(__xludf.DUMMYFUNCTION("REGEXREPLACE(A250,$A$2, )"),"Keren si logo nya kemetrian sosial republik indonesia cukup meyakin kan tapi ga ada gunanya sama sekali apk nya")</f>
        <v>Keren si logo nya kemetrian sosial republik indonesia cukup meyakin kan tapi ga ada gunanya sama sekali apk nya</v>
      </c>
      <c r="C250" s="17" t="str">
        <f>IFERROR(__xludf.DUMMYFUNCTION("REGEXREPLACE(B250,$A$3, )"),"Keren si logo nya kemetrian sosial republik indonesia cukup meyakin kan tapi ga ada gunanya sama sekali apk nya")</f>
        <v>Keren si logo nya kemetrian sosial republik indonesia cukup meyakin kan tapi ga ada gunanya sama sekali apk nya</v>
      </c>
      <c r="D250" s="17" t="str">
        <f>IFERROR(__xludf.DUMMYFUNCTION("REGEXREPLACE(C250,$A$4, )"),"Keren si logo nya kemetrian sosial republik indonesia cukup meyakin kan tapi ga ada gunanya sama sekali apk nya")</f>
        <v>Keren si logo nya kemetrian sosial republik indonesia cukup meyakin kan tapi ga ada gunanya sama sekali apk nya</v>
      </c>
      <c r="E250" s="17" t="str">
        <f>IFERROR(__xludf.DUMMYFUNCTION("REGEXREPLACE(D250,$A$5, )"),"Keren si logo nya kemetrian sosial republik indonesia cukup meyakin kan tapi ga ada gunanya sama sekali apk nya")</f>
        <v>Keren si logo nya kemetrian sosial republik indonesia cukup meyakin kan tapi ga ada gunanya sama sekali apk nya</v>
      </c>
      <c r="F250" s="17" t="str">
        <f>IFERROR(__xludf.DUMMYFUNCTION("REGEXREPLACE(E250,$A$6, )"),"Keren si logo nya kemetrian sosial republik indonesia cukup meyakin kan tapi ga ada gunanya sama sekali apk nya")</f>
        <v>Keren si logo nya kemetrian sosial republik indonesia cukup meyakin kan tapi ga ada gunanya sama sekali apk nya</v>
      </c>
      <c r="G250" s="18" t="str">
        <f>IFERROR(__xludf.DUMMYFUNCTION("REGEXREPLACE(F250,$A$7, )"),"Keren si logo nya kemetrian sosial republik indonesia cukup meyakin kan tapi ga ada gunanya sama sekali apk nya")</f>
        <v>Keren si logo nya kemetrian sosial republik indonesia cukup meyakin kan tapi ga ada gunanya sama sekali apk nya</v>
      </c>
      <c r="H250" s="17" t="str">
        <f t="shared" si="1"/>
        <v>keren si logo nya kemetrian sosial republik indonesia cukup meyakin kan tapi ga ada gunanya sama sekali apk nya</v>
      </c>
    </row>
    <row r="251">
      <c r="A251" s="16" t="s">
        <v>246</v>
      </c>
      <c r="B251" s="17" t="str">
        <f>IFERROR(__xludf.DUMMYFUNCTION("REGEXREPLACE(A251,$A$2, )"),"Aplikasi gak bisa dibuka error teruss")</f>
        <v>Aplikasi gak bisa dibuka error teruss</v>
      </c>
      <c r="C251" s="17" t="str">
        <f>IFERROR(__xludf.DUMMYFUNCTION("REGEXREPLACE(B251,$A$3, )"),"Aplikasi gak bisa dibuka error teruss")</f>
        <v>Aplikasi gak bisa dibuka error teruss</v>
      </c>
      <c r="D251" s="17" t="str">
        <f>IFERROR(__xludf.DUMMYFUNCTION("REGEXREPLACE(C251,$A$4, )"),"Aplikasi gak bisa dibuka error teruss")</f>
        <v>Aplikasi gak bisa dibuka error teruss</v>
      </c>
      <c r="E251" s="17" t="str">
        <f>IFERROR(__xludf.DUMMYFUNCTION("REGEXREPLACE(D251,$A$5, )"),"Aplikasi gak bisa dibuka error teruss")</f>
        <v>Aplikasi gak bisa dibuka error teruss</v>
      </c>
      <c r="F251" s="17" t="str">
        <f>IFERROR(__xludf.DUMMYFUNCTION("REGEXREPLACE(E251,$A$6, )"),"Aplikasi gak bisa dibuka error teruss")</f>
        <v>Aplikasi gak bisa dibuka error teruss</v>
      </c>
      <c r="G251" s="18" t="str">
        <f>IFERROR(__xludf.DUMMYFUNCTION("REGEXREPLACE(F251,$A$7, )"),"Aplikasi gak bisa dibuka error teruss")</f>
        <v>Aplikasi gak bisa dibuka error teruss</v>
      </c>
      <c r="H251" s="17" t="str">
        <f t="shared" si="1"/>
        <v>aplikasi gak bisa dibuka error teruss</v>
      </c>
    </row>
    <row r="252">
      <c r="A252" s="16" t="s">
        <v>247</v>
      </c>
      <c r="B252" s="17" t="str">
        <f>IFERROR(__xludf.DUMMYFUNCTION("REGEXREPLACE(A252,$A$2, )"),"Tolong diperbaik i eroor teros mau login nggak bisa email sama sandi sudah benar masih aja nggak bisa")</f>
        <v>Tolong diperbaik i eroor teros mau login nggak bisa email sama sandi sudah benar masih aja nggak bisa</v>
      </c>
      <c r="C252" s="17" t="str">
        <f>IFERROR(__xludf.DUMMYFUNCTION("REGEXREPLACE(B252,$A$3, )"),"Tolong diperbaik i eroor teros mau login nggak bisa email sama sandi sudah benar masih aja nggak bisa")</f>
        <v>Tolong diperbaik i eroor teros mau login nggak bisa email sama sandi sudah benar masih aja nggak bisa</v>
      </c>
      <c r="D252" s="17" t="str">
        <f>IFERROR(__xludf.DUMMYFUNCTION("REGEXREPLACE(C252,$A$4, )"),"Tolong diperbaik i eroor teros mau login nggak bisa email sama sandi sudah benar masih aja nggak bisa")</f>
        <v>Tolong diperbaik i eroor teros mau login nggak bisa email sama sandi sudah benar masih aja nggak bisa</v>
      </c>
      <c r="E252" s="17" t="str">
        <f>IFERROR(__xludf.DUMMYFUNCTION("REGEXREPLACE(D252,$A$5, )"),"Tolong diperbaik i eroor teros mau login nggak bisa email sama sandi sudah benar masih aja nggak bisa")</f>
        <v>Tolong diperbaik i eroor teros mau login nggak bisa email sama sandi sudah benar masih aja nggak bisa</v>
      </c>
      <c r="F252" s="17" t="str">
        <f>IFERROR(__xludf.DUMMYFUNCTION("REGEXREPLACE(E252,$A$6, )"),"Tolong diperbaik i eroor teros mau login nggak bisa email sama sandi sudah benar masih aja nggak bisa")</f>
        <v>Tolong diperbaik i eroor teros mau login nggak bisa email sama sandi sudah benar masih aja nggak bisa</v>
      </c>
      <c r="G252" s="18" t="str">
        <f>IFERROR(__xludf.DUMMYFUNCTION("REGEXREPLACE(F252,$A$7, )"),"Tolong diperbaik i eroor teros mau login nggak bisa email sama sandi sudah benar masih aja nggak bisa")</f>
        <v>Tolong diperbaik i eroor teros mau login nggak bisa email sama sandi sudah benar masih aja nggak bisa</v>
      </c>
      <c r="H252" s="17" t="str">
        <f t="shared" si="1"/>
        <v>tolong diperbaik i eroor teros mau login nggak bisa email sama sandi sudah benar masih aja nggak bisa</v>
      </c>
    </row>
    <row r="253">
      <c r="A253" s="16" t="s">
        <v>248</v>
      </c>
      <c r="B253" s="17" t="str">
        <f>IFERROR(__xludf.DUMMYFUNCTION("REGEXREPLACE(A253,$A$2, )"),"Aplikasi mudah d download,setelah d isi pendataan, tp username password tyus,,tlong aplikasi yg benar "" matang,agr warga yg TDK mampu seperti saya bsa mendaftar kn diri,karna saya juga seperti mereka yg membutuhkan bantuan dari pemerintah")</f>
        <v>Aplikasi mudah d download,setelah d isi pendataan, tp username password tyus,,tlong aplikasi yg benar " matang,agr warga yg TDK mampu seperti saya bsa mendaftar kn diri,karna saya juga seperti mereka yg membutuhkan bantuan dari pemerintah</v>
      </c>
      <c r="C253" s="17" t="str">
        <f>IFERROR(__xludf.DUMMYFUNCTION("REGEXREPLACE(B253,$A$3, )"),"Aplikasi mudah d download,setelah d isi pendataan, tp username password tyus,,tlong aplikasi yg benar "" matang,agr warga yg TDK mampu seperti saya bsa mendaftar kn diri,karna saya juga seperti mereka yg membutuhkan bantuan dari pemerintah")</f>
        <v>Aplikasi mudah d download,setelah d isi pendataan, tp username password tyus,,tlong aplikasi yg benar " matang,agr warga yg TDK mampu seperti saya bsa mendaftar kn diri,karna saya juga seperti mereka yg membutuhkan bantuan dari pemerintah</v>
      </c>
      <c r="D253" s="17" t="str">
        <f>IFERROR(__xludf.DUMMYFUNCTION("REGEXREPLACE(C253,$A$4, )"),"Aplikasi mudah d download,setelah d isi pendataan, tp username password tyus,,tlong aplikasi yg benar "" matang,agr warga yg TDK mampu seperti saya bsa mendaftar kn diri,karna saya juga seperti mereka yg membutuhkan bantuan dari pemerintah")</f>
        <v>Aplikasi mudah d download,setelah d isi pendataan, tp username password tyus,,tlong aplikasi yg benar " matang,agr warga yg TDK mampu seperti saya bsa mendaftar kn diri,karna saya juga seperti mereka yg membutuhkan bantuan dari pemerintah</v>
      </c>
      <c r="E253" s="17" t="str">
        <f>IFERROR(__xludf.DUMMYFUNCTION("REGEXREPLACE(D253,$A$5, )"),"Aplikasi mudah d download,setelah d isi pendataan, tp username password tyus,,tlong aplikasi yg benar "" matang,agr warga yg TDK mampu seperti saya bsa mendaftar kn diri,karna saya juga seperti mereka yg membutuhkan bantuan dari pemerintah")</f>
        <v>Aplikasi mudah d download,setelah d isi pendataan, tp username password tyus,,tlong aplikasi yg benar " matang,agr warga yg TDK mampu seperti saya bsa mendaftar kn diri,karna saya juga seperti mereka yg membutuhkan bantuan dari pemerintah</v>
      </c>
      <c r="F253" s="17" t="str">
        <f>IFERROR(__xludf.DUMMYFUNCTION("REGEXREPLACE(E253,$A$6, )"),"Aplikasi mudah d downloadsetelah d isi pendataan tp username password tyustlong aplikasi yg benar  matangagr warga yg TDK mampu seperti saya bsa mendaftar kn dirikarna saya juga seperti mereka yg membutuhkan bantuan dari pemerintah")</f>
        <v>Aplikasi mudah d downloadsetelah d isi pendataan tp username password tyustlong aplikasi yg benar  matangagr warga yg TDK mampu seperti saya bsa mendaftar kn dirikarna saya juga seperti mereka yg membutuhkan bantuan dari pemerintah</v>
      </c>
      <c r="G253" s="18" t="str">
        <f>IFERROR(__xludf.DUMMYFUNCTION("REGEXREPLACE(F253,$A$7, )"),"Aplikasi mudah d downloadsetelah d isi pendataan tp username password tyustlong aplikasi yg benar  matangagr warga yg TDK mampu seperti saya bsa mendaftar kn dirikarna saya juga seperti mereka yg membutuhkan bantuan dari pemerintah")</f>
        <v>Aplikasi mudah d downloadsetelah d isi pendataan tp username password tyustlong aplikasi yg benar  matangagr warga yg TDK mampu seperti saya bsa mendaftar kn dirikarna saya juga seperti mereka yg membutuhkan bantuan dari pemerintah</v>
      </c>
      <c r="H253" s="17" t="str">
        <f t="shared" si="1"/>
        <v>aplikasi mudah d downloadsetelah d isi pendataan tp username password tyustlong aplikasi yg benar  matangagr warga yg tdk mampu seperti saya bsa mendaftar kn dirikarna saya juga seperti mereka yg membutuhkan bantuan dari pemerintah</v>
      </c>
    </row>
    <row r="254">
      <c r="A254" s="16" t="s">
        <v>249</v>
      </c>
      <c r="B254" s="17" t="str">
        <f>IFERROR(__xludf.DUMMYFUNCTION("REGEXREPLACE(A254,$A$2, )"),"Maksudnya ini gmn kok eror terus Udh nunggu lama tapi tetep gitu Semoga cpt di perbarui tolong jgn dibikin ribet")</f>
        <v>Maksudnya ini gmn kok eror terus Udh nunggu lama tapi tetep gitu Semoga cpt di perbarui tolong jgn dibikin ribet</v>
      </c>
      <c r="C254" s="17" t="str">
        <f>IFERROR(__xludf.DUMMYFUNCTION("REGEXREPLACE(B254,$A$3, )"),"Maksudnya ini gmn kok eror terus Udh nunggu lama tapi tetep gitu Semoga cpt di perbarui tolong jgn dibikin ribet")</f>
        <v>Maksudnya ini gmn kok eror terus Udh nunggu lama tapi tetep gitu Semoga cpt di perbarui tolong jgn dibikin ribet</v>
      </c>
      <c r="D254" s="17" t="str">
        <f>IFERROR(__xludf.DUMMYFUNCTION("REGEXREPLACE(C254,$A$4, )"),"Maksudnya ini gmn kok eror terus Udh nunggu lama tapi tetep gitu Semoga cpt di perbarui tolong jgn dibikin ribet")</f>
        <v>Maksudnya ini gmn kok eror terus Udh nunggu lama tapi tetep gitu Semoga cpt di perbarui tolong jgn dibikin ribet</v>
      </c>
      <c r="E254" s="17" t="str">
        <f>IFERROR(__xludf.DUMMYFUNCTION("REGEXREPLACE(D254,$A$5, )"),"Maksudnya ini gmn kok eror terus Udh nunggu lama tapi tetep gitu Semoga cpt di perbarui tolong jgn dibikin ribet")</f>
        <v>Maksudnya ini gmn kok eror terus Udh nunggu lama tapi tetep gitu Semoga cpt di perbarui tolong jgn dibikin ribet</v>
      </c>
      <c r="F254" s="17" t="str">
        <f>IFERROR(__xludf.DUMMYFUNCTION("REGEXREPLACE(E254,$A$6, )"),"Maksudnya ini gmn kok eror terus Udh nunggu lama tapi tetep gitu Semoga cpt di perbarui tolong jgn dibikin ribet")</f>
        <v>Maksudnya ini gmn kok eror terus Udh nunggu lama tapi tetep gitu Semoga cpt di perbarui tolong jgn dibikin ribet</v>
      </c>
      <c r="G254" s="18" t="str">
        <f>IFERROR(__xludf.DUMMYFUNCTION("REGEXREPLACE(F254,$A$7, )"),"Maksudnya ini gmn kok eror terus Udh nunggu lama tapi tetep gitu Semoga cpt di perbarui tolong jgn dibikin ribet")</f>
        <v>Maksudnya ini gmn kok eror terus Udh nunggu lama tapi tetep gitu Semoga cpt di perbarui tolong jgn dibikin ribet</v>
      </c>
      <c r="H254" s="17" t="str">
        <f t="shared" si="1"/>
        <v>maksudnya ini gmn kok eror terus udh nunggu lama tapi tetep gitu semoga cpt di perbarui tolong jgn dibikin ribet</v>
      </c>
    </row>
    <row r="255">
      <c r="A255" s="16" t="s">
        <v>250</v>
      </c>
      <c r="B255" s="17" t="str">
        <f>IFERROR(__xludf.DUMMYFUNCTION("REGEXREPLACE(A255,$A$2, )"),"Apk aneh selalu *error json parse* mulu ... Tolong dong admin dibenerin aplikasinya..masa buruk begini")</f>
        <v>Apk aneh selalu *error json parse* mulu ... Tolong dong admin dibenerin aplikasinya..masa buruk begini</v>
      </c>
      <c r="C255" s="17" t="str">
        <f>IFERROR(__xludf.DUMMYFUNCTION("REGEXREPLACE(B255,$A$3, )"),"Apk aneh selalu *error json parse* mulu ... Tolong dong admin dibenerin aplikasinya..masa buruk begini")</f>
        <v>Apk aneh selalu *error json parse* mulu ... Tolong dong admin dibenerin aplikasinya..masa buruk begini</v>
      </c>
      <c r="D255" s="17" t="str">
        <f>IFERROR(__xludf.DUMMYFUNCTION("REGEXREPLACE(C255,$A$4, )"),"Apk aneh selalu *error json parse* mulu ... Tolong dong admin dibenerin aplikasinya..masa buruk begini")</f>
        <v>Apk aneh selalu *error json parse* mulu ... Tolong dong admin dibenerin aplikasinya..masa buruk begini</v>
      </c>
      <c r="E255" s="17" t="str">
        <f>IFERROR(__xludf.DUMMYFUNCTION("REGEXREPLACE(D255,$A$5, )"),"Apk aneh selalu *error json parse* mulu ... Tolong dong admin dibenerin aplikasinya..masa buruk begini")</f>
        <v>Apk aneh selalu *error json parse* mulu ... Tolong dong admin dibenerin aplikasinya..masa buruk begini</v>
      </c>
      <c r="F255" s="17" t="str">
        <f>IFERROR(__xludf.DUMMYFUNCTION("REGEXREPLACE(E255,$A$6, )"),"Apk aneh selalu *error json parse* mulu  Tolong dong admin dibenerin aplikasinyamasa buruk begini")</f>
        <v>Apk aneh selalu *error json parse* mulu  Tolong dong admin dibenerin aplikasinyamasa buruk begini</v>
      </c>
      <c r="G255" s="18" t="str">
        <f>IFERROR(__xludf.DUMMYFUNCTION("REGEXREPLACE(F255,$A$7, )"),"Apk aneh selalu error json parse mulu  Tolong dong admin dibenerin aplikasinyamasa buruk begini")</f>
        <v>Apk aneh selalu error json parse mulu  Tolong dong admin dibenerin aplikasinyamasa buruk begini</v>
      </c>
      <c r="H255" s="17" t="str">
        <f t="shared" si="1"/>
        <v>apk aneh selalu error json parse mulu  tolong dong admin dibenerin aplikasinyamasa buruk begini</v>
      </c>
    </row>
    <row r="256">
      <c r="A256" s="16" t="s">
        <v>251</v>
      </c>
      <c r="B256" s="17" t="str">
        <f>IFERROR(__xludf.DUMMYFUNCTION("REGEXREPLACE(A256,$A$2, )"),"Sangat buruk, app ini seperti mencuri data saja, hanya untuk daftar dan menunggu aktifasi melalui email. 2 minggu email aktifasi tidak muncul², HANYA UNTUK LOGIN SAJA..!!! saran saya google menghapus app ini. Very super duper Bad App.")</f>
        <v>Sangat buruk, app ini seperti mencuri data saja, hanya untuk daftar dan menunggu aktifasi melalui email. 2 minggu email aktifasi tidak muncul², HANYA UNTUK LOGIN SAJA..!!! saran saya google menghapus app ini. Very super duper Bad App.</v>
      </c>
      <c r="C256" s="17" t="str">
        <f>IFERROR(__xludf.DUMMYFUNCTION("REGEXREPLACE(B256,$A$3, )"),"Sangat buruk, app ini seperti mencuri data saja, hanya untuk daftar dan menunggu aktifasi melalui email. 2 minggu email aktifasi tidak muncul², HANYA UNTUK LOGIN SAJA..!!! saran saya google menghapus app ini. Very super duper Bad App.")</f>
        <v>Sangat buruk, app ini seperti mencuri data saja, hanya untuk daftar dan menunggu aktifasi melalui email. 2 minggu email aktifasi tidak muncul², HANYA UNTUK LOGIN SAJA..!!! saran saya google menghapus app ini. Very super duper Bad App.</v>
      </c>
      <c r="D256" s="17" t="str">
        <f>IFERROR(__xludf.DUMMYFUNCTION("REGEXREPLACE(C256,$A$4, )"),"Sangat buruk, app ini seperti mencuri data saja, hanya untuk daftar dan menunggu aktifasi melalui email. 2 minggu email aktifasi tidak muncul², HANYA UNTUK LOGIN SAJA..!!! saran saya google menghapus app ini. Very super duper Bad App.")</f>
        <v>Sangat buruk, app ini seperti mencuri data saja, hanya untuk daftar dan menunggu aktifasi melalui email. 2 minggu email aktifasi tidak muncul², HANYA UNTUK LOGIN SAJA..!!! saran saya google menghapus app ini. Very super duper Bad App.</v>
      </c>
      <c r="E256" s="17" t="str">
        <f>IFERROR(__xludf.DUMMYFUNCTION("REGEXREPLACE(D256,$A$5, )"),"Sangat buruk, app ini seperti mencuri data saja, hanya untuk daftar dan menunggu aktifasi melalui email.  minggu email aktifasi tidak muncul², HANYA UNTUK LOGIN SAJA..!!! saran saya google menghapus app ini. Very super duper Bad App.")</f>
        <v>Sangat buruk, app ini seperti mencuri data saja, hanya untuk daftar dan menunggu aktifasi melalui email.  minggu email aktifasi tidak muncul², HANYA UNTUK LOGIN SAJA..!!! saran saya google menghapus app ini. Very super duper Bad App.</v>
      </c>
      <c r="F256" s="17" t="str">
        <f>IFERROR(__xludf.DUMMYFUNCTION("REGEXREPLACE(E256,$A$6, )"),"Sangat buruk app ini seperti mencuri data saja hanya untuk daftar dan menunggu aktifasi melalui email  minggu email aktifasi tidak muncul² HANYA UNTUK LOGIN SAJA saran saya google menghapus app ini Very super duper Bad App")</f>
        <v>Sangat buruk app ini seperti mencuri data saja hanya untuk daftar dan menunggu aktifasi melalui email  minggu email aktifasi tidak muncul² HANYA UNTUK LOGIN SAJA saran saya google menghapus app ini Very super duper Bad App</v>
      </c>
      <c r="G256" s="18" t="str">
        <f>IFERROR(__xludf.DUMMYFUNCTION("REGEXREPLACE(F256,$A$7, )"),"Sangat buruk app ini seperti mencuri data saja hanya untuk daftar dan menunggu aktifasi melalui email  minggu email aktifasi tidak muncul² HANYA UNTUK LOGIN SAJA saran saya google menghapus app ini Very super duper Bad App")</f>
        <v>Sangat buruk app ini seperti mencuri data saja hanya untuk daftar dan menunggu aktifasi melalui email  minggu email aktifasi tidak muncul² HANYA UNTUK LOGIN SAJA saran saya google menghapus app ini Very super duper Bad App</v>
      </c>
      <c r="H256" s="17" t="str">
        <f t="shared" si="1"/>
        <v>sangat buruk app ini seperti mencuri data saja hanya untuk daftar dan menunggu aktifasi melalui email  minggu email aktifasi tidak muncul² hanya untuk login saja saran saya google menghapus app ini very super duper bad app</v>
      </c>
    </row>
    <row r="257">
      <c r="A257" s="16" t="s">
        <v>252</v>
      </c>
      <c r="B257" s="17" t="str">
        <f>IFERROR(__xludf.DUMMYFUNCTION("REGEXREPLACE(A257,$A$2, )"),"Gak bisa login.. udah coba lupa kata sandi.. tetap gak bisa.. ribet")</f>
        <v>Gak bisa login.. udah coba lupa kata sandi.. tetap gak bisa.. ribet</v>
      </c>
      <c r="C257" s="17" t="str">
        <f>IFERROR(__xludf.DUMMYFUNCTION("REGEXREPLACE(B257,$A$3, )"),"Gak bisa login.. udah coba lupa kata sandi.. tetap gak bisa.. ribet")</f>
        <v>Gak bisa login.. udah coba lupa kata sandi.. tetap gak bisa.. ribet</v>
      </c>
      <c r="D257" s="17" t="str">
        <f>IFERROR(__xludf.DUMMYFUNCTION("REGEXREPLACE(C257,$A$4, )"),"Gak bisa login.. udah coba lupa kata sandi.. tetap gak bisa.. ribet")</f>
        <v>Gak bisa login.. udah coba lupa kata sandi.. tetap gak bisa.. ribet</v>
      </c>
      <c r="E257" s="17" t="str">
        <f>IFERROR(__xludf.DUMMYFUNCTION("REGEXREPLACE(D257,$A$5, )"),"Gak bisa login.. udah coba lupa kata sandi.. tetap gak bisa.. ribet")</f>
        <v>Gak bisa login.. udah coba lupa kata sandi.. tetap gak bisa.. ribet</v>
      </c>
      <c r="F257" s="17" t="str">
        <f>IFERROR(__xludf.DUMMYFUNCTION("REGEXREPLACE(E257,$A$6, )"),"Gak bisa login udah coba lupa kata sandi tetap gak bisa ribet")</f>
        <v>Gak bisa login udah coba lupa kata sandi tetap gak bisa ribet</v>
      </c>
      <c r="G257" s="18" t="str">
        <f>IFERROR(__xludf.DUMMYFUNCTION("REGEXREPLACE(F257,$A$7, )"),"Gak bisa login udah coba lupa kata sandi tetap gak bisa ribet")</f>
        <v>Gak bisa login udah coba lupa kata sandi tetap gak bisa ribet</v>
      </c>
      <c r="H257" s="17" t="str">
        <f t="shared" si="1"/>
        <v>gak bisa login udah coba lupa kata sandi tetap gak bisa ribet</v>
      </c>
    </row>
    <row r="258">
      <c r="A258" s="16" t="s">
        <v>253</v>
      </c>
      <c r="B258" s="17" t="str">
        <f>IFERROR(__xludf.DUMMYFUNCTION("REGEXREPLACE(A258,$A$2, )"),"sllu eror tolong di perbaiki karna sangat susah untuk masuk")</f>
        <v>sllu eror tolong di perbaiki karna sangat susah untuk masuk</v>
      </c>
      <c r="C258" s="17" t="str">
        <f>IFERROR(__xludf.DUMMYFUNCTION("REGEXREPLACE(B258,$A$3, )"),"sllu eror tolong di perbaiki karna sangat susah untuk masuk")</f>
        <v>sllu eror tolong di perbaiki karna sangat susah untuk masuk</v>
      </c>
      <c r="D258" s="17" t="str">
        <f>IFERROR(__xludf.DUMMYFUNCTION("REGEXREPLACE(C258,$A$4, )"),"sllu eror tolong di perbaiki karna sangat susah untuk masuk")</f>
        <v>sllu eror tolong di perbaiki karna sangat susah untuk masuk</v>
      </c>
      <c r="E258" s="17" t="str">
        <f>IFERROR(__xludf.DUMMYFUNCTION("REGEXREPLACE(D258,$A$5, )"),"sllu eror tolong di perbaiki karna sangat susah untuk masuk")</f>
        <v>sllu eror tolong di perbaiki karna sangat susah untuk masuk</v>
      </c>
      <c r="F258" s="17" t="str">
        <f>IFERROR(__xludf.DUMMYFUNCTION("REGEXREPLACE(E258,$A$6, )"),"sllu eror tolong di perbaiki karna sangat susah untuk masuk")</f>
        <v>sllu eror tolong di perbaiki karna sangat susah untuk masuk</v>
      </c>
      <c r="G258" s="18" t="str">
        <f>IFERROR(__xludf.DUMMYFUNCTION("REGEXREPLACE(F258,$A$7, )"),"sllu eror tolong di perbaiki karna sangat susah untuk masuk")</f>
        <v>sllu eror tolong di perbaiki karna sangat susah untuk masuk</v>
      </c>
      <c r="H258" s="17" t="str">
        <f t="shared" si="1"/>
        <v>sllu eror tolong di perbaiki karna sangat susah untuk masuk</v>
      </c>
    </row>
    <row r="259">
      <c r="A259" s="16" t="s">
        <v>254</v>
      </c>
      <c r="B259" s="17" t="str">
        <f>IFERROR(__xludf.DUMMYFUNCTION("REGEXREPLACE(A259,$A$2, )"),"Bagaimana mendaftar nya Klw erorr terus menerus Mohon untuk pihak yg bersangkutan Untuk memperbaiki Apk agar tidak erorr dalam mendaftar")</f>
        <v>Bagaimana mendaftar nya Klw erorr terus menerus Mohon untuk pihak yg bersangkutan Untuk memperbaiki Apk agar tidak erorr dalam mendaftar</v>
      </c>
      <c r="C259" s="17" t="str">
        <f>IFERROR(__xludf.DUMMYFUNCTION("REGEXREPLACE(B259,$A$3, )"),"Bagaimana mendaftar nya Klw erorr terus menerus Mohon untuk pihak yg bersangkutan Untuk memperbaiki Apk agar tidak erorr dalam mendaftar")</f>
        <v>Bagaimana mendaftar nya Klw erorr terus menerus Mohon untuk pihak yg bersangkutan Untuk memperbaiki Apk agar tidak erorr dalam mendaftar</v>
      </c>
      <c r="D259" s="17" t="str">
        <f>IFERROR(__xludf.DUMMYFUNCTION("REGEXREPLACE(C259,$A$4, )"),"Bagaimana mendaftar nya Klw erorr terus menerus Mohon untuk pihak yg bersangkutan Untuk memperbaiki Apk agar tidak erorr dalam mendaftar")</f>
        <v>Bagaimana mendaftar nya Klw erorr terus menerus Mohon untuk pihak yg bersangkutan Untuk memperbaiki Apk agar tidak erorr dalam mendaftar</v>
      </c>
      <c r="E259" s="17" t="str">
        <f>IFERROR(__xludf.DUMMYFUNCTION("REGEXREPLACE(D259,$A$5, )"),"Bagaimana mendaftar nya Klw erorr terus menerus Mohon untuk pihak yg bersangkutan Untuk memperbaiki Apk agar tidak erorr dalam mendaftar")</f>
        <v>Bagaimana mendaftar nya Klw erorr terus menerus Mohon untuk pihak yg bersangkutan Untuk memperbaiki Apk agar tidak erorr dalam mendaftar</v>
      </c>
      <c r="F259" s="17" t="str">
        <f>IFERROR(__xludf.DUMMYFUNCTION("REGEXREPLACE(E259,$A$6, )"),"Bagaimana mendaftar nya Klw erorr terus menerus Mohon untuk pihak yg bersangkutan Untuk memperbaiki Apk agar tidak erorr dalam mendaftar")</f>
        <v>Bagaimana mendaftar nya Klw erorr terus menerus Mohon untuk pihak yg bersangkutan Untuk memperbaiki Apk agar tidak erorr dalam mendaftar</v>
      </c>
      <c r="G259" s="18" t="str">
        <f>IFERROR(__xludf.DUMMYFUNCTION("REGEXREPLACE(F259,$A$7, )"),"Bagaimana mendaftar nya Klw erorr terus menerus Mohon untuk pihak yg bersangkutan Untuk memperbaiki Apk agar tidak erorr dalam mendaftar")</f>
        <v>Bagaimana mendaftar nya Klw erorr terus menerus Mohon untuk pihak yg bersangkutan Untuk memperbaiki Apk agar tidak erorr dalam mendaftar</v>
      </c>
      <c r="H259" s="17" t="str">
        <f t="shared" si="1"/>
        <v>bagaimana mendaftar nya klw erorr terus menerus mohon untuk pihak yg bersangkutan untuk memperbaiki apk agar tidak erorr dalam mendaftar</v>
      </c>
    </row>
    <row r="260">
      <c r="A260" s="16" t="s">
        <v>255</v>
      </c>
      <c r="B260" s="17" t="str">
        <f>IFERROR(__xludf.DUMMYFUNCTION("REGEXREPLACE(A260,$A$2, )"),"Sudah berkali-kali daftar akun tp setelah isi data diri, mau login ndak bisa, di email jg tdk ada aktivasi, sering error jg, kalo gk bisa dipake mending hapus aja aplikasi cek bansos ini, kalo masih dipake mending diperbaiki lagi deh")</f>
        <v>Sudah berkali-kali daftar akun tp setelah isi data diri, mau login ndak bisa, di email jg tdk ada aktivasi, sering error jg, kalo gk bisa dipake mending hapus aja aplikasi cek bansos ini, kalo masih dipake mending diperbaiki lagi deh</v>
      </c>
      <c r="C260" s="17" t="str">
        <f>IFERROR(__xludf.DUMMYFUNCTION("REGEXREPLACE(B260,$A$3, )"),"Sudah berkali-kali daftar akun tp setelah isi data diri, mau login ndak bisa, di email jg tdk ada aktivasi, sering error jg, kalo gk bisa dipake mending hapus aja aplikasi cek bansos ini, kalo masih dipake mending diperbaiki lagi deh")</f>
        <v>Sudah berkali-kali daftar akun tp setelah isi data diri, mau login ndak bisa, di email jg tdk ada aktivasi, sering error jg, kalo gk bisa dipake mending hapus aja aplikasi cek bansos ini, kalo masih dipake mending diperbaiki lagi deh</v>
      </c>
      <c r="D260" s="17" t="str">
        <f>IFERROR(__xludf.DUMMYFUNCTION("REGEXREPLACE(C260,$A$4, )"),"Sudah berkali-kali daftar akun tp setelah isi data diri, mau login ndak bisa, di email jg tdk ada aktivasi, sering error jg, kalo gk bisa dipake mending hapus aja aplikasi cek bansos ini, kalo masih dipake mending diperbaiki lagi deh")</f>
        <v>Sudah berkali-kali daftar akun tp setelah isi data diri, mau login ndak bisa, di email jg tdk ada aktivasi, sering error jg, kalo gk bisa dipake mending hapus aja aplikasi cek bansos ini, kalo masih dipake mending diperbaiki lagi deh</v>
      </c>
      <c r="E260" s="17" t="str">
        <f>IFERROR(__xludf.DUMMYFUNCTION("REGEXREPLACE(D260,$A$5, )"),"Sudah berkali-kali daftar akun tp setelah isi data diri, mau login ndak bisa, di email jg tdk ada aktivasi, sering error jg, kalo gk bisa dipake mending hapus aja aplikasi cek bansos ini, kalo masih dipake mending diperbaiki lagi deh")</f>
        <v>Sudah berkali-kali daftar akun tp setelah isi data diri, mau login ndak bisa, di email jg tdk ada aktivasi, sering error jg, kalo gk bisa dipake mending hapus aja aplikasi cek bansos ini, kalo masih dipake mending diperbaiki lagi deh</v>
      </c>
      <c r="F260" s="17" t="str">
        <f>IFERROR(__xludf.DUMMYFUNCTION("REGEXREPLACE(E260,$A$6, )"),"Sudah berkalikali daftar akun tp setelah isi data diri mau login ndak bisa di email jg tdk ada aktivasi sering error jg kalo gk bisa dipake mending hapus aja aplikasi cek bansos ini kalo masih dipake mending diperbaiki lagi deh")</f>
        <v>Sudah berkalikali daftar akun tp setelah isi data diri mau login ndak bisa di email jg tdk ada aktivasi sering error jg kalo gk bisa dipake mending hapus aja aplikasi cek bansos ini kalo masih dipake mending diperbaiki lagi deh</v>
      </c>
      <c r="G260" s="18" t="str">
        <f>IFERROR(__xludf.DUMMYFUNCTION("REGEXREPLACE(F260,$A$7, )"),"Sudah berkalikali daftar akun tp setelah isi data diri mau login ndak bisa di email jg tdk ada aktivasi sering error jg kalo gk bisa dipake mending hapus aja aplikasi cek bansos ini kalo masih dipake mending diperbaiki lagi deh")</f>
        <v>Sudah berkalikali daftar akun tp setelah isi data diri mau login ndak bisa di email jg tdk ada aktivasi sering error jg kalo gk bisa dipake mending hapus aja aplikasi cek bansos ini kalo masih dipake mending diperbaiki lagi deh</v>
      </c>
      <c r="H260" s="17" t="str">
        <f t="shared" si="1"/>
        <v>sudah berkalikali daftar akun tp setelah isi data diri mau login ndak bisa di email jg tdk ada aktivasi sering error jg kalo gk bisa dipake mending hapus aja aplikasi cek bansos ini kalo masih dipake mending diperbaiki lagi deh</v>
      </c>
    </row>
    <row r="261">
      <c r="A261" s="16" t="s">
        <v>256</v>
      </c>
      <c r="B261" s="17" t="str">
        <f>IFERROR(__xludf.DUMMYFUNCTION("REGEXREPLACE(A261,$A$2, )"),"Selama saya hidup, baru nemuin apk SEMENJIJIKAN DAN SESAMPAH INI. Kemampuan pemerintah ya hanya bisa aplikasi kgini")</f>
        <v>Selama saya hidup, baru nemuin apk SEMENJIJIKAN DAN SESAMPAH INI. Kemampuan pemerintah ya hanya bisa aplikasi kgini</v>
      </c>
      <c r="C261" s="17" t="str">
        <f>IFERROR(__xludf.DUMMYFUNCTION("REGEXREPLACE(B261,$A$3, )"),"Selama saya hidup, baru nemuin apk SEMENJIJIKAN DAN SESAMPAH INI. Kemampuan pemerintah ya hanya bisa aplikasi kgini")</f>
        <v>Selama saya hidup, baru nemuin apk SEMENJIJIKAN DAN SESAMPAH INI. Kemampuan pemerintah ya hanya bisa aplikasi kgini</v>
      </c>
      <c r="D261" s="17" t="str">
        <f>IFERROR(__xludf.DUMMYFUNCTION("REGEXREPLACE(C261,$A$4, )"),"Selama saya hidup, baru nemuin apk SEMENJIJIKAN DAN SESAMPAH INI. Kemampuan pemerintah ya hanya bisa aplikasi kgini")</f>
        <v>Selama saya hidup, baru nemuin apk SEMENJIJIKAN DAN SESAMPAH INI. Kemampuan pemerintah ya hanya bisa aplikasi kgini</v>
      </c>
      <c r="E261" s="17" t="str">
        <f>IFERROR(__xludf.DUMMYFUNCTION("REGEXREPLACE(D261,$A$5, )"),"Selama saya hidup, baru nemuin apk SEMENJIJIKAN DAN SESAMPAH INI. Kemampuan pemerintah ya hanya bisa aplikasi kgini")</f>
        <v>Selama saya hidup, baru nemuin apk SEMENJIJIKAN DAN SESAMPAH INI. Kemampuan pemerintah ya hanya bisa aplikasi kgini</v>
      </c>
      <c r="F261" s="17" t="str">
        <f>IFERROR(__xludf.DUMMYFUNCTION("REGEXREPLACE(E261,$A$6, )"),"Selama saya hidup baru nemuin apk SEMENJIJIKAN DAN SESAMPAH INI Kemampuan pemerintah ya hanya bisa aplikasi kgini")</f>
        <v>Selama saya hidup baru nemuin apk SEMENJIJIKAN DAN SESAMPAH INI Kemampuan pemerintah ya hanya bisa aplikasi kgini</v>
      </c>
      <c r="G261" s="18" t="str">
        <f>IFERROR(__xludf.DUMMYFUNCTION("REGEXREPLACE(F261,$A$7, )"),"Selama saya hidup baru nemuin apk SEMENJIJIKAN DAN SESAMPAH INI Kemampuan pemerintah ya hanya bisa aplikasi kgini")</f>
        <v>Selama saya hidup baru nemuin apk SEMENJIJIKAN DAN SESAMPAH INI Kemampuan pemerintah ya hanya bisa aplikasi kgini</v>
      </c>
      <c r="H261" s="17" t="str">
        <f t="shared" si="1"/>
        <v>selama saya hidup baru nemuin apk semenjijikan dan sesampah ini kemampuan pemerintah ya hanya bisa aplikasi kgini</v>
      </c>
    </row>
    <row r="262">
      <c r="A262" s="16" t="s">
        <v>257</v>
      </c>
      <c r="B262" s="17" t="str">
        <f>IFERROR(__xludf.DUMMYFUNCTION("REGEXREPLACE(A262,$A$2, )"),"Apk ngak guna udah tingal klik daftar eror trus , emng dasar ny duit mau di kentit")</f>
        <v>Apk ngak guna udah tingal klik daftar eror trus , emng dasar ny duit mau di kentit</v>
      </c>
      <c r="C262" s="17" t="str">
        <f>IFERROR(__xludf.DUMMYFUNCTION("REGEXREPLACE(B262,$A$3, )"),"Apk ngak guna udah tingal klik daftar eror trus , emng dasar ny duit mau di kentit")</f>
        <v>Apk ngak guna udah tingal klik daftar eror trus , emng dasar ny duit mau di kentit</v>
      </c>
      <c r="D262" s="17" t="str">
        <f>IFERROR(__xludf.DUMMYFUNCTION("REGEXREPLACE(C262,$A$4, )"),"Apk ngak guna udah tingal klik daftar eror trus , emng dasar ny duit mau di kentit")</f>
        <v>Apk ngak guna udah tingal klik daftar eror trus , emng dasar ny duit mau di kentit</v>
      </c>
      <c r="E262" s="17" t="str">
        <f>IFERROR(__xludf.DUMMYFUNCTION("REGEXREPLACE(D262,$A$5, )"),"Apk ngak guna udah tingal klik daftar eror trus , emng dasar ny duit mau di kentit")</f>
        <v>Apk ngak guna udah tingal klik daftar eror trus , emng dasar ny duit mau di kentit</v>
      </c>
      <c r="F262" s="17" t="str">
        <f>IFERROR(__xludf.DUMMYFUNCTION("REGEXREPLACE(E262,$A$6, )"),"Apk ngak guna udah tingal klik daftar eror trus  emng dasar ny duit mau di kentit")</f>
        <v>Apk ngak guna udah tingal klik daftar eror trus  emng dasar ny duit mau di kentit</v>
      </c>
      <c r="G262" s="18" t="str">
        <f>IFERROR(__xludf.DUMMYFUNCTION("REGEXREPLACE(F262,$A$7, )"),"Apk ngak guna udah tingal klik daftar eror trus  emng dasar ny duit mau di kentit")</f>
        <v>Apk ngak guna udah tingal klik daftar eror trus  emng dasar ny duit mau di kentit</v>
      </c>
      <c r="H262" s="17" t="str">
        <f t="shared" si="1"/>
        <v>apk ngak guna udah tingal klik daftar eror trus  emng dasar ny duit mau di kentit</v>
      </c>
    </row>
    <row r="263">
      <c r="A263" s="16" t="s">
        <v>258</v>
      </c>
      <c r="B263" s="17" t="str">
        <f>IFERROR(__xludf.DUMMYFUNCTION("REGEXREPLACE(A263,$A$2, )"),"Aplikasi apaan jaringan bagus tapi gagal login koneksi buruk katanya , aplikasi ga guna , bukannya mempermudah malah bikin emosi. Padahal udh banyak yang mengeluh tapi tetap aja ga ada perubahan , buat aplikasi ga bertanggung jawab !")</f>
        <v>Aplikasi apaan jaringan bagus tapi gagal login koneksi buruk katanya , aplikasi ga guna , bukannya mempermudah malah bikin emosi. Padahal udh banyak yang mengeluh tapi tetap aja ga ada perubahan , buat aplikasi ga bertanggung jawab !</v>
      </c>
      <c r="C263" s="17" t="str">
        <f>IFERROR(__xludf.DUMMYFUNCTION("REGEXREPLACE(B263,$A$3, )"),"Aplikasi apaan jaringan bagus tapi gagal login koneksi buruk katanya , aplikasi ga guna , bukannya mempermudah malah bikin emosi. Padahal udh banyak yang mengeluh tapi tetap aja ga ada perubahan , buat aplikasi ga bertanggung jawab !")</f>
        <v>Aplikasi apaan jaringan bagus tapi gagal login koneksi buruk katanya , aplikasi ga guna , bukannya mempermudah malah bikin emosi. Padahal udh banyak yang mengeluh tapi tetap aja ga ada perubahan , buat aplikasi ga bertanggung jawab !</v>
      </c>
      <c r="D263" s="17" t="str">
        <f>IFERROR(__xludf.DUMMYFUNCTION("REGEXREPLACE(C263,$A$4, )"),"Aplikasi apaan jaringan bagus tapi gagal login koneksi buruk katanya , aplikasi ga guna , bukannya mempermudah malah bikin emosi. Padahal udh banyak yang mengeluh tapi tetap aja ga ada perubahan , buat aplikasi ga bertanggung jawab !")</f>
        <v>Aplikasi apaan jaringan bagus tapi gagal login koneksi buruk katanya , aplikasi ga guna , bukannya mempermudah malah bikin emosi. Padahal udh banyak yang mengeluh tapi tetap aja ga ada perubahan , buat aplikasi ga bertanggung jawab !</v>
      </c>
      <c r="E263" s="17" t="str">
        <f>IFERROR(__xludf.DUMMYFUNCTION("REGEXREPLACE(D263,$A$5, )"),"Aplikasi apaan jaringan bagus tapi gagal login koneksi buruk katanya , aplikasi ga guna , bukannya mempermudah malah bikin emosi. Padahal udh banyak yang mengeluh tapi tetap aja ga ada perubahan , buat aplikasi ga bertanggung jawab !")</f>
        <v>Aplikasi apaan jaringan bagus tapi gagal login koneksi buruk katanya , aplikasi ga guna , bukannya mempermudah malah bikin emosi. Padahal udh banyak yang mengeluh tapi tetap aja ga ada perubahan , buat aplikasi ga bertanggung jawab !</v>
      </c>
      <c r="F263" s="17" t="str">
        <f>IFERROR(__xludf.DUMMYFUNCTION("REGEXREPLACE(E263,$A$6, )"),"Aplikasi apaan jaringan bagus tapi gagal login koneksi buruk katanya  aplikasi ga guna  bukannya mempermudah malah bikin emosi Padahal udh banyak yang mengeluh tapi tetap aja ga ada perubahan  buat aplikasi ga bertanggung jawab ")</f>
        <v>Aplikasi apaan jaringan bagus tapi gagal login koneksi buruk katanya  aplikasi ga guna  bukannya mempermudah malah bikin emosi Padahal udh banyak yang mengeluh tapi tetap aja ga ada perubahan  buat aplikasi ga bertanggung jawab </v>
      </c>
      <c r="G263" s="18" t="str">
        <f>IFERROR(__xludf.DUMMYFUNCTION("REGEXREPLACE(F263,$A$7, )"),"Aplikasi apaan jaringan bagus tapi gagal login koneksi buruk katanya  aplikasi ga guna  bukannya mempermudah malah bikin emosi Padahal udh banyak yang mengeluh tapi tetap aja ga ada perubahan  buat aplikasi ga bertanggung jawab ")</f>
        <v>Aplikasi apaan jaringan bagus tapi gagal login koneksi buruk katanya  aplikasi ga guna  bukannya mempermudah malah bikin emosi Padahal udh banyak yang mengeluh tapi tetap aja ga ada perubahan  buat aplikasi ga bertanggung jawab </v>
      </c>
      <c r="H263" s="17" t="str">
        <f t="shared" si="1"/>
        <v>aplikasi apaan jaringan bagus tapi gagal login koneksi buruk katanya  aplikasi ga guna  bukannya mempermudah malah bikin emosi padahal udh banyak yang mengeluh tapi tetap aja ga ada perubahan  buat aplikasi ga bertanggung jawab </v>
      </c>
    </row>
    <row r="264">
      <c r="A264" s="16" t="s">
        <v>259</v>
      </c>
      <c r="B264" s="17" t="str">
        <f>IFERROR(__xludf.DUMMYFUNCTION("REGEXREPLACE(A264,$A$2, )"),"Selalu aja error..mau buka error terus")</f>
        <v>Selalu aja error..mau buka error terus</v>
      </c>
      <c r="C264" s="17" t="str">
        <f>IFERROR(__xludf.DUMMYFUNCTION("REGEXREPLACE(B264,$A$3, )"),"Selalu aja error..mau buka error terus")</f>
        <v>Selalu aja error..mau buka error terus</v>
      </c>
      <c r="D264" s="17" t="str">
        <f>IFERROR(__xludf.DUMMYFUNCTION("REGEXREPLACE(C264,$A$4, )"),"Selalu aja error..mau buka error terus")</f>
        <v>Selalu aja error..mau buka error terus</v>
      </c>
      <c r="E264" s="17" t="str">
        <f>IFERROR(__xludf.DUMMYFUNCTION("REGEXREPLACE(D264,$A$5, )"),"Selalu aja error..mau buka error terus")</f>
        <v>Selalu aja error..mau buka error terus</v>
      </c>
      <c r="F264" s="17" t="str">
        <f>IFERROR(__xludf.DUMMYFUNCTION("REGEXREPLACE(E264,$A$6, )"),"Selalu aja errormau buka error terus")</f>
        <v>Selalu aja errormau buka error terus</v>
      </c>
      <c r="G264" s="18" t="str">
        <f>IFERROR(__xludf.DUMMYFUNCTION("REGEXREPLACE(F264,$A$7, )"),"Selalu aja errormau buka error terus")</f>
        <v>Selalu aja errormau buka error terus</v>
      </c>
      <c r="H264" s="17" t="str">
        <f t="shared" si="1"/>
        <v>selalu aja errormau buka error terus</v>
      </c>
    </row>
    <row r="265">
      <c r="A265" s="16" t="s">
        <v>260</v>
      </c>
      <c r="B265" s="17" t="str">
        <f>IFERROR(__xludf.DUMMYFUNCTION("REGEXREPLACE(A265,$A$2, )"),"Yang bingung makin bingung, yg bodoh makin bodoh, yang tidak bertanggung jawab semakin bersembunyi. Aplikasi ini seperti iming2 bagi org yg awam. Setelah di isi semua sesuai ktp, ketika login ""Username"" yg anda masukan salah saya coba registrasi kembali"&amp;" berkali kali semua sudah benar, ketika akan login masih demikina tidak bisa. Sedangkan data sudah masuk terdaftar.")</f>
        <v>Yang bingung makin bingung, yg bodoh makin bodoh, yang tidak bertanggung jawab semakin bersembunyi. Aplikasi ini seperti iming2 bagi org yg awam. Setelah di isi semua sesuai ktp, ketika login "Username" yg anda masukan salah saya coba registrasi kembali berkali kali semua sudah benar, ketika akan login masih demikina tidak bisa. Sedangkan data sudah masuk terdaftar.</v>
      </c>
      <c r="C265" s="17" t="str">
        <f>IFERROR(__xludf.DUMMYFUNCTION("REGEXREPLACE(B265,$A$3, )"),"Yang bingung makin bingung, yg bodoh makin bodoh, yang tidak bertanggung jawab semakin bersembunyi. Aplikasi ini seperti iming2 bagi org yg awam. Setelah di isi semua sesuai ktp, ketika login ""Username"" yg anda masukan salah saya coba registrasi kembali"&amp;" berkali kali semua sudah benar, ketika akan login masih demikina tidak bisa. Sedangkan data sudah masuk terdaftar.")</f>
        <v>Yang bingung makin bingung, yg bodoh makin bodoh, yang tidak bertanggung jawab semakin bersembunyi. Aplikasi ini seperti iming2 bagi org yg awam. Setelah di isi semua sesuai ktp, ketika login "Username" yg anda masukan salah saya coba registrasi kembali berkali kali semua sudah benar, ketika akan login masih demikina tidak bisa. Sedangkan data sudah masuk terdaftar.</v>
      </c>
      <c r="D265" s="17" t="str">
        <f>IFERROR(__xludf.DUMMYFUNCTION("REGEXREPLACE(C265,$A$4, )"),"Yang bingung makin bingung, yg bodoh makin bodoh, yang tidak bertanggung jawab semakin bersembunyi. Aplikasi ini seperti iming2 bagi org yg awam. Setelah di isi semua sesuai ktp, ketika login ""Username"" yg anda masukan salah saya coba registrasi kembali"&amp;" berkali kali semua sudah benar, ketika akan login masih demikina tidak bisa. Sedangkan data sudah masuk terdaftar.")</f>
        <v>Yang bingung makin bingung, yg bodoh makin bodoh, yang tidak bertanggung jawab semakin bersembunyi. Aplikasi ini seperti iming2 bagi org yg awam. Setelah di isi semua sesuai ktp, ketika login "Username" yg anda masukan salah saya coba registrasi kembali berkali kali semua sudah benar, ketika akan login masih demikina tidak bisa. Sedangkan data sudah masuk terdaftar.</v>
      </c>
      <c r="E265" s="17" t="str">
        <f>IFERROR(__xludf.DUMMYFUNCTION("REGEXREPLACE(D265,$A$5, )"),"Yang bingung makin bingung, yg bodoh makin bodoh, yang tidak bertanggung jawab semakin bersembunyi. Aplikasi ini seperti iming bagi org yg awam. Setelah di isi semua sesuai ktp, ketika login ""Username"" yg anda masukan salah saya coba registrasi kembali "&amp;"berkali kali semua sudah benar, ketika akan login masih demikina tidak bisa. Sedangkan data sudah masuk terdaftar.")</f>
        <v>Yang bingung makin bingung, yg bodoh makin bodoh, yang tidak bertanggung jawab semakin bersembunyi. Aplikasi ini seperti iming bagi org yg awam. Setelah di isi semua sesuai ktp, ketika login "Username" yg anda masukan salah saya coba registrasi kembali berkali kali semua sudah benar, ketika akan login masih demikina tidak bisa. Sedangkan data sudah masuk terdaftar.</v>
      </c>
      <c r="F265" s="17" t="str">
        <f>IFERROR(__xludf.DUMMYFUNCTION("REGEXREPLACE(E265,$A$6, )"),"Yang bingung makin bingung yg bodoh makin bodoh yang tidak bertanggung jawab semakin bersembunyi Aplikasi ini seperti iming bagi org yg awam Setelah di isi semua sesuai ktp ketika login Username yg anda masukan salah saya coba registrasi kembali berkali k"&amp;"ali semua sudah benar ketika akan login masih demikina tidak bisa Sedangkan data sudah masuk terdaftar")</f>
        <v>Yang bingung makin bingung yg bodoh makin bodoh yang tidak bertanggung jawab semakin bersembunyi Aplikasi ini seperti iming bagi org yg awam Setelah di isi semua sesuai ktp ketika login Username yg anda masukan salah saya coba registrasi kembali berkali kali semua sudah benar ketika akan login masih demikina tidak bisa Sedangkan data sudah masuk terdaftar</v>
      </c>
      <c r="G265" s="18" t="str">
        <f>IFERROR(__xludf.DUMMYFUNCTION("REGEXREPLACE(F265,$A$7, )"),"Yang bingung makin bingung yg bodoh makin bodoh yang tidak bertanggung jawab semakin bersembunyi Aplikasi ini seperti iming bagi org yg awam Setelah di isi semua sesuai ktp ketika login Username yg anda masukan salah saya coba registrasi kembali berkali k"&amp;"ali semua sudah benar ketika akan login masih demikina tidak bisa Sedangkan data sudah masuk terdaftar")</f>
        <v>Yang bingung makin bingung yg bodoh makin bodoh yang tidak bertanggung jawab semakin bersembunyi Aplikasi ini seperti iming bagi org yg awam Setelah di isi semua sesuai ktp ketika login Username yg anda masukan salah saya coba registrasi kembali berkali kali semua sudah benar ketika akan login masih demikina tidak bisa Sedangkan data sudah masuk terdaftar</v>
      </c>
      <c r="H265" s="17" t="str">
        <f t="shared" si="1"/>
        <v>yang bingung makin bingung yg bodoh makin bodoh yang tidak bertanggung jawab semakin bersembunyi aplikasi ini seperti iming bagi org yg awam setelah di isi semua sesuai ktp ketika login username yg anda masukan salah saya coba registrasi kembali berkali kali semua sudah benar ketika akan login masih demikina tidak bisa sedangkan data sudah masuk terdaftar</v>
      </c>
    </row>
    <row r="266">
      <c r="A266" s="16" t="s">
        <v>261</v>
      </c>
      <c r="B266" s="17" t="str">
        <f>IFERROR(__xludf.DUMMYFUNCTION("REGEXREPLACE(A266,$A$2, )"),"Sama sekali gak bisa login. Sudah berharihari baru terferivikasi email. Eh bagian masuk aplikasinya ""terjadi kesalahan koneksi"" sampe beli perdana yang bagus sinyalnya tetep zonk. Padahal saya sudah termasuk dalam penerima bansos ini")</f>
        <v>Sama sekali gak bisa login. Sudah berharihari baru terferivikasi email. Eh bagian masuk aplikasinya "terjadi kesalahan koneksi" sampe beli perdana yang bagus sinyalnya tetep zonk. Padahal saya sudah termasuk dalam penerima bansos ini</v>
      </c>
      <c r="C266" s="17" t="str">
        <f>IFERROR(__xludf.DUMMYFUNCTION("REGEXREPLACE(B266,$A$3, )"),"Sama sekali gak bisa login. Sudah berharihari baru terferivikasi email. Eh bagian masuk aplikasinya ""terjadi kesalahan koneksi"" sampe beli perdana yang bagus sinyalnya tetep zonk. Padahal saya sudah termasuk dalam penerima bansos ini")</f>
        <v>Sama sekali gak bisa login. Sudah berharihari baru terferivikasi email. Eh bagian masuk aplikasinya "terjadi kesalahan koneksi" sampe beli perdana yang bagus sinyalnya tetep zonk. Padahal saya sudah termasuk dalam penerima bansos ini</v>
      </c>
      <c r="D266" s="17" t="str">
        <f>IFERROR(__xludf.DUMMYFUNCTION("REGEXREPLACE(C266,$A$4, )"),"Sama sekali gak bisa login. Sudah berharihari baru terferivikasi email. Eh bagian masuk aplikasinya ""terjadi kesalahan koneksi"" sampe beli perdana yang bagus sinyalnya tetep zonk. Padahal saya sudah termasuk dalam penerima bansos ini")</f>
        <v>Sama sekali gak bisa login. Sudah berharihari baru terferivikasi email. Eh bagian masuk aplikasinya "terjadi kesalahan koneksi" sampe beli perdana yang bagus sinyalnya tetep zonk. Padahal saya sudah termasuk dalam penerima bansos ini</v>
      </c>
      <c r="E266" s="17" t="str">
        <f>IFERROR(__xludf.DUMMYFUNCTION("REGEXREPLACE(D266,$A$5, )"),"Sama sekali gak bisa login. Sudah berharihari baru terferivikasi email. Eh bagian masuk aplikasinya ""terjadi kesalahan koneksi"" sampe beli perdana yang bagus sinyalnya tetep zonk. Padahal saya sudah termasuk dalam penerima bansos ini")</f>
        <v>Sama sekali gak bisa login. Sudah berharihari baru terferivikasi email. Eh bagian masuk aplikasinya "terjadi kesalahan koneksi" sampe beli perdana yang bagus sinyalnya tetep zonk. Padahal saya sudah termasuk dalam penerima bansos ini</v>
      </c>
      <c r="F266" s="17" t="str">
        <f>IFERROR(__xludf.DUMMYFUNCTION("REGEXREPLACE(E266,$A$6, )"),"Sama sekali gak bisa login Sudah berharihari baru terferivikasi email Eh bagian masuk aplikasinya terjadi kesalahan koneksi sampe beli perdana yang bagus sinyalnya tetep zonk Padahal saya sudah termasuk dalam penerima bansos ini")</f>
        <v>Sama sekali gak bisa login Sudah berharihari baru terferivikasi email Eh bagian masuk aplikasinya terjadi kesalahan koneksi sampe beli perdana yang bagus sinyalnya tetep zonk Padahal saya sudah termasuk dalam penerima bansos ini</v>
      </c>
      <c r="G266" s="18" t="str">
        <f>IFERROR(__xludf.DUMMYFUNCTION("REGEXREPLACE(F266,$A$7, )"),"Sama sekali gak bisa login Sudah berharihari baru terferivikasi email Eh bagian masuk aplikasinya terjadi kesalahan koneksi sampe beli perdana yang bagus sinyalnya tetep zonk Padahal saya sudah termasuk dalam penerima bansos ini")</f>
        <v>Sama sekali gak bisa login Sudah berharihari baru terferivikasi email Eh bagian masuk aplikasinya terjadi kesalahan koneksi sampe beli perdana yang bagus sinyalnya tetep zonk Padahal saya sudah termasuk dalam penerima bansos ini</v>
      </c>
      <c r="H266" s="17" t="str">
        <f t="shared" si="1"/>
        <v>sama sekali gak bisa login sudah berharihari baru terferivikasi email eh bagian masuk aplikasinya terjadi kesalahan koneksi sampe beli perdana yang bagus sinyalnya tetep zonk padahal saya sudah termasuk dalam penerima bansos ini</v>
      </c>
    </row>
    <row r="267">
      <c r="A267" s="16" t="s">
        <v>262</v>
      </c>
      <c r="B267" s="17" t="str">
        <f>IFERROR(__xludf.DUMMYFUNCTION("REGEXREPLACE(A267,$A$2, )"),"Setelah update, benar bisa masuk, tp data kenapa jadi bukan penerima manfaat? Padahal dicek diweb bansos ada data terbaru, apalagi status semua anggota keluarga perempuan semua, padahal perempuannya hanya 1 orang, masa anak saya laki2 semua ditulia peremp"&amp;"uan semua... Aneh😅")</f>
        <v>Setelah update, benar bisa masuk, tp data kenapa jadi bukan penerima manfaat? Padahal dicek diweb bansos ada data terbaru, apalagi status semua anggota keluarga perempuan semua, padahal perempuannya hanya 1 orang, masa anak saya laki2 semua ditulia perempuan semua... Aneh😅</v>
      </c>
      <c r="C267" s="17" t="str">
        <f>IFERROR(__xludf.DUMMYFUNCTION("REGEXREPLACE(B267,$A$3, )"),"Setelah update, benar bisa masuk, tp data kenapa jadi bukan penerima manfaat? Padahal dicek diweb bansos ada data terbaru, apalagi status semua anggota keluarga perempuan semua, padahal perempuannya hanya 1 orang, masa anak saya laki2 semua ditulia peremp"&amp;"uan semua... Aneh😅")</f>
        <v>Setelah update, benar bisa masuk, tp data kenapa jadi bukan penerima manfaat? Padahal dicek diweb bansos ada data terbaru, apalagi status semua anggota keluarga perempuan semua, padahal perempuannya hanya 1 orang, masa anak saya laki2 semua ditulia perempuan semua... Aneh😅</v>
      </c>
      <c r="D267" s="17" t="str">
        <f>IFERROR(__xludf.DUMMYFUNCTION("REGEXREPLACE(C267,$A$4, )"),"Setelah update, benar bisa masuk, tp data kenapa jadi bukan penerima manfaat? Padahal dicek diweb bansos ada data terbaru, apalagi status semua anggota keluarga perempuan semua, padahal perempuannya hanya 1 orang, masa anak saya laki2 semua ditulia peremp"&amp;"uan semua... Aneh😅")</f>
        <v>Setelah update, benar bisa masuk, tp data kenapa jadi bukan penerima manfaat? Padahal dicek diweb bansos ada data terbaru, apalagi status semua anggota keluarga perempuan semua, padahal perempuannya hanya 1 orang, masa anak saya laki2 semua ditulia perempuan semua... Aneh😅</v>
      </c>
      <c r="E267" s="17" t="str">
        <f>IFERROR(__xludf.DUMMYFUNCTION("REGEXREPLACE(D267,$A$5, )"),"Setelah update, benar bisa masuk, tp data kenapa jadi bukan penerima manfaat? Padahal dicek diweb bansos ada data terbaru, apalagi status semua anggota keluarga perempuan semua, padahal perempuannya hanya  orang, masa anak saya laki semua ditulia perempua"&amp;"n semua... Aneh😅")</f>
        <v>Setelah update, benar bisa masuk, tp data kenapa jadi bukan penerima manfaat? Padahal dicek diweb bansos ada data terbaru, apalagi status semua anggota keluarga perempuan semua, padahal perempuannya hanya  orang, masa anak saya laki semua ditulia perempuan semua... Aneh😅</v>
      </c>
      <c r="F267" s="17" t="str">
        <f>IFERROR(__xludf.DUMMYFUNCTION("REGEXREPLACE(E267,$A$6, )"),"Setelah update benar bisa masuk tp data kenapa jadi bukan penerima manfaat Padahal dicek diweb bansos ada data terbaru apalagi status semua anggota keluarga perempuan semua padahal perempuannya hanya  orang masa anak saya laki semua ditulia perempuan semu"&amp;"a Aneh😅")</f>
        <v>Setelah update benar bisa masuk tp data kenapa jadi bukan penerima manfaat Padahal dicek diweb bansos ada data terbaru apalagi status semua anggota keluarga perempuan semua padahal perempuannya hanya  orang masa anak saya laki semua ditulia perempuan semua Aneh😅</v>
      </c>
      <c r="G267" s="18" t="str">
        <f>IFERROR(__xludf.DUMMYFUNCTION("REGEXREPLACE(F267,$A$7, )"),"Setelah update benar bisa masuk tp data kenapa jadi bukan penerima manfaat Padahal dicek diweb bansos ada data terbaru apalagi status semua anggota keluarga perempuan semua padahal perempuannya hanya  orang masa anak saya laki semua ditulia perempuan semu"&amp;"a Aneh")</f>
        <v>Setelah update benar bisa masuk tp data kenapa jadi bukan penerima manfaat Padahal dicek diweb bansos ada data terbaru apalagi status semua anggota keluarga perempuan semua padahal perempuannya hanya  orang masa anak saya laki semua ditulia perempuan semua Aneh</v>
      </c>
      <c r="H267" s="17" t="str">
        <f t="shared" si="1"/>
        <v>setelah update benar bisa masuk tp data kenapa jadi bukan penerima manfaat padahal dicek diweb bansos ada data terbaru apalagi status semua anggota keluarga perempuan semua padahal perempuannya hanya  orang masa anak saya laki semua ditulia perempuan semua aneh</v>
      </c>
    </row>
    <row r="268">
      <c r="A268" s="16" t="s">
        <v>263</v>
      </c>
      <c r="B268" s="17" t="str">
        <f>IFERROR(__xludf.DUMMYFUNCTION("REGEXREPLACE(A268,$A$2, )"),"Karena lupa password udah dapet email.. Link diklik ga bisa bisa masuk Oalahh sekelas kementrian apa ga bisa punya IT berbobot?")</f>
        <v>Karena lupa password udah dapet email.. Link diklik ga bisa bisa masuk Oalahh sekelas kementrian apa ga bisa punya IT berbobot?</v>
      </c>
      <c r="C268" s="17" t="str">
        <f>IFERROR(__xludf.DUMMYFUNCTION("REGEXREPLACE(B268,$A$3, )"),"Karena lupa password udah dapet email.. Link diklik ga bisa bisa masuk Oalahh sekelas kementrian apa ga bisa punya IT berbobot?")</f>
        <v>Karena lupa password udah dapet email.. Link diklik ga bisa bisa masuk Oalahh sekelas kementrian apa ga bisa punya IT berbobot?</v>
      </c>
      <c r="D268" s="17" t="str">
        <f>IFERROR(__xludf.DUMMYFUNCTION("REGEXREPLACE(C268,$A$4, )"),"Karena lupa password udah dapet email.. Link diklik ga bisa bisa masuk Oalahh sekelas kementrian apa ga bisa punya IT berbobot?")</f>
        <v>Karena lupa password udah dapet email.. Link diklik ga bisa bisa masuk Oalahh sekelas kementrian apa ga bisa punya IT berbobot?</v>
      </c>
      <c r="E268" s="17" t="str">
        <f>IFERROR(__xludf.DUMMYFUNCTION("REGEXREPLACE(D268,$A$5, )"),"Karena lupa password udah dapet email.. Link diklik ga bisa bisa masuk Oalahh sekelas kementrian apa ga bisa punya IT berbobot?")</f>
        <v>Karena lupa password udah dapet email.. Link diklik ga bisa bisa masuk Oalahh sekelas kementrian apa ga bisa punya IT berbobot?</v>
      </c>
      <c r="F268" s="17" t="str">
        <f>IFERROR(__xludf.DUMMYFUNCTION("REGEXREPLACE(E268,$A$6, )"),"Karena lupa password udah dapet email Link diklik ga bisa bisa masuk Oalahh sekelas kementrian apa ga bisa punya IT berbobot")</f>
        <v>Karena lupa password udah dapet email Link diklik ga bisa bisa masuk Oalahh sekelas kementrian apa ga bisa punya IT berbobot</v>
      </c>
      <c r="G268" s="18" t="str">
        <f>IFERROR(__xludf.DUMMYFUNCTION("REGEXREPLACE(F268,$A$7, )"),"Karena lupa password udah dapet email Link diklik ga bisa bisa masuk Oalahh sekelas kementrian apa ga bisa punya IT berbobot")</f>
        <v>Karena lupa password udah dapet email Link diklik ga bisa bisa masuk Oalahh sekelas kementrian apa ga bisa punya IT berbobot</v>
      </c>
      <c r="H268" s="17" t="str">
        <f t="shared" si="1"/>
        <v>karena lupa password udah dapet email link diklik ga bisa bisa masuk oalahh sekelas kementrian apa ga bisa punya it berbobot</v>
      </c>
    </row>
    <row r="269">
      <c r="A269" s="16" t="s">
        <v>264</v>
      </c>
      <c r="B269" s="17" t="str">
        <f>IFERROR(__xludf.DUMMYFUNCTION("REGEXREPLACE(A269,$A$2, )"),"Tadak bisa tambah usulan kode error Json Parse selalu Muncul. Tidak dapat menambah ulasan Mohon perbaikan aplikasinya")</f>
        <v>Tadak bisa tambah usulan kode error Json Parse selalu Muncul. Tidak dapat menambah ulasan Mohon perbaikan aplikasinya</v>
      </c>
      <c r="C269" s="17" t="str">
        <f>IFERROR(__xludf.DUMMYFUNCTION("REGEXREPLACE(B269,$A$3, )"),"Tadak bisa tambah usulan kode error Json Parse selalu Muncul. Tidak dapat menambah ulasan Mohon perbaikan aplikasinya")</f>
        <v>Tadak bisa tambah usulan kode error Json Parse selalu Muncul. Tidak dapat menambah ulasan Mohon perbaikan aplikasinya</v>
      </c>
      <c r="D269" s="17" t="str">
        <f>IFERROR(__xludf.DUMMYFUNCTION("REGEXREPLACE(C269,$A$4, )"),"Tadak bisa tambah usulan kode error Json Parse selalu Muncul. Tidak dapat menambah ulasan Mohon perbaikan aplikasinya")</f>
        <v>Tadak bisa tambah usulan kode error Json Parse selalu Muncul. Tidak dapat menambah ulasan Mohon perbaikan aplikasinya</v>
      </c>
      <c r="E269" s="17" t="str">
        <f>IFERROR(__xludf.DUMMYFUNCTION("REGEXREPLACE(D269,$A$5, )"),"Tadak bisa tambah usulan kode error Json Parse selalu Muncul. Tidak dapat menambah ulasan Mohon perbaikan aplikasinya")</f>
        <v>Tadak bisa tambah usulan kode error Json Parse selalu Muncul. Tidak dapat menambah ulasan Mohon perbaikan aplikasinya</v>
      </c>
      <c r="F269" s="17" t="str">
        <f>IFERROR(__xludf.DUMMYFUNCTION("REGEXREPLACE(E269,$A$6, )"),"Tadak bisa tambah usulan kode error Json Parse selalu Muncul Tidak dapat menambah ulasan Mohon perbaikan aplikasinya")</f>
        <v>Tadak bisa tambah usulan kode error Json Parse selalu Muncul Tidak dapat menambah ulasan Mohon perbaikan aplikasinya</v>
      </c>
      <c r="G269" s="18" t="str">
        <f>IFERROR(__xludf.DUMMYFUNCTION("REGEXREPLACE(F269,$A$7, )"),"Tadak bisa tambah usulan kode error Json Parse selalu Muncul Tidak dapat menambah ulasan Mohon perbaikan aplikasinya")</f>
        <v>Tadak bisa tambah usulan kode error Json Parse selalu Muncul Tidak dapat menambah ulasan Mohon perbaikan aplikasinya</v>
      </c>
      <c r="H269" s="17" t="str">
        <f t="shared" si="1"/>
        <v>tadak bisa tambah usulan kode error json parse selalu muncul tidak dapat menambah ulasan mohon perbaikan aplikasinya</v>
      </c>
    </row>
    <row r="270">
      <c r="A270" s="16" t="s">
        <v>265</v>
      </c>
      <c r="B270" s="17" t="str">
        <f>IFERROR(__xludf.DUMMYFUNCTION("REGEXREPLACE(A270,$A$2, )"),"Untuk kemensos, maaf ya jika gak berniat untuk meringankan penderitaan rakyat lebih baik gak usah lah, pada akhirnya bikin kecewa kayak begni, ini aplikasi selalu error kalo save data udh berulang² kali daftar tetep error sedangkn daftar lewat wabsite gak"&amp;" bisa... Lucu nya tu di sini😅")</f>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c r="C270" s="17" t="str">
        <f>IFERROR(__xludf.DUMMYFUNCTION("REGEXREPLACE(B270,$A$3, )"),"Untuk kemensos, maaf ya jika gak berniat untuk meringankan penderitaan rakyat lebih baik gak usah lah, pada akhirnya bikin kecewa kayak begni, ini aplikasi selalu error kalo save data udh berulang² kali daftar tetep error sedangkn daftar lewat wabsite gak"&amp;" bisa... Lucu nya tu di sini😅")</f>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c r="D270" s="17" t="str">
        <f>IFERROR(__xludf.DUMMYFUNCTION("REGEXREPLACE(C270,$A$4, )"),"Untuk kemensos, maaf ya jika gak berniat untuk meringankan penderitaan rakyat lebih baik gak usah lah, pada akhirnya bikin kecewa kayak begni, ini aplikasi selalu error kalo save data udh berulang² kali daftar tetep error sedangkn daftar lewat wabsite gak"&amp;" bisa... Lucu nya tu di sini😅")</f>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c r="E270" s="17" t="str">
        <f>IFERROR(__xludf.DUMMYFUNCTION("REGEXREPLACE(D270,$A$5, )"),"Untuk kemensos, maaf ya jika gak berniat untuk meringankan penderitaan rakyat lebih baik gak usah lah, pada akhirnya bikin kecewa kayak begni, ini aplikasi selalu error kalo save data udh berulang² kali daftar tetep error sedangkn daftar lewat wabsite gak"&amp;" bisa... Lucu nya tu di sini😅")</f>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c r="F270" s="17" t="str">
        <f>IFERROR(__xludf.DUMMYFUNCTION("REGEXREPLACE(E270,$A$6, )"),"Untuk kemensos maaf ya jika gak berniat untuk meringankan penderitaan rakyat lebih baik gak usah lah pada akhirnya bikin kecewa kayak begni ini aplikasi selalu error kalo save data udh berulang² kali daftar tetep error sedangkn daftar lewat wabsite gak bi"&amp;"sa Lucu nya tu di sini😅")</f>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c r="G270" s="18" t="str">
        <f>IFERROR(__xludf.DUMMYFUNCTION("REGEXREPLACE(F270,$A$7, )"),"Untuk kemensos maaf ya jika gak berniat untuk meringankan penderitaan rakyat lebih baik gak usah lah pada akhirnya bikin kecewa kayak begni ini aplikasi selalu error kalo save data udh berulang² kali daftar tetep error sedangkn daftar lewat wabsite gak bi"&amp;"sa Lucu nya tu di sini")</f>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c r="H270" s="17" t="str">
        <f t="shared" si="1"/>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row>
    <row r="271">
      <c r="A271" s="16" t="s">
        <v>266</v>
      </c>
      <c r="B271" s="17" t="str">
        <f>IFERROR(__xludf.DUMMYFUNCTION("REGEXREPLACE(A271,$A$2, )"),"Ini gimana sih? Mau login di suruh registrasi, mau registrasi ketika pilih provinsi loding lama ujung2nya eror jaringan.. berhari-hari di coba tetap g bisa. Sebenarnya klau uda produk gagal begini jgn di publis.. harusnya di cek lagi dan diupdate versinya"&amp;". Kasihan kita2 mau daftar tapi g bisa. Sebaiknya jgn pakai ap ini lagi klau mau daftar online. Supaya g kasih janji palsu. Proses buat ini sama pengembang pasti dibayar mahal lagi.. tapi kwalitas masih sangat rendah.")</f>
        <v>Ini gimana sih? Mau login di suruh registrasi, mau registrasi ketika pilih provinsi loding lama ujung2nya eror jaringan.. berhari-hari di coba tetap g bisa. Sebenarnya klau uda produk gagal begini jgn di publis.. harusnya di cek lagi dan diupdate versinya. Kasihan kita2 mau daftar tapi g bisa. Sebaiknya jgn pakai ap ini lagi klau mau daftar online. Supaya g kasih janji palsu. Proses buat ini sama pengembang pasti dibayar mahal lagi.. tapi kwalitas masih sangat rendah.</v>
      </c>
      <c r="C271" s="17" t="str">
        <f>IFERROR(__xludf.DUMMYFUNCTION("REGEXREPLACE(B271,$A$3, )"),"Ini gimana sih? Mau login di suruh registrasi, mau registrasi ketika pilih provinsi loding lama ujung2nya eror jaringan.. berhari-hari di coba tetap g bisa. Sebenarnya klau uda produk gagal begini jgn di publis.. harusnya di cek lagi dan diupdate versinya"&amp;". Kasihan kita2 mau daftar tapi g bisa. Sebaiknya jgn pakai ap ini lagi klau mau daftar online. Supaya g kasih janji palsu. Proses buat ini sama pengembang pasti dibayar mahal lagi.. tapi kwalitas masih sangat rendah.")</f>
        <v>Ini gimana sih? Mau login di suruh registrasi, mau registrasi ketika pilih provinsi loding lama ujung2nya eror jaringan.. berhari-hari di coba tetap g bisa. Sebenarnya klau uda produk gagal begini jgn di publis.. harusnya di cek lagi dan diupdate versinya. Kasihan kita2 mau daftar tapi g bisa. Sebaiknya jgn pakai ap ini lagi klau mau daftar online. Supaya g kasih janji palsu. Proses buat ini sama pengembang pasti dibayar mahal lagi.. tapi kwalitas masih sangat rendah.</v>
      </c>
      <c r="D271" s="17" t="str">
        <f>IFERROR(__xludf.DUMMYFUNCTION("REGEXREPLACE(C271,$A$4, )"),"Ini gimana sih? Mau login di suruh registrasi, mau registrasi ketika pilih provinsi loding lama ujung2nya eror jaringan.. berhari-hari di coba tetap g bisa. Sebenarnya klau uda produk gagal begini jgn di publis.. harusnya di cek lagi dan diupdate versinya"&amp;". Kasihan kita2 mau daftar tapi g bisa. Sebaiknya jgn pakai ap ini lagi klau mau daftar online. Supaya g kasih janji palsu. Proses buat ini sama pengembang pasti dibayar mahal lagi.. tapi kwalitas masih sangat rendah.")</f>
        <v>Ini gimana sih? Mau login di suruh registrasi, mau registrasi ketika pilih provinsi loding lama ujung2nya eror jaringan.. berhari-hari di coba tetap g bisa. Sebenarnya klau uda produk gagal begini jgn di publis.. harusnya di cek lagi dan diupdate versinya. Kasihan kita2 mau daftar tapi g bisa. Sebaiknya jgn pakai ap ini lagi klau mau daftar online. Supaya g kasih janji palsu. Proses buat ini sama pengembang pasti dibayar mahal lagi.. tapi kwalitas masih sangat rendah.</v>
      </c>
      <c r="E271" s="17" t="str">
        <f>IFERROR(__xludf.DUMMYFUNCTION("REGEXREPLACE(D271,$A$5, )"),"Ini gimana sih? Mau login di suruh registrasi, mau registrasi ketika pilih provinsi loding lama ujungnya eror jaringan.. berhari-hari di coba tetap g bisa. Sebenarnya klau uda produk gagal begini jgn di publis.. harusnya di cek lagi dan diupdate versinya."&amp;" Kasihan kita mau daftar tapi g bisa. Sebaiknya jgn pakai ap ini lagi klau mau daftar online. Supaya g kasih janji palsu. Proses buat ini sama pengembang pasti dibayar mahal lagi.. tapi kwalitas masih sangat rendah.")</f>
        <v>Ini gimana sih? Mau login di suruh registrasi, mau registrasi ketika pilih provinsi loding lama ujungnya eror jaringan.. berhari-hari di coba tetap g bisa. Sebenarnya klau uda produk gagal begini jgn di publis.. harusnya di cek lagi dan diupdate versinya. Kasihan kita mau daftar tapi g bisa. Sebaiknya jgn pakai ap ini lagi klau mau daftar online. Supaya g kasih janji palsu. Proses buat ini sama pengembang pasti dibayar mahal lagi.. tapi kwalitas masih sangat rendah.</v>
      </c>
      <c r="F271" s="17" t="str">
        <f>IFERROR(__xludf.DUMMYFUNCTION("REGEXREPLACE(E271,$A$6, )"),"Ini gimana sih Mau login di suruh registrasi mau registrasi ketika pilih provinsi loding lama ujungnya eror jaringan berharihari di coba tetap g bisa Sebenarnya klau uda produk gagal begini jgn di publis harusnya di cek lagi dan diupdate versinya Kasihan "&amp;"kita mau daftar tapi g bisa Sebaiknya jgn pakai ap ini lagi klau mau daftar online Supaya g kasih janji palsu Proses buat ini sama pengembang pasti dibayar mahal lagi tapi kwalitas masih sangat rendah")</f>
        <v>Ini gimana sih Mau login di suruh registrasi mau registrasi ketika pilih provinsi loding lama ujungnya eror jaringan berharihari di coba tetap g bisa Sebenarnya klau uda produk gagal begini jgn di publis harusnya di cek lagi dan diupdate versinya Kasihan kita mau daftar tapi g bisa Sebaiknya jgn pakai ap ini lagi klau mau daftar online Supaya g kasih janji palsu Proses buat ini sama pengembang pasti dibayar mahal lagi tapi kwalitas masih sangat rendah</v>
      </c>
      <c r="G271" s="18" t="str">
        <f>IFERROR(__xludf.DUMMYFUNCTION("REGEXREPLACE(F271,$A$7, )"),"Ini gimana sih Mau login di suruh registrasi mau registrasi ketika pilih provinsi loding lama ujungnya eror jaringan berharihari di coba tetap g bisa Sebenarnya klau uda produk gagal begini jgn di publis harusnya di cek lagi dan diupdate versinya Kasihan "&amp;"kita mau daftar tapi g bisa Sebaiknya jgn pakai ap ini lagi klau mau daftar online Supaya g kasih janji palsu Proses buat ini sama pengembang pasti dibayar mahal lagi tapi kwalitas masih sangat rendah")</f>
        <v>Ini gimana sih Mau login di suruh registrasi mau registrasi ketika pilih provinsi loding lama ujungnya eror jaringan berharihari di coba tetap g bisa Sebenarnya klau uda produk gagal begini jgn di publis harusnya di cek lagi dan diupdate versinya Kasihan kita mau daftar tapi g bisa Sebaiknya jgn pakai ap ini lagi klau mau daftar online Supaya g kasih janji palsu Proses buat ini sama pengembang pasti dibayar mahal lagi tapi kwalitas masih sangat rendah</v>
      </c>
      <c r="H271" s="17" t="str">
        <f t="shared" si="1"/>
        <v>ini gimana sih mau login di suruh registrasi mau registrasi ketika pilih provinsi loding lama ujungnya eror jaringan berharihari di coba tetap g bisa sebenarnya klau uda produk gagal begini jgn di publis harusnya di cek lagi dan diupdate versinya kasihan kita mau daftar tapi g bisa sebaiknya jgn pakai ap ini lagi klau mau daftar online supaya g kasih janji palsu proses buat ini sama pengembang pasti dibayar mahal lagi tapi kwalitas masih sangat rendah</v>
      </c>
    </row>
    <row r="272">
      <c r="A272" s="16" t="s">
        <v>267</v>
      </c>
      <c r="B272" s="17" t="str">
        <f>IFERROR(__xludf.DUMMYFUNCTION("REGEXREPLACE(A272,$A$2, )"),"Aplikasi ngak jelas, error terus bikin emosi aja")</f>
        <v>Aplikasi ngak jelas, error terus bikin emosi aja</v>
      </c>
      <c r="C272" s="17" t="str">
        <f>IFERROR(__xludf.DUMMYFUNCTION("REGEXREPLACE(B272,$A$3, )"),"Aplikasi ngak jelas, error terus bikin emosi aja")</f>
        <v>Aplikasi ngak jelas, error terus bikin emosi aja</v>
      </c>
      <c r="D272" s="17" t="str">
        <f>IFERROR(__xludf.DUMMYFUNCTION("REGEXREPLACE(C272,$A$4, )"),"Aplikasi ngak jelas, error terus bikin emosi aja")</f>
        <v>Aplikasi ngak jelas, error terus bikin emosi aja</v>
      </c>
      <c r="E272" s="17" t="str">
        <f>IFERROR(__xludf.DUMMYFUNCTION("REGEXREPLACE(D272,$A$5, )"),"Aplikasi ngak jelas, error terus bikin emosi aja")</f>
        <v>Aplikasi ngak jelas, error terus bikin emosi aja</v>
      </c>
      <c r="F272" s="17" t="str">
        <f>IFERROR(__xludf.DUMMYFUNCTION("REGEXREPLACE(E272,$A$6, )"),"Aplikasi ngak jelas error terus bikin emosi aja")</f>
        <v>Aplikasi ngak jelas error terus bikin emosi aja</v>
      </c>
      <c r="G272" s="18" t="str">
        <f>IFERROR(__xludf.DUMMYFUNCTION("REGEXREPLACE(F272,$A$7, )"),"Aplikasi ngak jelas error terus bikin emosi aja")</f>
        <v>Aplikasi ngak jelas error terus bikin emosi aja</v>
      </c>
      <c r="H272" s="17" t="str">
        <f t="shared" si="1"/>
        <v>aplikasi ngak jelas error terus bikin emosi aja</v>
      </c>
    </row>
    <row r="273">
      <c r="A273" s="16" t="s">
        <v>268</v>
      </c>
      <c r="B273" s="17" t="str">
        <f>IFERROR(__xludf.DUMMYFUNCTION("REGEXREPLACE(A273,$A$2, )"),"Setiap login selalu error")</f>
        <v>Setiap login selalu error</v>
      </c>
      <c r="C273" s="17" t="str">
        <f>IFERROR(__xludf.DUMMYFUNCTION("REGEXREPLACE(B273,$A$3, )"),"Setiap login selalu error")</f>
        <v>Setiap login selalu error</v>
      </c>
      <c r="D273" s="17" t="str">
        <f>IFERROR(__xludf.DUMMYFUNCTION("REGEXREPLACE(C273,$A$4, )"),"Setiap login selalu error")</f>
        <v>Setiap login selalu error</v>
      </c>
      <c r="E273" s="17" t="str">
        <f>IFERROR(__xludf.DUMMYFUNCTION("REGEXREPLACE(D273,$A$5, )"),"Setiap login selalu error")</f>
        <v>Setiap login selalu error</v>
      </c>
      <c r="F273" s="17" t="str">
        <f>IFERROR(__xludf.DUMMYFUNCTION("REGEXREPLACE(E273,$A$6, )"),"Setiap login selalu error")</f>
        <v>Setiap login selalu error</v>
      </c>
      <c r="G273" s="18" t="str">
        <f>IFERROR(__xludf.DUMMYFUNCTION("REGEXREPLACE(F273,$A$7, )"),"Setiap login selalu error")</f>
        <v>Setiap login selalu error</v>
      </c>
      <c r="H273" s="17" t="str">
        <f t="shared" si="1"/>
        <v>setiap login selalu error</v>
      </c>
    </row>
    <row r="274">
      <c r="A274" s="16" t="s">
        <v>269</v>
      </c>
      <c r="B274" s="17" t="str">
        <f>IFERROR(__xludf.DUMMYFUNCTION("REGEXREPLACE(A274,$A$2, )"),"Daftar aja loading terus, gak jelas aplikasi nya eror trus")</f>
        <v>Daftar aja loading terus, gak jelas aplikasi nya eror trus</v>
      </c>
      <c r="C274" s="17" t="str">
        <f>IFERROR(__xludf.DUMMYFUNCTION("REGEXREPLACE(B274,$A$3, )"),"Daftar aja loading terus, gak jelas aplikasi nya eror trus")</f>
        <v>Daftar aja loading terus, gak jelas aplikasi nya eror trus</v>
      </c>
      <c r="D274" s="17" t="str">
        <f>IFERROR(__xludf.DUMMYFUNCTION("REGEXREPLACE(C274,$A$4, )"),"Daftar aja loading terus, gak jelas aplikasi nya eror trus")</f>
        <v>Daftar aja loading terus, gak jelas aplikasi nya eror trus</v>
      </c>
      <c r="E274" s="17" t="str">
        <f>IFERROR(__xludf.DUMMYFUNCTION("REGEXREPLACE(D274,$A$5, )"),"Daftar aja loading terus, gak jelas aplikasi nya eror trus")</f>
        <v>Daftar aja loading terus, gak jelas aplikasi nya eror trus</v>
      </c>
      <c r="F274" s="17" t="str">
        <f>IFERROR(__xludf.DUMMYFUNCTION("REGEXREPLACE(E274,$A$6, )"),"Daftar aja loading terus gak jelas aplikasi nya eror trus")</f>
        <v>Daftar aja loading terus gak jelas aplikasi nya eror trus</v>
      </c>
      <c r="G274" s="18" t="str">
        <f>IFERROR(__xludf.DUMMYFUNCTION("REGEXREPLACE(F274,$A$7, )"),"Daftar aja loading terus gak jelas aplikasi nya eror trus")</f>
        <v>Daftar aja loading terus gak jelas aplikasi nya eror trus</v>
      </c>
      <c r="H274" s="17" t="str">
        <f t="shared" si="1"/>
        <v>daftar aja loading terus gak jelas aplikasi nya eror trus</v>
      </c>
    </row>
    <row r="275">
      <c r="A275" s="16" t="s">
        <v>270</v>
      </c>
      <c r="B275" s="17" t="str">
        <f>IFERROR(__xludf.DUMMYFUNCTION("REGEXREPLACE(A275,$A$2, )"),"Aplikasi cek bansos tidak bisa di buka, kenapa ya.?")</f>
        <v>Aplikasi cek bansos tidak bisa di buka, kenapa ya.?</v>
      </c>
      <c r="C275" s="17" t="str">
        <f>IFERROR(__xludf.DUMMYFUNCTION("REGEXREPLACE(B275,$A$3, )"),"Aplikasi cek bansos tidak bisa di buka, kenapa ya.?")</f>
        <v>Aplikasi cek bansos tidak bisa di buka, kenapa ya.?</v>
      </c>
      <c r="D275" s="17" t="str">
        <f>IFERROR(__xludf.DUMMYFUNCTION("REGEXREPLACE(C275,$A$4, )"),"Aplikasi cek bansos tidak bisa di buka, kenapa ya.?")</f>
        <v>Aplikasi cek bansos tidak bisa di buka, kenapa ya.?</v>
      </c>
      <c r="E275" s="17" t="str">
        <f>IFERROR(__xludf.DUMMYFUNCTION("REGEXREPLACE(D275,$A$5, )"),"Aplikasi cek bansos tidak bisa di buka, kenapa ya.?")</f>
        <v>Aplikasi cek bansos tidak bisa di buka, kenapa ya.?</v>
      </c>
      <c r="F275" s="17" t="str">
        <f>IFERROR(__xludf.DUMMYFUNCTION("REGEXREPLACE(E275,$A$6, )"),"Aplikasi cek bansos tidak bisa di buka kenapa ya")</f>
        <v>Aplikasi cek bansos tidak bisa di buka kenapa ya</v>
      </c>
      <c r="G275" s="18" t="str">
        <f>IFERROR(__xludf.DUMMYFUNCTION("REGEXREPLACE(F275,$A$7, )"),"Aplikasi cek bansos tidak bisa di buka kenapa ya")</f>
        <v>Aplikasi cek bansos tidak bisa di buka kenapa ya</v>
      </c>
      <c r="H275" s="17" t="str">
        <f t="shared" si="1"/>
        <v>aplikasi cek bansos tidak bisa di buka kenapa ya</v>
      </c>
    </row>
    <row r="276">
      <c r="A276" s="16" t="s">
        <v>271</v>
      </c>
      <c r="B276" s="17" t="str">
        <f>IFERROR(__xludf.DUMMYFUNCTION("REGEXREPLACE(A276,$A$2, )"),"Tolonglah di perbaiki sEror Eror terus silahkan kembali buat mendaftar tak bisa")</f>
        <v>Tolonglah di perbaiki sEror Eror terus silahkan kembali buat mendaftar tak bisa</v>
      </c>
      <c r="C276" s="17" t="str">
        <f>IFERROR(__xludf.DUMMYFUNCTION("REGEXREPLACE(B276,$A$3, )"),"Tolonglah di perbaiki sEror Eror terus silahkan kembali buat mendaftar tak bisa")</f>
        <v>Tolonglah di perbaiki sEror Eror terus silahkan kembali buat mendaftar tak bisa</v>
      </c>
      <c r="D276" s="17" t="str">
        <f>IFERROR(__xludf.DUMMYFUNCTION("REGEXREPLACE(C276,$A$4, )"),"Tolonglah di perbaiki sEror Eror terus silahkan kembali buat mendaftar tak bisa")</f>
        <v>Tolonglah di perbaiki sEror Eror terus silahkan kembali buat mendaftar tak bisa</v>
      </c>
      <c r="E276" s="17" t="str">
        <f>IFERROR(__xludf.DUMMYFUNCTION("REGEXREPLACE(D276,$A$5, )"),"Tolonglah di perbaiki sEror Eror terus silahkan kembali buat mendaftar tak bisa")</f>
        <v>Tolonglah di perbaiki sEror Eror terus silahkan kembali buat mendaftar tak bisa</v>
      </c>
      <c r="F276" s="17" t="str">
        <f>IFERROR(__xludf.DUMMYFUNCTION("REGEXREPLACE(E276,$A$6, )"),"Tolonglah di perbaiki sEror Eror terus silahkan kembali buat mendaftar tak bisa")</f>
        <v>Tolonglah di perbaiki sEror Eror terus silahkan kembali buat mendaftar tak bisa</v>
      </c>
      <c r="G276" s="18" t="str">
        <f>IFERROR(__xludf.DUMMYFUNCTION("REGEXREPLACE(F276,$A$7, )"),"Tolonglah di perbaiki sEror Eror terus silahkan kembali buat mendaftar tak bisa")</f>
        <v>Tolonglah di perbaiki sEror Eror terus silahkan kembali buat mendaftar tak bisa</v>
      </c>
      <c r="H276" s="17" t="str">
        <f t="shared" si="1"/>
        <v>tolonglah di perbaiki seror eror terus silahkan kembali buat mendaftar tak bisa</v>
      </c>
    </row>
    <row r="277">
      <c r="A277" s="16" t="s">
        <v>272</v>
      </c>
      <c r="B277" s="17" t="str">
        <f>IFERROR(__xludf.DUMMYFUNCTION("REGEXREPLACE(A277,$A$2, )"),"Aplikasi error'trs tlg di perbaiki .semoga d respon")</f>
        <v>Aplikasi error'trs tlg di perbaiki .semoga d respon</v>
      </c>
      <c r="C277" s="17" t="str">
        <f>IFERROR(__xludf.DUMMYFUNCTION("REGEXREPLACE(B277,$A$3, )"),"Aplikasi error'trs tlg di perbaiki .semoga d respon")</f>
        <v>Aplikasi error'trs tlg di perbaiki .semoga d respon</v>
      </c>
      <c r="D277" s="17" t="str">
        <f>IFERROR(__xludf.DUMMYFUNCTION("REGEXREPLACE(C277,$A$4, )"),"Aplikasi error'trs tlg di perbaiki .semoga d respon")</f>
        <v>Aplikasi error'trs tlg di perbaiki .semoga d respon</v>
      </c>
      <c r="E277" s="17" t="str">
        <f>IFERROR(__xludf.DUMMYFUNCTION("REGEXREPLACE(D277,$A$5, )"),"Aplikasi error'trs tlg di perbaiki .semoga d respon")</f>
        <v>Aplikasi error'trs tlg di perbaiki .semoga d respon</v>
      </c>
      <c r="F277" s="17" t="str">
        <f>IFERROR(__xludf.DUMMYFUNCTION("REGEXREPLACE(E277,$A$6, )"),"Aplikasi errortrs tlg di perbaiki semoga d respon")</f>
        <v>Aplikasi errortrs tlg di perbaiki semoga d respon</v>
      </c>
      <c r="G277" s="18" t="str">
        <f>IFERROR(__xludf.DUMMYFUNCTION("REGEXREPLACE(F277,$A$7, )"),"Aplikasi errortrs tlg di perbaiki semoga d respon")</f>
        <v>Aplikasi errortrs tlg di perbaiki semoga d respon</v>
      </c>
      <c r="H277" s="17" t="str">
        <f t="shared" si="1"/>
        <v>aplikasi errortrs tlg di perbaiki semoga d respon</v>
      </c>
    </row>
    <row r="278">
      <c r="A278" s="16" t="s">
        <v>273</v>
      </c>
      <c r="B278" s="17" t="str">
        <f>IFERROR(__xludf.DUMMYFUNCTION("REGEXREPLACE(A278,$A$2, )"),"Aq kasih bintang 1,soalnya gak sesuai harapan..masa hanya kesamaan nama dalam satu desa/RT,yang nongol kok nama si kaya terus .hrusnya jgan nama..pakai NIK/KK..malah NIK/KK gak berfungsi d Apl ini .")</f>
        <v>Aq kasih bintang 1,soalnya gak sesuai harapan..masa hanya kesamaan nama dalam satu desa/RT,yang nongol kok nama si kaya terus .hrusnya jgan nama..pakai NIK/KK..malah NIK/KK gak berfungsi d Apl ini .</v>
      </c>
      <c r="C278" s="17" t="str">
        <f>IFERROR(__xludf.DUMMYFUNCTION("REGEXREPLACE(B278,$A$3, )"),"Aq kasih bintang 1,soalnya gak sesuai harapan..masa hanya kesamaan nama dalam satu desa/RT,yang nongol kok nama si kaya terus .hrusnya jgan nama..pakai NIK/KK..malah NIK/KK gak berfungsi d Apl ini .")</f>
        <v>Aq kasih bintang 1,soalnya gak sesuai harapan..masa hanya kesamaan nama dalam satu desa/RT,yang nongol kok nama si kaya terus .hrusnya jgan nama..pakai NIK/KK..malah NIK/KK gak berfungsi d Apl ini .</v>
      </c>
      <c r="D278" s="17" t="str">
        <f>IFERROR(__xludf.DUMMYFUNCTION("REGEXREPLACE(C278,$A$4, )"),"Aq kasih bintang 1,soalnya gak sesuai harapan..masa hanya kesamaan nama dalam satu desa/RT,yang nongol kok nama si kaya terus .hrusnya jgan nama..pakai NIK/KK..malah NIK/KK gak berfungsi d Apl ini .")</f>
        <v>Aq kasih bintang 1,soalnya gak sesuai harapan..masa hanya kesamaan nama dalam satu desa/RT,yang nongol kok nama si kaya terus .hrusnya jgan nama..pakai NIK/KK..malah NIK/KK gak berfungsi d Apl ini .</v>
      </c>
      <c r="E278" s="17" t="str">
        <f>IFERROR(__xludf.DUMMYFUNCTION("REGEXREPLACE(D278,$A$5, )"),"Aq kasih bintang ,soalnya gak sesuai harapan..masa hanya kesamaan nama dalam satu desa/RT,yang nongol kok nama si kaya terus .hrusnya jgan nama..pakai NIK/KK..malah NIK/KK gak berfungsi d Apl ini .")</f>
        <v>Aq kasih bintang ,soalnya gak sesuai harapan..masa hanya kesamaan nama dalam satu desa/RT,yang nongol kok nama si kaya terus .hrusnya jgan nama..pakai NIK/KK..malah NIK/KK gak berfungsi d Apl ini .</v>
      </c>
      <c r="F278" s="17" t="str">
        <f>IFERROR(__xludf.DUMMYFUNCTION("REGEXREPLACE(E278,$A$6, )"),"Aq kasih bintang soalnya gak sesuai harapanmasa hanya kesamaan nama dalam satu desaRTyang nongol kok nama si kaya terus hrusnya jgan namapakai NIKKKmalah NIKKK gak berfungsi d Apl ini ")</f>
        <v>Aq kasih bintang soalnya gak sesuai harapanmasa hanya kesamaan nama dalam satu desaRTyang nongol kok nama si kaya terus hrusnya jgan namapakai NIKKKmalah NIKKK gak berfungsi d Apl ini </v>
      </c>
      <c r="G278" s="18" t="str">
        <f>IFERROR(__xludf.DUMMYFUNCTION("REGEXREPLACE(F278,$A$7, )"),"Aq kasih bintang soalnya gak sesuai harapanmasa hanya kesamaan nama dalam satu desaRTyang nongol kok nama si kaya terus hrusnya jgan namapakai NIKKKmalah NIKKK gak berfungsi d Apl ini ")</f>
        <v>Aq kasih bintang soalnya gak sesuai harapanmasa hanya kesamaan nama dalam satu desaRTyang nongol kok nama si kaya terus hrusnya jgan namapakai NIKKKmalah NIKKK gak berfungsi d Apl ini </v>
      </c>
      <c r="H278" s="17" t="str">
        <f t="shared" si="1"/>
        <v>aq kasih bintang soalnya gak sesuai harapanmasa hanya kesamaan nama dalam satu desartyang nongol kok nama si kaya terus hrusnya jgan namapakai nikkkmalah nikkk gak berfungsi d apl ini </v>
      </c>
    </row>
    <row r="279">
      <c r="A279" s="16" t="s">
        <v>274</v>
      </c>
      <c r="B279" s="17" t="str">
        <f>IFERROR(__xludf.DUMMYFUNCTION("REGEXREPLACE(A279,$A$2, )"),"Gak bisa login ke amplikasi")</f>
        <v>Gak bisa login ke amplikasi</v>
      </c>
      <c r="C279" s="17" t="str">
        <f>IFERROR(__xludf.DUMMYFUNCTION("REGEXREPLACE(B279,$A$3, )"),"Gak bisa login ke amplikasi")</f>
        <v>Gak bisa login ke amplikasi</v>
      </c>
      <c r="D279" s="17" t="str">
        <f>IFERROR(__xludf.DUMMYFUNCTION("REGEXREPLACE(C279,$A$4, )"),"Gak bisa login ke amplikasi")</f>
        <v>Gak bisa login ke amplikasi</v>
      </c>
      <c r="E279" s="17" t="str">
        <f>IFERROR(__xludf.DUMMYFUNCTION("REGEXREPLACE(D279,$A$5, )"),"Gak bisa login ke amplikasi")</f>
        <v>Gak bisa login ke amplikasi</v>
      </c>
      <c r="F279" s="17" t="str">
        <f>IFERROR(__xludf.DUMMYFUNCTION("REGEXREPLACE(E279,$A$6, )"),"Gak bisa login ke amplikasi")</f>
        <v>Gak bisa login ke amplikasi</v>
      </c>
      <c r="G279" s="18" t="str">
        <f>IFERROR(__xludf.DUMMYFUNCTION("REGEXREPLACE(F279,$A$7, )"),"Gak bisa login ke amplikasi")</f>
        <v>Gak bisa login ke amplikasi</v>
      </c>
      <c r="H279" s="17" t="str">
        <f t="shared" si="1"/>
        <v>gak bisa login ke amplikasi</v>
      </c>
    </row>
    <row r="280">
      <c r="A280" s="16" t="s">
        <v>275</v>
      </c>
      <c r="B280" s="17" t="str">
        <f>IFERROR(__xludf.DUMMYFUNCTION("REGEXREPLACE(A280,$A$2, )"),"Kenapa saya tidar bisa daftar,...sudah cobak beberapa kali tetap tidak bisa")</f>
        <v>Kenapa saya tidar bisa daftar,...sudah cobak beberapa kali tetap tidak bisa</v>
      </c>
      <c r="C280" s="17" t="str">
        <f>IFERROR(__xludf.DUMMYFUNCTION("REGEXREPLACE(B280,$A$3, )"),"Kenapa saya tidar bisa daftar,...sudah cobak beberapa kali tetap tidak bisa")</f>
        <v>Kenapa saya tidar bisa daftar,...sudah cobak beberapa kali tetap tidak bisa</v>
      </c>
      <c r="D280" s="17" t="str">
        <f>IFERROR(__xludf.DUMMYFUNCTION("REGEXREPLACE(C280,$A$4, )"),"Kenapa saya tidar bisa daftar,...sudah cobak beberapa kali tetap tidak bisa")</f>
        <v>Kenapa saya tidar bisa daftar,...sudah cobak beberapa kali tetap tidak bisa</v>
      </c>
      <c r="E280" s="17" t="str">
        <f>IFERROR(__xludf.DUMMYFUNCTION("REGEXREPLACE(D280,$A$5, )"),"Kenapa saya tidar bisa daftar,...sudah cobak beberapa kali tetap tidak bisa")</f>
        <v>Kenapa saya tidar bisa daftar,...sudah cobak beberapa kali tetap tidak bisa</v>
      </c>
      <c r="F280" s="17" t="str">
        <f>IFERROR(__xludf.DUMMYFUNCTION("REGEXREPLACE(E280,$A$6, )"),"Kenapa saya tidar bisa daftarsudah cobak beberapa kali tetap tidak bisa")</f>
        <v>Kenapa saya tidar bisa daftarsudah cobak beberapa kali tetap tidak bisa</v>
      </c>
      <c r="G280" s="18" t="str">
        <f>IFERROR(__xludf.DUMMYFUNCTION("REGEXREPLACE(F280,$A$7, )"),"Kenapa saya tidar bisa daftarsudah cobak beberapa kali tetap tidak bisa")</f>
        <v>Kenapa saya tidar bisa daftarsudah cobak beberapa kali tetap tidak bisa</v>
      </c>
      <c r="H280" s="17" t="str">
        <f t="shared" si="1"/>
        <v>kenapa saya tidar bisa daftarsudah cobak beberapa kali tetap tidak bisa</v>
      </c>
    </row>
    <row r="281">
      <c r="A281" s="16" t="s">
        <v>276</v>
      </c>
      <c r="B281" s="17" t="str">
        <f>IFERROR(__xludf.DUMMYFUNCTION("REGEXREPLACE(A281,$A$2, )"),"Daftar aja error truuuuuussssss,perbaiki dong.")</f>
        <v>Daftar aja error truuuuuussssss,perbaiki dong.</v>
      </c>
      <c r="C281" s="17" t="str">
        <f>IFERROR(__xludf.DUMMYFUNCTION("REGEXREPLACE(B281,$A$3, )"),"Daftar aja error truuuuuussssss,perbaiki dong.")</f>
        <v>Daftar aja error truuuuuussssss,perbaiki dong.</v>
      </c>
      <c r="D281" s="17" t="str">
        <f>IFERROR(__xludf.DUMMYFUNCTION("REGEXREPLACE(C281,$A$4, )"),"Daftar aja error truuuuuussssss,perbaiki dong.")</f>
        <v>Daftar aja error truuuuuussssss,perbaiki dong.</v>
      </c>
      <c r="E281" s="17" t="str">
        <f>IFERROR(__xludf.DUMMYFUNCTION("REGEXREPLACE(D281,$A$5, )"),"Daftar aja error truuuuuussssss,perbaiki dong.")</f>
        <v>Daftar aja error truuuuuussssss,perbaiki dong.</v>
      </c>
      <c r="F281" s="17" t="str">
        <f>IFERROR(__xludf.DUMMYFUNCTION("REGEXREPLACE(E281,$A$6, )"),"Daftar aja error truuuuuussssssperbaiki dong")</f>
        <v>Daftar aja error truuuuuussssssperbaiki dong</v>
      </c>
      <c r="G281" s="18" t="str">
        <f>IFERROR(__xludf.DUMMYFUNCTION("REGEXREPLACE(F281,$A$7, )"),"Daftar aja error truuuuuussssssperbaiki dong")</f>
        <v>Daftar aja error truuuuuussssssperbaiki dong</v>
      </c>
      <c r="H281" s="17" t="str">
        <f t="shared" si="1"/>
        <v>daftar aja error truuuuuussssssperbaiki dong</v>
      </c>
    </row>
    <row r="282">
      <c r="A282" s="16" t="s">
        <v>277</v>
      </c>
      <c r="B282" s="17" t="str">
        <f>IFERROR(__xludf.DUMMYFUNCTION("REGEXREPLACE(A282,$A$2, )"),"Tolong admin.. alamat sudah sesuai KTP tapi saat di ajukan bikin akun infonya alamat tidak sesuai.. mohon solusi")</f>
        <v>Tolong admin.. alamat sudah sesuai KTP tapi saat di ajukan bikin akun infonya alamat tidak sesuai.. mohon solusi</v>
      </c>
      <c r="C282" s="17" t="str">
        <f>IFERROR(__xludf.DUMMYFUNCTION("REGEXREPLACE(B282,$A$3, )"),"Tolong admin.. alamat sudah sesuai KTP tapi saat di ajukan bikin akun infonya alamat tidak sesuai.. mohon solusi")</f>
        <v>Tolong admin.. alamat sudah sesuai KTP tapi saat di ajukan bikin akun infonya alamat tidak sesuai.. mohon solusi</v>
      </c>
      <c r="D282" s="17" t="str">
        <f>IFERROR(__xludf.DUMMYFUNCTION("REGEXREPLACE(C282,$A$4, )"),"Tolong admin.. alamat sudah sesuai KTP tapi saat di ajukan bikin akun infonya alamat tidak sesuai.. mohon solusi")</f>
        <v>Tolong admin.. alamat sudah sesuai KTP tapi saat di ajukan bikin akun infonya alamat tidak sesuai.. mohon solusi</v>
      </c>
      <c r="E282" s="17" t="str">
        <f>IFERROR(__xludf.DUMMYFUNCTION("REGEXREPLACE(D282,$A$5, )"),"Tolong admin.. alamat sudah sesuai KTP tapi saat di ajukan bikin akun infonya alamat tidak sesuai.. mohon solusi")</f>
        <v>Tolong admin.. alamat sudah sesuai KTP tapi saat di ajukan bikin akun infonya alamat tidak sesuai.. mohon solusi</v>
      </c>
      <c r="F282" s="17" t="str">
        <f>IFERROR(__xludf.DUMMYFUNCTION("REGEXREPLACE(E282,$A$6, )"),"Tolong admin alamat sudah sesuai KTP tapi saat di ajukan bikin akun infonya alamat tidak sesuai mohon solusi")</f>
        <v>Tolong admin alamat sudah sesuai KTP tapi saat di ajukan bikin akun infonya alamat tidak sesuai mohon solusi</v>
      </c>
      <c r="G282" s="18" t="str">
        <f>IFERROR(__xludf.DUMMYFUNCTION("REGEXREPLACE(F282,$A$7, )"),"Tolong admin alamat sudah sesuai KTP tapi saat di ajukan bikin akun infonya alamat tidak sesuai mohon solusi")</f>
        <v>Tolong admin alamat sudah sesuai KTP tapi saat di ajukan bikin akun infonya alamat tidak sesuai mohon solusi</v>
      </c>
      <c r="H282" s="17" t="str">
        <f t="shared" si="1"/>
        <v>tolong admin alamat sudah sesuai ktp tapi saat di ajukan bikin akun infonya alamat tidak sesuai mohon solusi</v>
      </c>
    </row>
    <row r="283">
      <c r="A283" s="16" t="s">
        <v>278</v>
      </c>
      <c r="B283" s="17" t="str">
        <f>IFERROR(__xludf.DUMMYFUNCTION("REGEXREPLACE(A283,$A$2, )"),"Aplikasinya eror gak bisa log.in padahal baru dapat email di acc, saya mau sanggah. Dulu di data pkh pas saya hamil. Data saya ada dapat. Tp kenapa setelah disuruh isi survai dari rt . Data saya dihapus. Padahal butuh banget buat melahirkan waktu itu.")</f>
        <v>Aplikasinya eror gak bisa log.in padahal baru dapat email di acc, saya mau sanggah. Dulu di data pkh pas saya hamil. Data saya ada dapat. Tp kenapa setelah disuruh isi survai dari rt . Data saya dihapus. Padahal butuh banget buat melahirkan waktu itu.</v>
      </c>
      <c r="C283" s="17" t="str">
        <f>IFERROR(__xludf.DUMMYFUNCTION("REGEXREPLACE(B283,$A$3, )"),"Aplikasinya eror gak bisa log.in padahal baru dapat email di acc, saya mau sanggah. Dulu di data pkh pas saya hamil. Data saya ada dapat. Tp kenapa setelah disuruh isi survai dari rt . Data saya dihapus. Padahal butuh banget buat melahirkan waktu itu.")</f>
        <v>Aplikasinya eror gak bisa log.in padahal baru dapat email di acc, saya mau sanggah. Dulu di data pkh pas saya hamil. Data saya ada dapat. Tp kenapa setelah disuruh isi survai dari rt . Data saya dihapus. Padahal butuh banget buat melahirkan waktu itu.</v>
      </c>
      <c r="D283" s="17" t="str">
        <f>IFERROR(__xludf.DUMMYFUNCTION("REGEXREPLACE(C283,$A$4, )"),"Aplikasinya eror gak bisa log.in padahal baru dapat email di acc, saya mau sanggah. Dulu di data pkh pas saya hamil. Data saya ada dapat. Tp kenapa setelah disuruh isi survai dari rt . Data saya dihapus. Padahal butuh banget buat melahirkan waktu itu.")</f>
        <v>Aplikasinya eror gak bisa log.in padahal baru dapat email di acc, saya mau sanggah. Dulu di data pkh pas saya hamil. Data saya ada dapat. Tp kenapa setelah disuruh isi survai dari rt . Data saya dihapus. Padahal butuh banget buat melahirkan waktu itu.</v>
      </c>
      <c r="E283" s="17" t="str">
        <f>IFERROR(__xludf.DUMMYFUNCTION("REGEXREPLACE(D283,$A$5, )"),"Aplikasinya eror gak bisa log.in padahal baru dapat email di acc, saya mau sanggah. Dulu di data pkh pas saya hamil. Data saya ada dapat. Tp kenapa setelah disuruh isi survai dari rt . Data saya dihapus. Padahal butuh banget buat melahirkan waktu itu.")</f>
        <v>Aplikasinya eror gak bisa log.in padahal baru dapat email di acc, saya mau sanggah. Dulu di data pkh pas saya hamil. Data saya ada dapat. Tp kenapa setelah disuruh isi survai dari rt . Data saya dihapus. Padahal butuh banget buat melahirkan waktu itu.</v>
      </c>
      <c r="F283" s="17" t="str">
        <f>IFERROR(__xludf.DUMMYFUNCTION("REGEXREPLACE(E283,$A$6, )"),"Aplikasinya eror gak bisa login padahal baru dapat email di acc saya mau sanggah Dulu di data pkh pas saya hamil Data saya ada dapat Tp kenapa setelah disuruh isi survai dari rt  Data saya dihapus Padahal butuh banget buat melahirkan waktu itu")</f>
        <v>Aplikasinya eror gak bisa login padahal baru dapat email di acc saya mau sanggah Dulu di data pkh pas saya hamil Data saya ada dapat Tp kenapa setelah disuruh isi survai dari rt  Data saya dihapus Padahal butuh banget buat melahirkan waktu itu</v>
      </c>
      <c r="G283" s="18" t="str">
        <f>IFERROR(__xludf.DUMMYFUNCTION("REGEXREPLACE(F283,$A$7, )"),"Aplikasinya eror gak bisa login padahal baru dapat email di acc saya mau sanggah Dulu di data pkh pas saya hamil Data saya ada dapat Tp kenapa setelah disuruh isi survai dari rt  Data saya dihapus Padahal butuh banget buat melahirkan waktu itu")</f>
        <v>Aplikasinya eror gak bisa login padahal baru dapat email di acc saya mau sanggah Dulu di data pkh pas saya hamil Data saya ada dapat Tp kenapa setelah disuruh isi survai dari rt  Data saya dihapus Padahal butuh banget buat melahirkan waktu itu</v>
      </c>
      <c r="H283" s="17" t="str">
        <f t="shared" si="1"/>
        <v>aplikasinya eror gak bisa login padahal baru dapat email di acc saya mau sanggah dulu di data pkh pas saya hamil data saya ada dapat tp kenapa setelah disuruh isi survai dari rt  data saya dihapus padahal butuh banget buat melahirkan waktu itu</v>
      </c>
    </row>
    <row r="284">
      <c r="A284" s="16" t="s">
        <v>279</v>
      </c>
      <c r="B284" s="17" t="str">
        <f>IFERROR(__xludf.DUMMYFUNCTION("REGEXREPLACE(A284,$A$2, )"),"Aplikasi yg sangat jelek sekali, sudah mengisi semua data dengan benar pas mau buat akun malah tertulis connetion error padahal semua jaringan saya bagus Tolong pemerintah diperbaiki aplikasi nya seperti ini kasian warga kurang mampu dibohongi. Simbol aja"&amp;" ada aplikasi tapi cacat 👎👎👎")</f>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c r="C284" s="17" t="str">
        <f>IFERROR(__xludf.DUMMYFUNCTION("REGEXREPLACE(B284,$A$3, )"),"Aplikasi yg sangat jelek sekali, sudah mengisi semua data dengan benar pas mau buat akun malah tertulis connetion error padahal semua jaringan saya bagus Tolong pemerintah diperbaiki aplikasi nya seperti ini kasian warga kurang mampu dibohongi. Simbol aja"&amp;" ada aplikasi tapi cacat 👎👎👎")</f>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c r="D284" s="17" t="str">
        <f>IFERROR(__xludf.DUMMYFUNCTION("REGEXREPLACE(C284,$A$4, )"),"Aplikasi yg sangat jelek sekali, sudah mengisi semua data dengan benar pas mau buat akun malah tertulis connetion error padahal semua jaringan saya bagus Tolong pemerintah diperbaiki aplikasi nya seperti ini kasian warga kurang mampu dibohongi. Simbol aja"&amp;" ada aplikasi tapi cacat 👎👎👎")</f>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c r="E284" s="17" t="str">
        <f>IFERROR(__xludf.DUMMYFUNCTION("REGEXREPLACE(D284,$A$5, )"),"Aplikasi yg sangat jelek sekali, sudah mengisi semua data dengan benar pas mau buat akun malah tertulis connetion error padahal semua jaringan saya bagus Tolong pemerintah diperbaiki aplikasi nya seperti ini kasian warga kurang mampu dibohongi. Simbol aja"&amp;" ada aplikasi tapi cacat 👎👎👎")</f>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c r="F284" s="17" t="str">
        <f>IFERROR(__xludf.DUMMYFUNCTION("REGEXREPLACE(E284,$A$6, )"),"Aplikasi yg sangat jelek sekali sudah mengisi semua data dengan benar pas mau buat akun malah tertulis connetion error padahal semua jaringan saya bagus Tolong pemerintah diperbaiki aplikasi nya seperti ini kasian warga kurang mampu dibohongi Simbol aja a"&amp;"da aplikasi tapi cacat 👎👎👎")</f>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c r="G284" s="18" t="str">
        <f>IFERROR(__xludf.DUMMYFUNCTION("REGEXREPLACE(F284,$A$7, )"),"Aplikasi yg sangat jelek sekali sudah mengisi semua data dengan benar pas mau buat akun malah tertulis connetion error padahal semua jaringan saya bagus Tolong pemerintah diperbaiki aplikasi nya seperti ini kasian warga kurang mampu dibohongi Simbol aja a"&amp;"da aplikasi tapi cacat ")</f>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c r="H284" s="17" t="str">
        <f t="shared" si="1"/>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row>
    <row r="285">
      <c r="A285" s="16" t="s">
        <v>280</v>
      </c>
      <c r="B285" s="17" t="str">
        <f>IFERROR(__xludf.DUMMYFUNCTION("REGEXREPLACE(A285,$A$2, )"),"Aplikasi yang sangat BURUKKKKK,.. dan ini aplikasi bukan tujuan untuk memudahkan usulan bantuan..tpi,. Buat ngeprank . Dikarnakan pas setuju untuk menambahkan yg terjadi koneksi erorrr. Cukkk!!!!")</f>
        <v>Aplikasi yang sangat BURUKKKKK,.. dan ini aplikasi bukan tujuan untuk memudahkan usulan bantuan..tpi,. Buat ngeprank . Dikarnakan pas setuju untuk menambahkan yg terjadi koneksi erorrr. Cukkk!!!!</v>
      </c>
      <c r="C285" s="17" t="str">
        <f>IFERROR(__xludf.DUMMYFUNCTION("REGEXREPLACE(B285,$A$3, )"),"Aplikasi yang sangat BURUKKKKK,.. dan ini aplikasi bukan tujuan untuk memudahkan usulan bantuan..tpi,. Buat ngeprank . Dikarnakan pas setuju untuk menambahkan yg terjadi koneksi erorrr. Cukkk!!!!")</f>
        <v>Aplikasi yang sangat BURUKKKKK,.. dan ini aplikasi bukan tujuan untuk memudahkan usulan bantuan..tpi,. Buat ngeprank . Dikarnakan pas setuju untuk menambahkan yg terjadi koneksi erorrr. Cukkk!!!!</v>
      </c>
      <c r="D285" s="17" t="str">
        <f>IFERROR(__xludf.DUMMYFUNCTION("REGEXREPLACE(C285,$A$4, )"),"Aplikasi yang sangat BURUKKKKK,.. dan ini aplikasi bukan tujuan untuk memudahkan usulan bantuan..tpi,. Buat ngeprank . Dikarnakan pas setuju untuk menambahkan yg terjadi koneksi erorrr. Cukkk!!!!")</f>
        <v>Aplikasi yang sangat BURUKKKKK,.. dan ini aplikasi bukan tujuan untuk memudahkan usulan bantuan..tpi,. Buat ngeprank . Dikarnakan pas setuju untuk menambahkan yg terjadi koneksi erorrr. Cukkk!!!!</v>
      </c>
      <c r="E285" s="17" t="str">
        <f>IFERROR(__xludf.DUMMYFUNCTION("REGEXREPLACE(D285,$A$5, )"),"Aplikasi yang sangat BURUKKKKK,.. dan ini aplikasi bukan tujuan untuk memudahkan usulan bantuan..tpi,. Buat ngeprank . Dikarnakan pas setuju untuk menambahkan yg terjadi koneksi erorrr. Cukkk!!!!")</f>
        <v>Aplikasi yang sangat BURUKKKKK,.. dan ini aplikasi bukan tujuan untuk memudahkan usulan bantuan..tpi,. Buat ngeprank . Dikarnakan pas setuju untuk menambahkan yg terjadi koneksi erorrr. Cukkk!!!!</v>
      </c>
      <c r="F285" s="17" t="str">
        <f>IFERROR(__xludf.DUMMYFUNCTION("REGEXREPLACE(E285,$A$6, )"),"Aplikasi yang sangat BURUKKKKK dan ini aplikasi bukan tujuan untuk memudahkan usulan bantuantpi Buat ngeprank  Dikarnakan pas setuju untuk menambahkan yg terjadi koneksi erorrr Cukkk")</f>
        <v>Aplikasi yang sangat BURUKKKKK dan ini aplikasi bukan tujuan untuk memudahkan usulan bantuantpi Buat ngeprank  Dikarnakan pas setuju untuk menambahkan yg terjadi koneksi erorrr Cukkk</v>
      </c>
      <c r="G285" s="18" t="str">
        <f>IFERROR(__xludf.DUMMYFUNCTION("REGEXREPLACE(F285,$A$7, )"),"Aplikasi yang sangat BURUKKKKK dan ini aplikasi bukan tujuan untuk memudahkan usulan bantuantpi Buat ngeprank  Dikarnakan pas setuju untuk menambahkan yg terjadi koneksi erorrr Cukkk")</f>
        <v>Aplikasi yang sangat BURUKKKKK dan ini aplikasi bukan tujuan untuk memudahkan usulan bantuantpi Buat ngeprank  Dikarnakan pas setuju untuk menambahkan yg terjadi koneksi erorrr Cukkk</v>
      </c>
      <c r="H285" s="17" t="str">
        <f t="shared" si="1"/>
        <v>aplikasi yang sangat burukkkkk dan ini aplikasi bukan tujuan untuk memudahkan usulan bantuantpi buat ngeprank  dikarnakan pas setuju untuk menambahkan yg terjadi koneksi erorrr cukkk</v>
      </c>
    </row>
    <row r="286">
      <c r="A286" s="16" t="s">
        <v>281</v>
      </c>
      <c r="B286" s="17" t="str">
        <f>IFERROR(__xludf.DUMMYFUNCTION("REGEXREPLACE(A286,$A$2, )"),"baru buat akun cek bansos ko gak bisa login pak mohon bantuannya ya pak")</f>
        <v>baru buat akun cek bansos ko gak bisa login pak mohon bantuannya ya pak</v>
      </c>
      <c r="C286" s="17" t="str">
        <f>IFERROR(__xludf.DUMMYFUNCTION("REGEXREPLACE(B286,$A$3, )"),"baru buat akun cek bansos ko gak bisa login pak mohon bantuannya ya pak")</f>
        <v>baru buat akun cek bansos ko gak bisa login pak mohon bantuannya ya pak</v>
      </c>
      <c r="D286" s="17" t="str">
        <f>IFERROR(__xludf.DUMMYFUNCTION("REGEXREPLACE(C286,$A$4, )"),"baru buat akun cek bansos ko gak bisa login pak mohon bantuannya ya pak")</f>
        <v>baru buat akun cek bansos ko gak bisa login pak mohon bantuannya ya pak</v>
      </c>
      <c r="E286" s="17" t="str">
        <f>IFERROR(__xludf.DUMMYFUNCTION("REGEXREPLACE(D286,$A$5, )"),"baru buat akun cek bansos ko gak bisa login pak mohon bantuannya ya pak")</f>
        <v>baru buat akun cek bansos ko gak bisa login pak mohon bantuannya ya pak</v>
      </c>
      <c r="F286" s="17" t="str">
        <f>IFERROR(__xludf.DUMMYFUNCTION("REGEXREPLACE(E286,$A$6, )"),"baru buat akun cek bansos ko gak bisa login pak mohon bantuannya ya pak")</f>
        <v>baru buat akun cek bansos ko gak bisa login pak mohon bantuannya ya pak</v>
      </c>
      <c r="G286" s="18" t="str">
        <f>IFERROR(__xludf.DUMMYFUNCTION("REGEXREPLACE(F286,$A$7, )"),"baru buat akun cek bansos ko gak bisa login pak mohon bantuannya ya pak")</f>
        <v>baru buat akun cek bansos ko gak bisa login pak mohon bantuannya ya pak</v>
      </c>
      <c r="H286" s="17" t="str">
        <f t="shared" si="1"/>
        <v>baru buat akun cek bansos ko gak bisa login pak mohon bantuannya ya pak</v>
      </c>
    </row>
    <row r="287">
      <c r="A287" s="16" t="s">
        <v>282</v>
      </c>
      <c r="B287" s="17" t="str">
        <f>IFERROR(__xludf.DUMMYFUNCTION("REGEXREPLACE(A287,$A$2, )"),"Aplikasi nya sangat sulit dalam melakukan pendaftaran tidak bisa masuk,username tidak ditemukan,, belum di aktivasi... Gimana tolong bantuan... Aplikasi seperti itu yang sangat kami butuh kan... Kalo bisa aplikasi daftar online langsung kirim bukti,kirim "&amp;"sseorang untuk melihat pembuktian nya... Itu akan sangat membantu... Klo bisa dibikin cara mencari sesuai no ktp.. Jadi tidak keliru karna dalam satu bahkan RT pun banyak yg memiliki nama yg sama... Jdi bingung")</f>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c r="C287" s="17" t="str">
        <f>IFERROR(__xludf.DUMMYFUNCTION("REGEXREPLACE(B287,$A$3, )"),"Aplikasi nya sangat sulit dalam melakukan pendaftaran tidak bisa masuk,username tidak ditemukan,, belum di aktivasi... Gimana tolong bantuan... Aplikasi seperti itu yang sangat kami butuh kan... Kalo bisa aplikasi daftar online langsung kirim bukti,kirim "&amp;"sseorang untuk melihat pembuktian nya... Itu akan sangat membantu... Klo bisa dibikin cara mencari sesuai no ktp.. Jadi tidak keliru karna dalam satu bahkan RT pun banyak yg memiliki nama yg sama... Jdi bingung")</f>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c r="D287" s="17" t="str">
        <f>IFERROR(__xludf.DUMMYFUNCTION("REGEXREPLACE(C287,$A$4, )"),"Aplikasi nya sangat sulit dalam melakukan pendaftaran tidak bisa masuk,username tidak ditemukan,, belum di aktivasi... Gimana tolong bantuan... Aplikasi seperti itu yang sangat kami butuh kan... Kalo bisa aplikasi daftar online langsung kirim bukti,kirim "&amp;"sseorang untuk melihat pembuktian nya... Itu akan sangat membantu... Klo bisa dibikin cara mencari sesuai no ktp.. Jadi tidak keliru karna dalam satu bahkan RT pun banyak yg memiliki nama yg sama... Jdi bingung")</f>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c r="E287" s="17" t="str">
        <f>IFERROR(__xludf.DUMMYFUNCTION("REGEXREPLACE(D287,$A$5, )"),"Aplikasi nya sangat sulit dalam melakukan pendaftaran tidak bisa masuk,username tidak ditemukan,, belum di aktivasi... Gimana tolong bantuan... Aplikasi seperti itu yang sangat kami butuh kan... Kalo bisa aplikasi daftar online langsung kirim bukti,kirim "&amp;"sseorang untuk melihat pembuktian nya... Itu akan sangat membantu... Klo bisa dibikin cara mencari sesuai no ktp.. Jadi tidak keliru karna dalam satu bahkan RT pun banyak yg memiliki nama yg sama... Jdi bingung")</f>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c r="F287" s="17" t="str">
        <f>IFERROR(__xludf.DUMMYFUNCTION("REGEXREPLACE(E287,$A$6, )"),"Aplikasi nya sangat sulit dalam melakukan pendaftaran tidak bisa masukusername tidak ditemukan belum di aktivasi Gimana tolong bantuan Aplikasi seperti itu yang sangat kami butuh kan Kalo bisa aplikasi daftar online langsung kirim buktikirim sseorang untu"&amp;"k melihat pembuktian nya Itu akan sangat membantu Klo bisa dibikin cara mencari sesuai no ktp Jadi tidak keliru karna dalam satu bahkan RT pun banyak yg memiliki nama yg sama Jdi bingung")</f>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c r="G287" s="18" t="str">
        <f>IFERROR(__xludf.DUMMYFUNCTION("REGEXREPLACE(F287,$A$7, )"),"Aplikasi nya sangat sulit dalam melakukan pendaftaran tidak bisa masukusername tidak ditemukan belum di aktivasi Gimana tolong bantuan Aplikasi seperti itu yang sangat kami butuh kan Kalo bisa aplikasi daftar online langsung kirim buktikirim sseorang untu"&amp;"k melihat pembuktian nya Itu akan sangat membantu Klo bisa dibikin cara mencari sesuai no ktp Jadi tidak keliru karna dalam satu bahkan RT pun banyak yg memiliki nama yg sama Jdi bingung")</f>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c r="H287" s="17" t="str">
        <f t="shared" si="1"/>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row>
    <row r="288">
      <c r="A288" s="16" t="s">
        <v>283</v>
      </c>
      <c r="B288" s="17" t="str">
        <f>IFERROR(__xludf.DUMMYFUNCTION("REGEXREPLACE(A288,$A$2, )"),"Kirain saya aja yg ga bisa login. Padahal sudah dapat email terverifikasi, dan lanjut login. Eh ternyta ga bisa2 login. Hahh apalah daya. Jadi ini aplikasi buat PHP aja atau gimana ya keseriusannya? Level kementerian pusat masa aplikasinya begini. Tolong "&amp;"lah. Anggarannya dipake sedikit buat bikin aplikasi berbobot")</f>
        <v>Kirain saya aja yg ga bisa login. Padahal sudah dapat email terverifikasi, dan lanjut login. Eh ternyta ga bisa2 login. Hahh apalah daya. Jadi ini aplikasi buat PHP aja atau gimana ya keseriusannya? Level kementerian pusat masa aplikasinya begini. Tolong lah. Anggarannya dipake sedikit buat bikin aplikasi berbobot</v>
      </c>
      <c r="C288" s="17" t="str">
        <f>IFERROR(__xludf.DUMMYFUNCTION("REGEXREPLACE(B288,$A$3, )"),"Kirain saya aja yg ga bisa login. Padahal sudah dapat email terverifikasi, dan lanjut login. Eh ternyta ga bisa2 login. Hahh apalah daya. Jadi ini aplikasi buat PHP aja atau gimana ya keseriusannya? Level kementerian pusat masa aplikasinya begini. Tolong "&amp;"lah. Anggarannya dipake sedikit buat bikin aplikasi berbobot")</f>
        <v>Kirain saya aja yg ga bisa login. Padahal sudah dapat email terverifikasi, dan lanjut login. Eh ternyta ga bisa2 login. Hahh apalah daya. Jadi ini aplikasi buat PHP aja atau gimana ya keseriusannya? Level kementerian pusat masa aplikasinya begini. Tolong lah. Anggarannya dipake sedikit buat bikin aplikasi berbobot</v>
      </c>
      <c r="D288" s="17" t="str">
        <f>IFERROR(__xludf.DUMMYFUNCTION("REGEXREPLACE(C288,$A$4, )"),"Kirain saya aja yg ga bisa login. Padahal sudah dapat email terverifikasi, dan lanjut login. Eh ternyta ga bisa2 login. Hahh apalah daya. Jadi ini aplikasi buat PHP aja atau gimana ya keseriusannya? Level kementerian pusat masa aplikasinya begini. Tolong "&amp;"lah. Anggarannya dipake sedikit buat bikin aplikasi berbobot")</f>
        <v>Kirain saya aja yg ga bisa login. Padahal sudah dapat email terverifikasi, dan lanjut login. Eh ternyta ga bisa2 login. Hahh apalah daya. Jadi ini aplikasi buat PHP aja atau gimana ya keseriusannya? Level kementerian pusat masa aplikasinya begini. Tolong lah. Anggarannya dipake sedikit buat bikin aplikasi berbobot</v>
      </c>
      <c r="E288" s="17" t="str">
        <f>IFERROR(__xludf.DUMMYFUNCTION("REGEXREPLACE(D288,$A$5, )"),"Kirain saya aja yg ga bisa login. Padahal sudah dapat email terverifikasi, dan lanjut login. Eh ternyta ga bisa login. Hahh apalah daya. Jadi ini aplikasi buat PHP aja atau gimana ya keseriusannya? Level kementerian pusat masa aplikasinya begini. Tolong l"&amp;"ah. Anggarannya dipake sedikit buat bikin aplikasi berbobot")</f>
        <v>Kirain saya aja yg ga bisa login. Padahal sudah dapat email terverifikasi, dan lanjut login. Eh ternyta ga bisa login. Hahh apalah daya. Jadi ini aplikasi buat PHP aja atau gimana ya keseriusannya? Level kementerian pusat masa aplikasinya begini. Tolong lah. Anggarannya dipake sedikit buat bikin aplikasi berbobot</v>
      </c>
      <c r="F288" s="17" t="str">
        <f>IFERROR(__xludf.DUMMYFUNCTION("REGEXREPLACE(E288,$A$6, )"),"Kirain saya aja yg ga bisa login Padahal sudah dapat email terverifikasi dan lanjut login Eh ternyta ga bisa login Hahh apalah daya Jadi ini aplikasi buat PHP aja atau gimana ya keseriusannya Level kementerian pusat masa aplikasinya begini Tolong lah Angg"&amp;"arannya dipake sedikit buat bikin aplikasi berbobot")</f>
        <v>Kirain saya aja yg ga bisa login Padahal sudah dapat email terverifikasi dan lanjut login Eh ternyta ga bisa login Hahh apalah daya Jadi ini aplikasi buat PHP aja atau gimana ya keseriusannya Level kementerian pusat masa aplikasinya begini Tolong lah Anggarannya dipake sedikit buat bikin aplikasi berbobot</v>
      </c>
      <c r="G288" s="18" t="str">
        <f>IFERROR(__xludf.DUMMYFUNCTION("REGEXREPLACE(F288,$A$7, )"),"Kirain saya aja yg ga bisa login Padahal sudah dapat email terverifikasi dan lanjut login Eh ternyta ga bisa login Hahh apalah daya Jadi ini aplikasi buat PHP aja atau gimana ya keseriusannya Level kementerian pusat masa aplikasinya begini Tolong lah Angg"&amp;"arannya dipake sedikit buat bikin aplikasi berbobot")</f>
        <v>Kirain saya aja yg ga bisa login Padahal sudah dapat email terverifikasi dan lanjut login Eh ternyta ga bisa login Hahh apalah daya Jadi ini aplikasi buat PHP aja atau gimana ya keseriusannya Level kementerian pusat masa aplikasinya begini Tolong lah Anggarannya dipake sedikit buat bikin aplikasi berbobot</v>
      </c>
      <c r="H288" s="17" t="str">
        <f t="shared" si="1"/>
        <v>kirain saya aja yg ga bisa login padahal sudah dapat email terverifikasi dan lanjut login eh ternyta ga bisa login hahh apalah daya jadi ini aplikasi buat php aja atau gimana ya keseriusannya level kementerian pusat masa aplikasinya begini tolong lah anggarannya dipake sedikit buat bikin aplikasi berbobot</v>
      </c>
    </row>
    <row r="289">
      <c r="A289" s="16" t="s">
        <v>284</v>
      </c>
      <c r="B289" s="17" t="str">
        <f>IFERROR(__xludf.DUMMYFUNCTION("REGEXREPLACE(A289,$A$2, )"),"Ini gimana kok gk bisa buat akun baru, keterangan conection reset gitu mulu berulang2. Terus sudah d isi data berubah2 sendiri. Jdi kesel saya. Padahal semua data bener, jaringan bagus. Laaahhhh")</f>
        <v>Ini gimana kok gk bisa buat akun baru, keterangan conection reset gitu mulu berulang2. Terus sudah d isi data berubah2 sendiri. Jdi kesel saya. Padahal semua data bener, jaringan bagus. Laaahhhh</v>
      </c>
      <c r="C289" s="17" t="str">
        <f>IFERROR(__xludf.DUMMYFUNCTION("REGEXREPLACE(B289,$A$3, )"),"Ini gimana kok gk bisa buat akun baru, keterangan conection reset gitu mulu berulang2. Terus sudah d isi data berubah2 sendiri. Jdi kesel saya. Padahal semua data bener, jaringan bagus. Laaahhhh")</f>
        <v>Ini gimana kok gk bisa buat akun baru, keterangan conection reset gitu mulu berulang2. Terus sudah d isi data berubah2 sendiri. Jdi kesel saya. Padahal semua data bener, jaringan bagus. Laaahhhh</v>
      </c>
      <c r="D289" s="17" t="str">
        <f>IFERROR(__xludf.DUMMYFUNCTION("REGEXREPLACE(C289,$A$4, )"),"Ini gimana kok gk bisa buat akun baru, keterangan conection reset gitu mulu berulang2. Terus sudah d isi data berubah2 sendiri. Jdi kesel saya. Padahal semua data bener, jaringan bagus. Laaahhhh")</f>
        <v>Ini gimana kok gk bisa buat akun baru, keterangan conection reset gitu mulu berulang2. Terus sudah d isi data berubah2 sendiri. Jdi kesel saya. Padahal semua data bener, jaringan bagus. Laaahhhh</v>
      </c>
      <c r="E289" s="17" t="str">
        <f>IFERROR(__xludf.DUMMYFUNCTION("REGEXREPLACE(D289,$A$5, )"),"Ini gimana kok gk bisa buat akun baru, keterangan conection reset gitu mulu berulang. Terus sudah d isi data berubah sendiri. Jdi kesel saya. Padahal semua data bener, jaringan bagus. Laaahhhh")</f>
        <v>Ini gimana kok gk bisa buat akun baru, keterangan conection reset gitu mulu berulang. Terus sudah d isi data berubah sendiri. Jdi kesel saya. Padahal semua data bener, jaringan bagus. Laaahhhh</v>
      </c>
      <c r="F289" s="17" t="str">
        <f>IFERROR(__xludf.DUMMYFUNCTION("REGEXREPLACE(E289,$A$6, )"),"Ini gimana kok gk bisa buat akun baru keterangan conection reset gitu mulu berulang Terus sudah d isi data berubah sendiri Jdi kesel saya Padahal semua data bener jaringan bagus Laaahhhh")</f>
        <v>Ini gimana kok gk bisa buat akun baru keterangan conection reset gitu mulu berulang Terus sudah d isi data berubah sendiri Jdi kesel saya Padahal semua data bener jaringan bagus Laaahhhh</v>
      </c>
      <c r="G289" s="18" t="str">
        <f>IFERROR(__xludf.DUMMYFUNCTION("REGEXREPLACE(F289,$A$7, )"),"Ini gimana kok gk bisa buat akun baru keterangan conection reset gitu mulu berulang Terus sudah d isi data berubah sendiri Jdi kesel saya Padahal semua data bener jaringan bagus Laaahhhh")</f>
        <v>Ini gimana kok gk bisa buat akun baru keterangan conection reset gitu mulu berulang Terus sudah d isi data berubah sendiri Jdi kesel saya Padahal semua data bener jaringan bagus Laaahhhh</v>
      </c>
      <c r="H289" s="17" t="str">
        <f t="shared" si="1"/>
        <v>ini gimana kok gk bisa buat akun baru keterangan conection reset gitu mulu berulang terus sudah d isi data berubah sendiri jdi kesel saya padahal semua data bener jaringan bagus laaahhhh</v>
      </c>
    </row>
    <row r="290">
      <c r="A290" s="16" t="s">
        <v>285</v>
      </c>
      <c r="B290" s="17" t="str">
        <f>IFERROR(__xludf.DUMMYFUNCTION("REGEXREPLACE(A290,$A$2, )"),"Parah sii , udh masukan username sama kata sandi tapi ga bisa, udh dpt email bwt ganti kata sandi, tp link nya tdak terjangkau. Apakah rekrut IT nya yg pada goblog semua apa emng ga becus .")</f>
        <v>Parah sii , udh masukan username sama kata sandi tapi ga bisa, udh dpt email bwt ganti kata sandi, tp link nya tdak terjangkau. Apakah rekrut IT nya yg pada goblog semua apa emng ga becus .</v>
      </c>
      <c r="C290" s="17" t="str">
        <f>IFERROR(__xludf.DUMMYFUNCTION("REGEXREPLACE(B290,$A$3, )"),"Parah sii , udh masukan username sama kata sandi tapi ga bisa, udh dpt email bwt ganti kata sandi, tp link nya tdak terjangkau. Apakah rekrut IT nya yg pada goblog semua apa emng ga becus .")</f>
        <v>Parah sii , udh masukan username sama kata sandi tapi ga bisa, udh dpt email bwt ganti kata sandi, tp link nya tdak terjangkau. Apakah rekrut IT nya yg pada goblog semua apa emng ga becus .</v>
      </c>
      <c r="D290" s="17" t="str">
        <f>IFERROR(__xludf.DUMMYFUNCTION("REGEXREPLACE(C290,$A$4, )"),"Parah sii , udh masukan username sama kata sandi tapi ga bisa, udh dpt email bwt ganti kata sandi, tp link nya tdak terjangkau. Apakah rekrut IT nya yg pada goblog semua apa emng ga becus .")</f>
        <v>Parah sii , udh masukan username sama kata sandi tapi ga bisa, udh dpt email bwt ganti kata sandi, tp link nya tdak terjangkau. Apakah rekrut IT nya yg pada goblog semua apa emng ga becus .</v>
      </c>
      <c r="E290" s="17" t="str">
        <f>IFERROR(__xludf.DUMMYFUNCTION("REGEXREPLACE(D290,$A$5, )"),"Parah sii , udh masukan username sama kata sandi tapi ga bisa, udh dpt email bwt ganti kata sandi, tp link nya tdak terjangkau. Apakah rekrut IT nya yg pada goblog semua apa emng ga becus .")</f>
        <v>Parah sii , udh masukan username sama kata sandi tapi ga bisa, udh dpt email bwt ganti kata sandi, tp link nya tdak terjangkau. Apakah rekrut IT nya yg pada goblog semua apa emng ga becus .</v>
      </c>
      <c r="F290" s="17" t="str">
        <f>IFERROR(__xludf.DUMMYFUNCTION("REGEXREPLACE(E290,$A$6, )"),"Parah sii  udh masukan username sama kata sandi tapi ga bisa udh dpt email bwt ganti kata sandi tp link nya tdak terjangkau Apakah rekrut IT nya yg pada goblog semua apa emng ga becus ")</f>
        <v>Parah sii  udh masukan username sama kata sandi tapi ga bisa udh dpt email bwt ganti kata sandi tp link nya tdak terjangkau Apakah rekrut IT nya yg pada goblog semua apa emng ga becus </v>
      </c>
      <c r="G290" s="18" t="str">
        <f>IFERROR(__xludf.DUMMYFUNCTION("REGEXREPLACE(F290,$A$7, )"),"Parah sii  udh masukan username sama kata sandi tapi ga bisa udh dpt email bwt ganti kata sandi tp link nya tdak terjangkau Apakah rekrut IT nya yg pada goblog semua apa emng ga becus ")</f>
        <v>Parah sii  udh masukan username sama kata sandi tapi ga bisa udh dpt email bwt ganti kata sandi tp link nya tdak terjangkau Apakah rekrut IT nya yg pada goblog semua apa emng ga becus </v>
      </c>
      <c r="H290" s="17" t="str">
        <f t="shared" si="1"/>
        <v>parah sii  udh masukan username sama kata sandi tapi ga bisa udh dpt email bwt ganti kata sandi tp link nya tdak terjangkau apakah rekrut it nya yg pada goblog semua apa emng ga becus </v>
      </c>
    </row>
    <row r="291">
      <c r="A291" s="16" t="s">
        <v>286</v>
      </c>
      <c r="B291" s="17" t="str">
        <f>IFERROR(__xludf.DUMMYFUNCTION("REGEXREPLACE(A291,$A$2, )"),"Tolong pemerintahan kenapa ini aplikasi selalu gagal koneksi padahal menggunakan WiFi ,tolong lah jgn bikin kami susah dengan aplikasi ini. Sdh verifikasi nya lama, setelah di verifikasi pas login gagal koneksi terus ,sdh 5 hari gagal koneksi terus dan di"&amp;" coba setiap menit,jam, sampai tengah malam pun tetap ga bisa login .tolong di perbaiki aplikasi cek bansos ini. Banyak masyarakat saat ini menggunakan aplikasi ini mengeluh lantaran tidak bisa log in. Terima kasih .")</f>
        <v>Tolong pemerintahan kenapa ini aplikasi selalu gagal koneksi padahal menggunakan WiFi ,tolong lah jgn bikin kami susah dengan aplikasi ini. Sdh verifikasi nya lama, setelah di verifikasi pas login gagal koneksi terus ,sdh 5 hari gagal koneksi terus dan di coba setiap menit,jam, sampai tengah malam pun tetap ga bisa login .tolong di perbaiki aplikasi cek bansos ini. Banyak masyarakat saat ini menggunakan aplikasi ini mengeluh lantaran tidak bisa log in. Terima kasih .</v>
      </c>
      <c r="C291" s="17" t="str">
        <f>IFERROR(__xludf.DUMMYFUNCTION("REGEXREPLACE(B291,$A$3, )"),"Tolong pemerintahan kenapa ini aplikasi selalu gagal koneksi padahal menggunakan WiFi ,tolong lah jgn bikin kami susah dengan aplikasi ini. Sdh verifikasi nya lama, setelah di verifikasi pas login gagal koneksi terus ,sdh 5 hari gagal koneksi terus dan di"&amp;" coba setiap menit,jam, sampai tengah malam pun tetap ga bisa login .tolong di perbaiki aplikasi cek bansos ini. Banyak masyarakat saat ini menggunakan aplikasi ini mengeluh lantaran tidak bisa log in. Terima kasih .")</f>
        <v>Tolong pemerintahan kenapa ini aplikasi selalu gagal koneksi padahal menggunakan WiFi ,tolong lah jgn bikin kami susah dengan aplikasi ini. Sdh verifikasi nya lama, setelah di verifikasi pas login gagal koneksi terus ,sdh 5 hari gagal koneksi terus dan di coba setiap menit,jam, sampai tengah malam pun tetap ga bisa login .tolong di perbaiki aplikasi cek bansos ini. Banyak masyarakat saat ini menggunakan aplikasi ini mengeluh lantaran tidak bisa log in. Terima kasih .</v>
      </c>
      <c r="D291" s="17" t="str">
        <f>IFERROR(__xludf.DUMMYFUNCTION("REGEXREPLACE(C291,$A$4, )"),"Tolong pemerintahan kenapa ini aplikasi selalu gagal koneksi padahal menggunakan WiFi ,tolong lah jgn bikin kami susah dengan aplikasi ini. Sdh verifikasi nya lama, setelah di verifikasi pas login gagal koneksi terus ,sdh 5 hari gagal koneksi terus dan di"&amp;" coba setiap menit,jam, sampai tengah malam pun tetap ga bisa login .tolong di perbaiki aplikasi cek bansos ini. Banyak masyarakat saat ini menggunakan aplikasi ini mengeluh lantaran tidak bisa log in. Terima kasih .")</f>
        <v>Tolong pemerintahan kenapa ini aplikasi selalu gagal koneksi padahal menggunakan WiFi ,tolong lah jgn bikin kami susah dengan aplikasi ini. Sdh verifikasi nya lama, setelah di verifikasi pas login gagal koneksi terus ,sdh 5 hari gagal koneksi terus dan di coba setiap menit,jam, sampai tengah malam pun tetap ga bisa login .tolong di perbaiki aplikasi cek bansos ini. Banyak masyarakat saat ini menggunakan aplikasi ini mengeluh lantaran tidak bisa log in. Terima kasih .</v>
      </c>
      <c r="E291" s="17" t="str">
        <f>IFERROR(__xludf.DUMMYFUNCTION("REGEXREPLACE(D291,$A$5, )"),"Tolong pemerintahan kenapa ini aplikasi selalu gagal koneksi padahal menggunakan WiFi ,tolong lah jgn bikin kami susah dengan aplikasi ini. Sdh verifikasi nya lama, setelah di verifikasi pas login gagal koneksi terus ,sdh  hari gagal koneksi terus dan di "&amp;"coba setiap menit,jam, sampai tengah malam pun tetap ga bisa login .tolong di perbaiki aplikasi cek bansos ini. Banyak masyarakat saat ini menggunakan aplikasi ini mengeluh lantaran tidak bisa log in. Terima kasih .")</f>
        <v>Tolong pemerintahan kenapa ini aplikasi selalu gagal koneksi padahal menggunakan WiFi ,tolong lah jgn bikin kami susah dengan aplikasi ini. Sdh verifikasi nya lama, setelah di verifikasi pas login gagal koneksi terus ,sdh  hari gagal koneksi terus dan di coba setiap menit,jam, sampai tengah malam pun tetap ga bisa login .tolong di perbaiki aplikasi cek bansos ini. Banyak masyarakat saat ini menggunakan aplikasi ini mengeluh lantaran tidak bisa log in. Terima kasih .</v>
      </c>
      <c r="F291" s="17" t="str">
        <f>IFERROR(__xludf.DUMMYFUNCTION("REGEXREPLACE(E291,$A$6, )"),"Tolong pemerintahan kenapa ini aplikasi selalu gagal koneksi padahal menggunakan WiFi tolong lah jgn bikin kami susah dengan aplikasi ini Sdh verifikasi nya lama setelah di verifikasi pas login gagal koneksi terus sdh  hari gagal koneksi terus dan di coba"&amp;" setiap menitjam sampai tengah malam pun tetap ga bisa login tolong di perbaiki aplikasi cek bansos ini Banyak masyarakat saat ini menggunakan aplikasi ini mengeluh lantaran tidak bisa log in Terima kasih ")</f>
        <v>Tolong pemerintahan kenapa ini aplikasi selalu gagal koneksi padahal menggunakan WiFi tolong lah jgn bikin kami susah dengan aplikasi ini Sdh verifikasi nya lama setelah di verifikasi pas login gagal koneksi terus sdh  hari gagal koneksi terus dan di coba setiap menitjam sampai tengah malam pun tetap ga bisa login tolong di perbaiki aplikasi cek bansos ini Banyak masyarakat saat ini menggunakan aplikasi ini mengeluh lantaran tidak bisa log in Terima kasih </v>
      </c>
      <c r="G291" s="18" t="str">
        <f>IFERROR(__xludf.DUMMYFUNCTION("REGEXREPLACE(F291,$A$7, )"),"Tolong pemerintahan kenapa ini aplikasi selalu gagal koneksi padahal menggunakan WiFi tolong lah jgn bikin kami susah dengan aplikasi ini Sdh verifikasi nya lama setelah di verifikasi pas login gagal koneksi terus sdh  hari gagal koneksi terus dan di coba"&amp;" setiap menitjam sampai tengah malam pun tetap ga bisa login tolong di perbaiki aplikasi cek bansos ini Banyak masyarakat saat ini menggunakan aplikasi ini mengeluh lantaran tidak bisa log in Terima kasih ")</f>
        <v>Tolong pemerintahan kenapa ini aplikasi selalu gagal koneksi padahal menggunakan WiFi tolong lah jgn bikin kami susah dengan aplikasi ini Sdh verifikasi nya lama setelah di verifikasi pas login gagal koneksi terus sdh  hari gagal koneksi terus dan di coba setiap menitjam sampai tengah malam pun tetap ga bisa login tolong di perbaiki aplikasi cek bansos ini Banyak masyarakat saat ini menggunakan aplikasi ini mengeluh lantaran tidak bisa log in Terima kasih </v>
      </c>
      <c r="H291" s="17" t="str">
        <f t="shared" si="1"/>
        <v>tolong pemerintahan kenapa ini aplikasi selalu gagal koneksi padahal menggunakan wifi tolong lah jgn bikin kami susah dengan aplikasi ini sdh verifikasi nya lama setelah di verifikasi pas login gagal koneksi terus sdh  hari gagal koneksi terus dan di coba setiap menitjam sampai tengah malam pun tetap ga bisa login tolong di perbaiki aplikasi cek bansos ini banyak masyarakat saat ini menggunakan aplikasi ini mengeluh lantaran tidak bisa log in terima kasih </v>
      </c>
    </row>
    <row r="292">
      <c r="A292" s="16" t="s">
        <v>287</v>
      </c>
      <c r="B292" s="17" t="str">
        <f>IFERROR(__xludf.DUMMYFUNCTION("REGEXREPLACE(A292,$A$2, )"),"Mau reset password ga bisa ,karena link yg d kirim k email bukan link buat reset password")</f>
        <v>Mau reset password ga bisa ,karena link yg d kirim k email bukan link buat reset password</v>
      </c>
      <c r="C292" s="17" t="str">
        <f>IFERROR(__xludf.DUMMYFUNCTION("REGEXREPLACE(B292,$A$3, )"),"Mau reset password ga bisa ,karena link yg d kirim k email bukan link buat reset password")</f>
        <v>Mau reset password ga bisa ,karena link yg d kirim k email bukan link buat reset password</v>
      </c>
      <c r="D292" s="17" t="str">
        <f>IFERROR(__xludf.DUMMYFUNCTION("REGEXREPLACE(C292,$A$4, )"),"Mau reset password ga bisa ,karena link yg d kirim k email bukan link buat reset password")</f>
        <v>Mau reset password ga bisa ,karena link yg d kirim k email bukan link buat reset password</v>
      </c>
      <c r="E292" s="17" t="str">
        <f>IFERROR(__xludf.DUMMYFUNCTION("REGEXREPLACE(D292,$A$5, )"),"Mau reset password ga bisa ,karena link yg d kirim k email bukan link buat reset password")</f>
        <v>Mau reset password ga bisa ,karena link yg d kirim k email bukan link buat reset password</v>
      </c>
      <c r="F292" s="17" t="str">
        <f>IFERROR(__xludf.DUMMYFUNCTION("REGEXREPLACE(E292,$A$6, )"),"Mau reset password ga bisa karena link yg d kirim k email bukan link buat reset password")</f>
        <v>Mau reset password ga bisa karena link yg d kirim k email bukan link buat reset password</v>
      </c>
      <c r="G292" s="18" t="str">
        <f>IFERROR(__xludf.DUMMYFUNCTION("REGEXREPLACE(F292,$A$7, )"),"Mau reset password ga bisa karena link yg d kirim k email bukan link buat reset password")</f>
        <v>Mau reset password ga bisa karena link yg d kirim k email bukan link buat reset password</v>
      </c>
      <c r="H292" s="17" t="str">
        <f t="shared" si="1"/>
        <v>mau reset password ga bisa karena link yg d kirim k email bukan link buat reset password</v>
      </c>
    </row>
    <row r="293">
      <c r="A293" s="16" t="s">
        <v>288</v>
      </c>
      <c r="B293" s="17" t="str">
        <f>IFERROR(__xludf.DUMMYFUNCTION("REGEXREPLACE(A293,$A$2, )"),"aplikasi tida bisa gunakan ga bisa login")</f>
        <v>aplikasi tida bisa gunakan ga bisa login</v>
      </c>
      <c r="C293" s="17" t="str">
        <f>IFERROR(__xludf.DUMMYFUNCTION("REGEXREPLACE(B293,$A$3, )"),"aplikasi tida bisa gunakan ga bisa login")</f>
        <v>aplikasi tida bisa gunakan ga bisa login</v>
      </c>
      <c r="D293" s="17" t="str">
        <f>IFERROR(__xludf.DUMMYFUNCTION("REGEXREPLACE(C293,$A$4, )"),"aplikasi tida bisa gunakan ga bisa login")</f>
        <v>aplikasi tida bisa gunakan ga bisa login</v>
      </c>
      <c r="E293" s="17" t="str">
        <f>IFERROR(__xludf.DUMMYFUNCTION("REGEXREPLACE(D293,$A$5, )"),"aplikasi tida bisa gunakan ga bisa login")</f>
        <v>aplikasi tida bisa gunakan ga bisa login</v>
      </c>
      <c r="F293" s="17" t="str">
        <f>IFERROR(__xludf.DUMMYFUNCTION("REGEXREPLACE(E293,$A$6, )"),"aplikasi tida bisa gunakan ga bisa login")</f>
        <v>aplikasi tida bisa gunakan ga bisa login</v>
      </c>
      <c r="G293" s="18" t="str">
        <f>IFERROR(__xludf.DUMMYFUNCTION("REGEXREPLACE(F293,$A$7, )"),"aplikasi tida bisa gunakan ga bisa login")</f>
        <v>aplikasi tida bisa gunakan ga bisa login</v>
      </c>
      <c r="H293" s="17" t="str">
        <f t="shared" si="1"/>
        <v>aplikasi tida bisa gunakan ga bisa login</v>
      </c>
    </row>
    <row r="294">
      <c r="A294" s="16" t="s">
        <v>289</v>
      </c>
      <c r="B294" s="17" t="str">
        <f>IFERROR(__xludf.DUMMYFUNCTION("REGEXREPLACE(A294,$A$2, )"),"Kenapa tidak bisa daftar? Katanya bisa dafta sendiri, tapi lewat aplikasi juga tidak jauh lebih mudah. Lain kali mohon kalo buat aplikasi yang bertujuan memudahkan, jangan yang suka eror ya. Lantas bagaimana bisa daftar kalau aplikasi yang seharusnya memp"&amp;"ermudah malah bikin ribet.")</f>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c r="C294" s="17" t="str">
        <f>IFERROR(__xludf.DUMMYFUNCTION("REGEXREPLACE(B294,$A$3, )"),"Kenapa tidak bisa daftar? Katanya bisa dafta sendiri, tapi lewat aplikasi juga tidak jauh lebih mudah. Lain kali mohon kalo buat aplikasi yang bertujuan memudahkan, jangan yang suka eror ya. Lantas bagaimana bisa daftar kalau aplikasi yang seharusnya memp"&amp;"ermudah malah bikin ribet.")</f>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c r="D294" s="17" t="str">
        <f>IFERROR(__xludf.DUMMYFUNCTION("REGEXREPLACE(C294,$A$4, )"),"Kenapa tidak bisa daftar? Katanya bisa dafta sendiri, tapi lewat aplikasi juga tidak jauh lebih mudah. Lain kali mohon kalo buat aplikasi yang bertujuan memudahkan, jangan yang suka eror ya. Lantas bagaimana bisa daftar kalau aplikasi yang seharusnya memp"&amp;"ermudah malah bikin ribet.")</f>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c r="E294" s="17" t="str">
        <f>IFERROR(__xludf.DUMMYFUNCTION("REGEXREPLACE(D294,$A$5, )"),"Kenapa tidak bisa daftar? Katanya bisa dafta sendiri, tapi lewat aplikasi juga tidak jauh lebih mudah. Lain kali mohon kalo buat aplikasi yang bertujuan memudahkan, jangan yang suka eror ya. Lantas bagaimana bisa daftar kalau aplikasi yang seharusnya memp"&amp;"ermudah malah bikin ribet.")</f>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c r="F294" s="17" t="str">
        <f>IFERROR(__xludf.DUMMYFUNCTION("REGEXREPLACE(E294,$A$6, )"),"Kenapa tidak bisa daftar Katanya bisa dafta sendiri tapi lewat aplikasi juga tidak jauh lebih mudah Lain kali mohon kalo buat aplikasi yang bertujuan memudahkan jangan yang suka eror ya Lantas bagaimana bisa daftar kalau aplikasi yang seharusnya mempermud"&amp;"ah malah bikin ribet")</f>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c r="G294" s="18" t="str">
        <f>IFERROR(__xludf.DUMMYFUNCTION("REGEXREPLACE(F294,$A$7, )"),"Kenapa tidak bisa daftar Katanya bisa dafta sendiri tapi lewat aplikasi juga tidak jauh lebih mudah Lain kali mohon kalo buat aplikasi yang bertujuan memudahkan jangan yang suka eror ya Lantas bagaimana bisa daftar kalau aplikasi yang seharusnya mempermud"&amp;"ah malah bikin ribet")</f>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c r="H294" s="17" t="str">
        <f t="shared" si="1"/>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row>
    <row r="295">
      <c r="A295" s="16" t="s">
        <v>290</v>
      </c>
      <c r="B295" s="17" t="str">
        <f>IFERROR(__xludf.DUMMYFUNCTION("REGEXREPLACE(A295,$A$2, )"),"loding terus setiap hari di coba loding terus aplikasinya")</f>
        <v>loding terus setiap hari di coba loding terus aplikasinya</v>
      </c>
      <c r="C295" s="17" t="str">
        <f>IFERROR(__xludf.DUMMYFUNCTION("REGEXREPLACE(B295,$A$3, )"),"loding terus setiap hari di coba loding terus aplikasinya")</f>
        <v>loding terus setiap hari di coba loding terus aplikasinya</v>
      </c>
      <c r="D295" s="17" t="str">
        <f>IFERROR(__xludf.DUMMYFUNCTION("REGEXREPLACE(C295,$A$4, )"),"loding terus setiap hari di coba loding terus aplikasinya")</f>
        <v>loding terus setiap hari di coba loding terus aplikasinya</v>
      </c>
      <c r="E295" s="17" t="str">
        <f>IFERROR(__xludf.DUMMYFUNCTION("REGEXREPLACE(D295,$A$5, )"),"loding terus setiap hari di coba loding terus aplikasinya")</f>
        <v>loding terus setiap hari di coba loding terus aplikasinya</v>
      </c>
      <c r="F295" s="17" t="str">
        <f>IFERROR(__xludf.DUMMYFUNCTION("REGEXREPLACE(E295,$A$6, )"),"loding terus setiap hari di coba loding terus aplikasinya")</f>
        <v>loding terus setiap hari di coba loding terus aplikasinya</v>
      </c>
      <c r="G295" s="18" t="str">
        <f>IFERROR(__xludf.DUMMYFUNCTION("REGEXREPLACE(F295,$A$7, )"),"loding terus setiap hari di coba loding terus aplikasinya")</f>
        <v>loding terus setiap hari di coba loding terus aplikasinya</v>
      </c>
      <c r="H295" s="17" t="str">
        <f t="shared" si="1"/>
        <v>loding terus setiap hari di coba loding terus aplikasinya</v>
      </c>
    </row>
    <row r="296">
      <c r="A296" s="16" t="s">
        <v>291</v>
      </c>
      <c r="B296" s="17" t="str">
        <f>IFERROR(__xludf.DUMMYFUNCTION("REGEXREPLACE(A296,$A$2, )"),"Tidak bisa login Tolonglah mohon diperbaiki")</f>
        <v>Tidak bisa login Tolonglah mohon diperbaiki</v>
      </c>
      <c r="C296" s="17" t="str">
        <f>IFERROR(__xludf.DUMMYFUNCTION("REGEXREPLACE(B296,$A$3, )"),"Tidak bisa login Tolonglah mohon diperbaiki")</f>
        <v>Tidak bisa login Tolonglah mohon diperbaiki</v>
      </c>
      <c r="D296" s="17" t="str">
        <f>IFERROR(__xludf.DUMMYFUNCTION("REGEXREPLACE(C296,$A$4, )"),"Tidak bisa login Tolonglah mohon diperbaiki")</f>
        <v>Tidak bisa login Tolonglah mohon diperbaiki</v>
      </c>
      <c r="E296" s="17" t="str">
        <f>IFERROR(__xludf.DUMMYFUNCTION("REGEXREPLACE(D296,$A$5, )"),"Tidak bisa login Tolonglah mohon diperbaiki")</f>
        <v>Tidak bisa login Tolonglah mohon diperbaiki</v>
      </c>
      <c r="F296" s="17" t="str">
        <f>IFERROR(__xludf.DUMMYFUNCTION("REGEXREPLACE(E296,$A$6, )"),"Tidak bisa login Tolonglah mohon diperbaiki")</f>
        <v>Tidak bisa login Tolonglah mohon diperbaiki</v>
      </c>
      <c r="G296" s="18" t="str">
        <f>IFERROR(__xludf.DUMMYFUNCTION("REGEXREPLACE(F296,$A$7, )"),"Tidak bisa login Tolonglah mohon diperbaiki")</f>
        <v>Tidak bisa login Tolonglah mohon diperbaiki</v>
      </c>
      <c r="H296" s="17" t="str">
        <f t="shared" si="1"/>
        <v>tidak bisa login tolonglah mohon diperbaiki</v>
      </c>
    </row>
    <row r="297">
      <c r="A297" s="16" t="s">
        <v>292</v>
      </c>
      <c r="B297" s="17" t="str">
        <f>IFERROR(__xludf.DUMMYFUNCTION("REGEXREPLACE(A297,$A$2, )"),"Aplikasi gak jelas udah daftarnya ribet giliran jadi gak terdaftar gimana sih")</f>
        <v>Aplikasi gak jelas udah daftarnya ribet giliran jadi gak terdaftar gimana sih</v>
      </c>
      <c r="C297" s="17" t="str">
        <f>IFERROR(__xludf.DUMMYFUNCTION("REGEXREPLACE(B297,$A$3, )"),"Aplikasi gak jelas udah daftarnya ribet giliran jadi gak terdaftar gimana sih")</f>
        <v>Aplikasi gak jelas udah daftarnya ribet giliran jadi gak terdaftar gimana sih</v>
      </c>
      <c r="D297" s="17" t="str">
        <f>IFERROR(__xludf.DUMMYFUNCTION("REGEXREPLACE(C297,$A$4, )"),"Aplikasi gak jelas udah daftarnya ribet giliran jadi gak terdaftar gimana sih")</f>
        <v>Aplikasi gak jelas udah daftarnya ribet giliran jadi gak terdaftar gimana sih</v>
      </c>
      <c r="E297" s="17" t="str">
        <f>IFERROR(__xludf.DUMMYFUNCTION("REGEXREPLACE(D297,$A$5, )"),"Aplikasi gak jelas udah daftarnya ribet giliran jadi gak terdaftar gimana sih")</f>
        <v>Aplikasi gak jelas udah daftarnya ribet giliran jadi gak terdaftar gimana sih</v>
      </c>
      <c r="F297" s="17" t="str">
        <f>IFERROR(__xludf.DUMMYFUNCTION("REGEXREPLACE(E297,$A$6, )"),"Aplikasi gak jelas udah daftarnya ribet giliran jadi gak terdaftar gimana sih")</f>
        <v>Aplikasi gak jelas udah daftarnya ribet giliran jadi gak terdaftar gimana sih</v>
      </c>
      <c r="G297" s="18" t="str">
        <f>IFERROR(__xludf.DUMMYFUNCTION("REGEXREPLACE(F297,$A$7, )"),"Aplikasi gak jelas udah daftarnya ribet giliran jadi gak terdaftar gimana sih")</f>
        <v>Aplikasi gak jelas udah daftarnya ribet giliran jadi gak terdaftar gimana sih</v>
      </c>
      <c r="H297" s="17" t="str">
        <f t="shared" si="1"/>
        <v>aplikasi gak jelas udah daftarnya ribet giliran jadi gak terdaftar gimana sih</v>
      </c>
    </row>
    <row r="298">
      <c r="A298" s="16" t="s">
        <v>293</v>
      </c>
      <c r="B298" s="17" t="str">
        <f>IFERROR(__xludf.DUMMYFUNCTION("REGEXREPLACE(A298,$A$2, )"),"Eror trus..padahal data sdh terisi..katanya resmi dr pemerintah kok ga perhatian nya dgn sistemnya..tolong di perbaiki dong")</f>
        <v>Eror trus..padahal data sdh terisi..katanya resmi dr pemerintah kok ga perhatian nya dgn sistemnya..tolong di perbaiki dong</v>
      </c>
      <c r="C298" s="17" t="str">
        <f>IFERROR(__xludf.DUMMYFUNCTION("REGEXREPLACE(B298,$A$3, )"),"Eror trus..padahal data sdh terisi..katanya resmi dr pemerintah kok ga perhatian nya dgn sistemnya..tolong di perbaiki dong")</f>
        <v>Eror trus..padahal data sdh terisi..katanya resmi dr pemerintah kok ga perhatian nya dgn sistemnya..tolong di perbaiki dong</v>
      </c>
      <c r="D298" s="17" t="str">
        <f>IFERROR(__xludf.DUMMYFUNCTION("REGEXREPLACE(C298,$A$4, )"),"Eror trus..padahal data sdh terisi..katanya resmi dr pemerintah kok ga perhatian nya dgn sistemnya..tolong di perbaiki dong")</f>
        <v>Eror trus..padahal data sdh terisi..katanya resmi dr pemerintah kok ga perhatian nya dgn sistemnya..tolong di perbaiki dong</v>
      </c>
      <c r="E298" s="17" t="str">
        <f>IFERROR(__xludf.DUMMYFUNCTION("REGEXREPLACE(D298,$A$5, )"),"Eror trus..padahal data sdh terisi..katanya resmi dr pemerintah kok ga perhatian nya dgn sistemnya..tolong di perbaiki dong")</f>
        <v>Eror trus..padahal data sdh terisi..katanya resmi dr pemerintah kok ga perhatian nya dgn sistemnya..tolong di perbaiki dong</v>
      </c>
      <c r="F298" s="17" t="str">
        <f>IFERROR(__xludf.DUMMYFUNCTION("REGEXREPLACE(E298,$A$6, )"),"Eror truspadahal data sdh terisikatanya resmi dr pemerintah kok ga perhatian nya dgn sistemnyatolong di perbaiki dong")</f>
        <v>Eror truspadahal data sdh terisikatanya resmi dr pemerintah kok ga perhatian nya dgn sistemnyatolong di perbaiki dong</v>
      </c>
      <c r="G298" s="18" t="str">
        <f>IFERROR(__xludf.DUMMYFUNCTION("REGEXREPLACE(F298,$A$7, )"),"Eror truspadahal data sdh terisikatanya resmi dr pemerintah kok ga perhatian nya dgn sistemnyatolong di perbaiki dong")</f>
        <v>Eror truspadahal data sdh terisikatanya resmi dr pemerintah kok ga perhatian nya dgn sistemnyatolong di perbaiki dong</v>
      </c>
      <c r="H298" s="17" t="str">
        <f t="shared" si="1"/>
        <v>eror truspadahal data sdh terisikatanya resmi dr pemerintah kok ga perhatian nya dgn sistemnyatolong di perbaiki dong</v>
      </c>
    </row>
    <row r="299">
      <c r="A299" s="16" t="s">
        <v>294</v>
      </c>
      <c r="B299" s="17" t="str">
        <f>IFERROR(__xludf.DUMMYFUNCTION("REGEXREPLACE(A299,$A$2, )"),"Aplikasinya tidak stabil selalu eror")</f>
        <v>Aplikasinya tidak stabil selalu eror</v>
      </c>
      <c r="C299" s="17" t="str">
        <f>IFERROR(__xludf.DUMMYFUNCTION("REGEXREPLACE(B299,$A$3, )"),"Aplikasinya tidak stabil selalu eror")</f>
        <v>Aplikasinya tidak stabil selalu eror</v>
      </c>
      <c r="D299" s="17" t="str">
        <f>IFERROR(__xludf.DUMMYFUNCTION("REGEXREPLACE(C299,$A$4, )"),"Aplikasinya tidak stabil selalu eror")</f>
        <v>Aplikasinya tidak stabil selalu eror</v>
      </c>
      <c r="E299" s="17" t="str">
        <f>IFERROR(__xludf.DUMMYFUNCTION("REGEXREPLACE(D299,$A$5, )"),"Aplikasinya tidak stabil selalu eror")</f>
        <v>Aplikasinya tidak stabil selalu eror</v>
      </c>
      <c r="F299" s="17" t="str">
        <f>IFERROR(__xludf.DUMMYFUNCTION("REGEXREPLACE(E299,$A$6, )"),"Aplikasinya tidak stabil selalu eror")</f>
        <v>Aplikasinya tidak stabil selalu eror</v>
      </c>
      <c r="G299" s="18" t="str">
        <f>IFERROR(__xludf.DUMMYFUNCTION("REGEXREPLACE(F299,$A$7, )"),"Aplikasinya tidak stabil selalu eror")</f>
        <v>Aplikasinya tidak stabil selalu eror</v>
      </c>
      <c r="H299" s="17" t="str">
        <f t="shared" si="1"/>
        <v>aplikasinya tidak stabil selalu eror</v>
      </c>
    </row>
    <row r="300">
      <c r="A300" s="16" t="s">
        <v>295</v>
      </c>
      <c r="B300" s="17" t="str">
        <f>IFERROR(__xludf.DUMMYFUNCTION("REGEXREPLACE(A300,$A$2, )"),"Sedikit kecewa saat ingin daftar akun baru selalu error Json parse")</f>
        <v>Sedikit kecewa saat ingin daftar akun baru selalu error Json parse</v>
      </c>
      <c r="C300" s="17" t="str">
        <f>IFERROR(__xludf.DUMMYFUNCTION("REGEXREPLACE(B300,$A$3, )"),"Sedikit kecewa saat ingin daftar akun baru selalu error Json parse")</f>
        <v>Sedikit kecewa saat ingin daftar akun baru selalu error Json parse</v>
      </c>
      <c r="D300" s="17" t="str">
        <f>IFERROR(__xludf.DUMMYFUNCTION("REGEXREPLACE(C300,$A$4, )"),"Sedikit kecewa saat ingin daftar akun baru selalu error Json parse")</f>
        <v>Sedikit kecewa saat ingin daftar akun baru selalu error Json parse</v>
      </c>
      <c r="E300" s="17" t="str">
        <f>IFERROR(__xludf.DUMMYFUNCTION("REGEXREPLACE(D300,$A$5, )"),"Sedikit kecewa saat ingin daftar akun baru selalu error Json parse")</f>
        <v>Sedikit kecewa saat ingin daftar akun baru selalu error Json parse</v>
      </c>
      <c r="F300" s="17" t="str">
        <f>IFERROR(__xludf.DUMMYFUNCTION("REGEXREPLACE(E300,$A$6, )"),"Sedikit kecewa saat ingin daftar akun baru selalu error Json parse")</f>
        <v>Sedikit kecewa saat ingin daftar akun baru selalu error Json parse</v>
      </c>
      <c r="G300" s="18" t="str">
        <f>IFERROR(__xludf.DUMMYFUNCTION("REGEXREPLACE(F300,$A$7, )"),"Sedikit kecewa saat ingin daftar akun baru selalu error Json parse")</f>
        <v>Sedikit kecewa saat ingin daftar akun baru selalu error Json parse</v>
      </c>
      <c r="H300" s="17" t="str">
        <f t="shared" si="1"/>
        <v>sedikit kecewa saat ingin daftar akun baru selalu error json parse</v>
      </c>
    </row>
    <row r="301">
      <c r="A301" s="16" t="s">
        <v>296</v>
      </c>
      <c r="B301" s="17" t="str">
        <f>IFERROR(__xludf.DUMMYFUNCTION("REGEXREPLACE(A301,$A$2, )"),"Aplikasi eror ... Tolong diperbaiki supaya saya bisa usul sanggah 🙏🙏")</f>
        <v>Aplikasi eror ... Tolong diperbaiki supaya saya bisa usul sanggah 🙏🙏</v>
      </c>
      <c r="C301" s="17" t="str">
        <f>IFERROR(__xludf.DUMMYFUNCTION("REGEXREPLACE(B301,$A$3, )"),"Aplikasi eror ... Tolong diperbaiki supaya saya bisa usul sanggah 🙏🙏")</f>
        <v>Aplikasi eror ... Tolong diperbaiki supaya saya bisa usul sanggah 🙏🙏</v>
      </c>
      <c r="D301" s="17" t="str">
        <f>IFERROR(__xludf.DUMMYFUNCTION("REGEXREPLACE(C301,$A$4, )"),"Aplikasi eror ... Tolong diperbaiki supaya saya bisa usul sanggah 🙏🙏")</f>
        <v>Aplikasi eror ... Tolong diperbaiki supaya saya bisa usul sanggah 🙏🙏</v>
      </c>
      <c r="E301" s="17" t="str">
        <f>IFERROR(__xludf.DUMMYFUNCTION("REGEXREPLACE(D301,$A$5, )"),"Aplikasi eror ... Tolong diperbaiki supaya saya bisa usul sanggah 🙏🙏")</f>
        <v>Aplikasi eror ... Tolong diperbaiki supaya saya bisa usul sanggah 🙏🙏</v>
      </c>
      <c r="F301" s="17" t="str">
        <f>IFERROR(__xludf.DUMMYFUNCTION("REGEXREPLACE(E301,$A$6, )"),"Aplikasi eror  Tolong diperbaiki supaya saya bisa usul sanggah 🙏🙏")</f>
        <v>Aplikasi eror  Tolong diperbaiki supaya saya bisa usul sanggah 🙏🙏</v>
      </c>
      <c r="G301" s="18" t="str">
        <f>IFERROR(__xludf.DUMMYFUNCTION("REGEXREPLACE(F301,$A$7, )"),"Aplikasi eror  Tolong diperbaiki supaya saya bisa usul sanggah ")</f>
        <v>Aplikasi eror  Tolong diperbaiki supaya saya bisa usul sanggah </v>
      </c>
      <c r="H301" s="17" t="str">
        <f t="shared" si="1"/>
        <v>aplikasi eror  tolong diperbaiki supaya saya bisa usul sanggah </v>
      </c>
    </row>
    <row r="302">
      <c r="A302" s="16" t="s">
        <v>297</v>
      </c>
      <c r="B302" s="17" t="str">
        <f>IFERROR(__xludf.DUMMYFUNCTION("REGEXREPLACE(A302,$A$2, )"),"Error koq setiap hari &amp; setiap waktu")</f>
        <v>Error koq setiap hari &amp; setiap waktu</v>
      </c>
      <c r="C302" s="17" t="str">
        <f>IFERROR(__xludf.DUMMYFUNCTION("REGEXREPLACE(B302,$A$3, )"),"Error koq setiap hari &amp; setiap waktu")</f>
        <v>Error koq setiap hari &amp; setiap waktu</v>
      </c>
      <c r="D302" s="17" t="str">
        <f>IFERROR(__xludf.DUMMYFUNCTION("REGEXREPLACE(C302,$A$4, )"),"Error koq setiap hari &amp; setiap waktu")</f>
        <v>Error koq setiap hari &amp; setiap waktu</v>
      </c>
      <c r="E302" s="17" t="str">
        <f>IFERROR(__xludf.DUMMYFUNCTION("REGEXREPLACE(D302,$A$5, )"),"Error koq setiap hari &amp; setiap waktu")</f>
        <v>Error koq setiap hari &amp; setiap waktu</v>
      </c>
      <c r="F302" s="17" t="str">
        <f>IFERROR(__xludf.DUMMYFUNCTION("REGEXREPLACE(E302,$A$6, )"),"Error koq setiap hari &amp; setiap waktu")</f>
        <v>Error koq setiap hari &amp; setiap waktu</v>
      </c>
      <c r="G302" s="18" t="str">
        <f>IFERROR(__xludf.DUMMYFUNCTION("REGEXREPLACE(F302,$A$7, )"),"Error koq setiap hari &amp; setiap waktu")</f>
        <v>Error koq setiap hari &amp; setiap waktu</v>
      </c>
      <c r="H302" s="17" t="str">
        <f t="shared" si="1"/>
        <v>error koq setiap hari &amp; setiap waktu</v>
      </c>
    </row>
    <row r="303">
      <c r="A303" s="16" t="s">
        <v>298</v>
      </c>
      <c r="B303" s="17" t="str">
        <f>IFERROR(__xludf.DUMMYFUNCTION("REGEXREPLACE(A303,$A$2, )"),"Banyak aplikasi pemerintah tapi login ga bisa. Auka aneh")</f>
        <v>Banyak aplikasi pemerintah tapi login ga bisa. Auka aneh</v>
      </c>
      <c r="C303" s="17" t="str">
        <f>IFERROR(__xludf.DUMMYFUNCTION("REGEXREPLACE(B303,$A$3, )"),"Banyak aplikasi pemerintah tapi login ga bisa. Auka aneh")</f>
        <v>Banyak aplikasi pemerintah tapi login ga bisa. Auka aneh</v>
      </c>
      <c r="D303" s="17" t="str">
        <f>IFERROR(__xludf.DUMMYFUNCTION("REGEXREPLACE(C303,$A$4, )"),"Banyak aplikasi pemerintah tapi login ga bisa. Auka aneh")</f>
        <v>Banyak aplikasi pemerintah tapi login ga bisa. Auka aneh</v>
      </c>
      <c r="E303" s="17" t="str">
        <f>IFERROR(__xludf.DUMMYFUNCTION("REGEXREPLACE(D303,$A$5, )"),"Banyak aplikasi pemerintah tapi login ga bisa. Auka aneh")</f>
        <v>Banyak aplikasi pemerintah tapi login ga bisa. Auka aneh</v>
      </c>
      <c r="F303" s="17" t="str">
        <f>IFERROR(__xludf.DUMMYFUNCTION("REGEXREPLACE(E303,$A$6, )"),"Banyak aplikasi pemerintah tapi login ga bisa Auka aneh")</f>
        <v>Banyak aplikasi pemerintah tapi login ga bisa Auka aneh</v>
      </c>
      <c r="G303" s="18" t="str">
        <f>IFERROR(__xludf.DUMMYFUNCTION("REGEXREPLACE(F303,$A$7, )"),"Banyak aplikasi pemerintah tapi login ga bisa Auka aneh")</f>
        <v>Banyak aplikasi pemerintah tapi login ga bisa Auka aneh</v>
      </c>
      <c r="H303" s="17" t="str">
        <f t="shared" si="1"/>
        <v>banyak aplikasi pemerintah tapi login ga bisa auka aneh</v>
      </c>
    </row>
    <row r="304">
      <c r="A304" s="16" t="s">
        <v>299</v>
      </c>
      <c r="B304" s="17" t="str">
        <f>IFERROR(__xludf.DUMMYFUNCTION("REGEXREPLACE(A304,$A$2, )"),"Gak bisa daftr akun error terus parah nih aplikasih Tolong diperbaikin kenapa")</f>
        <v>Gak bisa daftr akun error terus parah nih aplikasih Tolong diperbaikin kenapa</v>
      </c>
      <c r="C304" s="17" t="str">
        <f>IFERROR(__xludf.DUMMYFUNCTION("REGEXREPLACE(B304,$A$3, )"),"Gak bisa daftr akun error terus parah nih aplikasih Tolong diperbaikin kenapa")</f>
        <v>Gak bisa daftr akun error terus parah nih aplikasih Tolong diperbaikin kenapa</v>
      </c>
      <c r="D304" s="17" t="str">
        <f>IFERROR(__xludf.DUMMYFUNCTION("REGEXREPLACE(C304,$A$4, )"),"Gak bisa daftr akun error terus parah nih aplikasih Tolong diperbaikin kenapa")</f>
        <v>Gak bisa daftr akun error terus parah nih aplikasih Tolong diperbaikin kenapa</v>
      </c>
      <c r="E304" s="17" t="str">
        <f>IFERROR(__xludf.DUMMYFUNCTION("REGEXREPLACE(D304,$A$5, )"),"Gak bisa daftr akun error terus parah nih aplikasih Tolong diperbaikin kenapa")</f>
        <v>Gak bisa daftr akun error terus parah nih aplikasih Tolong diperbaikin kenapa</v>
      </c>
      <c r="F304" s="17" t="str">
        <f>IFERROR(__xludf.DUMMYFUNCTION("REGEXREPLACE(E304,$A$6, )"),"Gak bisa daftr akun error terus parah nih aplikasih Tolong diperbaikin kenapa")</f>
        <v>Gak bisa daftr akun error terus parah nih aplikasih Tolong diperbaikin kenapa</v>
      </c>
      <c r="G304" s="18" t="str">
        <f>IFERROR(__xludf.DUMMYFUNCTION("REGEXREPLACE(F304,$A$7, )"),"Gak bisa daftr akun error terus parah nih aplikasih Tolong diperbaikin kenapa")</f>
        <v>Gak bisa daftr akun error terus parah nih aplikasih Tolong diperbaikin kenapa</v>
      </c>
      <c r="H304" s="17" t="str">
        <f t="shared" si="1"/>
        <v>gak bisa daftr akun error terus parah nih aplikasih tolong diperbaikin kenapa</v>
      </c>
    </row>
    <row r="305">
      <c r="A305" s="16" t="s">
        <v>300</v>
      </c>
      <c r="B305" s="17" t="str">
        <f>IFERROR(__xludf.DUMMYFUNCTION("REGEXREPLACE(A305,$A$2, )"),"Setelah didonlod masa gak bisa dibuka masih diperbaiki")</f>
        <v>Setelah didonlod masa gak bisa dibuka masih diperbaiki</v>
      </c>
      <c r="C305" s="17" t="str">
        <f>IFERROR(__xludf.DUMMYFUNCTION("REGEXREPLACE(B305,$A$3, )"),"Setelah didonlod masa gak bisa dibuka masih diperbaiki")</f>
        <v>Setelah didonlod masa gak bisa dibuka masih diperbaiki</v>
      </c>
      <c r="D305" s="17" t="str">
        <f>IFERROR(__xludf.DUMMYFUNCTION("REGEXREPLACE(C305,$A$4, )"),"Setelah didonlod masa gak bisa dibuka masih diperbaiki")</f>
        <v>Setelah didonlod masa gak bisa dibuka masih diperbaiki</v>
      </c>
      <c r="E305" s="17" t="str">
        <f>IFERROR(__xludf.DUMMYFUNCTION("REGEXREPLACE(D305,$A$5, )"),"Setelah didonlod masa gak bisa dibuka masih diperbaiki")</f>
        <v>Setelah didonlod masa gak bisa dibuka masih diperbaiki</v>
      </c>
      <c r="F305" s="17" t="str">
        <f>IFERROR(__xludf.DUMMYFUNCTION("REGEXREPLACE(E305,$A$6, )"),"Setelah didonlod masa gak bisa dibuka masih diperbaiki")</f>
        <v>Setelah didonlod masa gak bisa dibuka masih diperbaiki</v>
      </c>
      <c r="G305" s="18" t="str">
        <f>IFERROR(__xludf.DUMMYFUNCTION("REGEXREPLACE(F305,$A$7, )"),"Setelah didonlod masa gak bisa dibuka masih diperbaiki")</f>
        <v>Setelah didonlod masa gak bisa dibuka masih diperbaiki</v>
      </c>
      <c r="H305" s="17" t="str">
        <f t="shared" si="1"/>
        <v>setelah didonlod masa gak bisa dibuka masih diperbaiki</v>
      </c>
    </row>
    <row r="306">
      <c r="A306" s="16" t="s">
        <v>301</v>
      </c>
      <c r="B306" s="17" t="str">
        <f>IFERROR(__xludf.DUMMYFUNCTION("REGEXREPLACE(A306,$A$2, )"),"Aplikasi tidak berguna setiap mau masuk error truss")</f>
        <v>Aplikasi tidak berguna setiap mau masuk error truss</v>
      </c>
      <c r="C306" s="17" t="str">
        <f>IFERROR(__xludf.DUMMYFUNCTION("REGEXREPLACE(B306,$A$3, )"),"Aplikasi tidak berguna setiap mau masuk error truss")</f>
        <v>Aplikasi tidak berguna setiap mau masuk error truss</v>
      </c>
      <c r="D306" s="17" t="str">
        <f>IFERROR(__xludf.DUMMYFUNCTION("REGEXREPLACE(C306,$A$4, )"),"Aplikasi tidak berguna setiap mau masuk error truss")</f>
        <v>Aplikasi tidak berguna setiap mau masuk error truss</v>
      </c>
      <c r="E306" s="17" t="str">
        <f>IFERROR(__xludf.DUMMYFUNCTION("REGEXREPLACE(D306,$A$5, )"),"Aplikasi tidak berguna setiap mau masuk error truss")</f>
        <v>Aplikasi tidak berguna setiap mau masuk error truss</v>
      </c>
      <c r="F306" s="17" t="str">
        <f>IFERROR(__xludf.DUMMYFUNCTION("REGEXREPLACE(E306,$A$6, )"),"Aplikasi tidak berguna setiap mau masuk error truss")</f>
        <v>Aplikasi tidak berguna setiap mau masuk error truss</v>
      </c>
      <c r="G306" s="18" t="str">
        <f>IFERROR(__xludf.DUMMYFUNCTION("REGEXREPLACE(F306,$A$7, )"),"Aplikasi tidak berguna setiap mau masuk error truss")</f>
        <v>Aplikasi tidak berguna setiap mau masuk error truss</v>
      </c>
      <c r="H306" s="17" t="str">
        <f t="shared" si="1"/>
        <v>aplikasi tidak berguna setiap mau masuk error truss</v>
      </c>
    </row>
    <row r="307">
      <c r="A307" s="16" t="s">
        <v>302</v>
      </c>
      <c r="B307" s="17" t="str">
        <f>IFERROR(__xludf.DUMMYFUNCTION("REGEXREPLACE(A307,$A$2, )"),"Udah terdaftar suruh logging ulang trs tulisannya ga terdaftar???")</f>
        <v>Udah terdaftar suruh logging ulang trs tulisannya ga terdaftar???</v>
      </c>
      <c r="C307" s="17" t="str">
        <f>IFERROR(__xludf.DUMMYFUNCTION("REGEXREPLACE(B307,$A$3, )"),"Udah terdaftar suruh logging ulang trs tulisannya ga terdaftar???")</f>
        <v>Udah terdaftar suruh logging ulang trs tulisannya ga terdaftar???</v>
      </c>
      <c r="D307" s="17" t="str">
        <f>IFERROR(__xludf.DUMMYFUNCTION("REGEXREPLACE(C307,$A$4, )"),"Udah terdaftar suruh logging ulang trs tulisannya ga terdaftar???")</f>
        <v>Udah terdaftar suruh logging ulang trs tulisannya ga terdaftar???</v>
      </c>
      <c r="E307" s="17" t="str">
        <f>IFERROR(__xludf.DUMMYFUNCTION("REGEXREPLACE(D307,$A$5, )"),"Udah terdaftar suruh logging ulang trs tulisannya ga terdaftar???")</f>
        <v>Udah terdaftar suruh logging ulang trs tulisannya ga terdaftar???</v>
      </c>
      <c r="F307" s="17" t="str">
        <f>IFERROR(__xludf.DUMMYFUNCTION("REGEXREPLACE(E307,$A$6, )"),"Udah terdaftar suruh logging ulang trs tulisannya ga terdaftar")</f>
        <v>Udah terdaftar suruh logging ulang trs tulisannya ga terdaftar</v>
      </c>
      <c r="G307" s="18" t="str">
        <f>IFERROR(__xludf.DUMMYFUNCTION("REGEXREPLACE(F307,$A$7, )"),"Udah terdaftar suruh logging ulang trs tulisannya ga terdaftar")</f>
        <v>Udah terdaftar suruh logging ulang trs tulisannya ga terdaftar</v>
      </c>
      <c r="H307" s="17" t="str">
        <f t="shared" si="1"/>
        <v>udah terdaftar suruh logging ulang trs tulisannya ga terdaftar</v>
      </c>
    </row>
    <row r="308">
      <c r="A308" s="16" t="s">
        <v>303</v>
      </c>
      <c r="B308" s="17" t="str">
        <f>IFERROR(__xludf.DUMMYFUNCTION("REGEXREPLACE(A308,$A$2, )"),"Aplikasi strees kalo gabisa gini kalo yg coding org awam. Kasian rakyat di kerjain.")</f>
        <v>Aplikasi strees kalo gabisa gini kalo yg coding org awam. Kasian rakyat di kerjain.</v>
      </c>
      <c r="C308" s="17" t="str">
        <f>IFERROR(__xludf.DUMMYFUNCTION("REGEXREPLACE(B308,$A$3, )"),"Aplikasi strees kalo gabisa gini kalo yg coding org awam. Kasian rakyat di kerjain.")</f>
        <v>Aplikasi strees kalo gabisa gini kalo yg coding org awam. Kasian rakyat di kerjain.</v>
      </c>
      <c r="D308" s="17" t="str">
        <f>IFERROR(__xludf.DUMMYFUNCTION("REGEXREPLACE(C308,$A$4, )"),"Aplikasi strees kalo gabisa gini kalo yg coding org awam. Kasian rakyat di kerjain.")</f>
        <v>Aplikasi strees kalo gabisa gini kalo yg coding org awam. Kasian rakyat di kerjain.</v>
      </c>
      <c r="E308" s="17" t="str">
        <f>IFERROR(__xludf.DUMMYFUNCTION("REGEXREPLACE(D308,$A$5, )"),"Aplikasi strees kalo gabisa gini kalo yg coding org awam. Kasian rakyat di kerjain.")</f>
        <v>Aplikasi strees kalo gabisa gini kalo yg coding org awam. Kasian rakyat di kerjain.</v>
      </c>
      <c r="F308" s="17" t="str">
        <f>IFERROR(__xludf.DUMMYFUNCTION("REGEXREPLACE(E308,$A$6, )"),"Aplikasi strees kalo gabisa gini kalo yg coding org awam Kasian rakyat di kerjain")</f>
        <v>Aplikasi strees kalo gabisa gini kalo yg coding org awam Kasian rakyat di kerjain</v>
      </c>
      <c r="G308" s="18" t="str">
        <f>IFERROR(__xludf.DUMMYFUNCTION("REGEXREPLACE(F308,$A$7, )"),"Aplikasi strees kalo gabisa gini kalo yg coding org awam Kasian rakyat di kerjain")</f>
        <v>Aplikasi strees kalo gabisa gini kalo yg coding org awam Kasian rakyat di kerjain</v>
      </c>
      <c r="H308" s="17" t="str">
        <f t="shared" si="1"/>
        <v>aplikasi strees kalo gabisa gini kalo yg coding org awam kasian rakyat di kerjain</v>
      </c>
    </row>
    <row r="309">
      <c r="A309" s="16" t="s">
        <v>304</v>
      </c>
      <c r="B309" s="17" t="str">
        <f>IFERROR(__xludf.DUMMYFUNCTION("REGEXREPLACE(A309,$A$2, )"),"Apa benar apk ini dari dinas sosial..""kok bisa mau mengajukan eror Mulu bisa di perbaiki gak apk ini biar bisa bantu masyarakat yg lagi kesusahan..""biar gak ada keluhan...")</f>
        <v>Apa benar apk ini dari dinas sosial.."kok bisa mau mengajukan eror Mulu bisa di perbaiki gak apk ini biar bisa bantu masyarakat yg lagi kesusahan.."biar gak ada keluhan...</v>
      </c>
      <c r="C309" s="17" t="str">
        <f>IFERROR(__xludf.DUMMYFUNCTION("REGEXREPLACE(B309,$A$3, )"),"Apa benar apk ini dari dinas sosial..""kok bisa mau mengajukan eror Mulu bisa di perbaiki gak apk ini biar bisa bantu masyarakat yg lagi kesusahan..""biar gak ada keluhan...")</f>
        <v>Apa benar apk ini dari dinas sosial.."kok bisa mau mengajukan eror Mulu bisa di perbaiki gak apk ini biar bisa bantu masyarakat yg lagi kesusahan.."biar gak ada keluhan...</v>
      </c>
      <c r="D309" s="17" t="str">
        <f>IFERROR(__xludf.DUMMYFUNCTION("REGEXREPLACE(C309,$A$4, )"),"Apa benar apk ini dari dinas sosial..""kok bisa mau mengajukan eror Mulu bisa di perbaiki gak apk ini biar bisa bantu masyarakat yg lagi kesusahan..""biar gak ada keluhan...")</f>
        <v>Apa benar apk ini dari dinas sosial.."kok bisa mau mengajukan eror Mulu bisa di perbaiki gak apk ini biar bisa bantu masyarakat yg lagi kesusahan.."biar gak ada keluhan...</v>
      </c>
      <c r="E309" s="17" t="str">
        <f>IFERROR(__xludf.DUMMYFUNCTION("REGEXREPLACE(D309,$A$5, )"),"Apa benar apk ini dari dinas sosial..""kok bisa mau mengajukan eror Mulu bisa di perbaiki gak apk ini biar bisa bantu masyarakat yg lagi kesusahan..""biar gak ada keluhan...")</f>
        <v>Apa benar apk ini dari dinas sosial.."kok bisa mau mengajukan eror Mulu bisa di perbaiki gak apk ini biar bisa bantu masyarakat yg lagi kesusahan.."biar gak ada keluhan...</v>
      </c>
      <c r="F309" s="17" t="str">
        <f>IFERROR(__xludf.DUMMYFUNCTION("REGEXREPLACE(E309,$A$6, )"),"Apa benar apk ini dari dinas sosialkok bisa mau mengajukan eror Mulu bisa di perbaiki gak apk ini biar bisa bantu masyarakat yg lagi kesusahanbiar gak ada keluhan")</f>
        <v>Apa benar apk ini dari dinas sosialkok bisa mau mengajukan eror Mulu bisa di perbaiki gak apk ini biar bisa bantu masyarakat yg lagi kesusahanbiar gak ada keluhan</v>
      </c>
      <c r="G309" s="18" t="str">
        <f>IFERROR(__xludf.DUMMYFUNCTION("REGEXREPLACE(F309,$A$7, )"),"Apa benar apk ini dari dinas sosialkok bisa mau mengajukan eror Mulu bisa di perbaiki gak apk ini biar bisa bantu masyarakat yg lagi kesusahanbiar gak ada keluhan")</f>
        <v>Apa benar apk ini dari dinas sosialkok bisa mau mengajukan eror Mulu bisa di perbaiki gak apk ini biar bisa bantu masyarakat yg lagi kesusahanbiar gak ada keluhan</v>
      </c>
      <c r="H309" s="17" t="str">
        <f t="shared" si="1"/>
        <v>apa benar apk ini dari dinas sosialkok bisa mau mengajukan eror mulu bisa di perbaiki gak apk ini biar bisa bantu masyarakat yg lagi kesusahanbiar gak ada keluhan</v>
      </c>
    </row>
    <row r="310">
      <c r="A310" s="16" t="s">
        <v>305</v>
      </c>
      <c r="B310" s="17" t="str">
        <f>IFERROR(__xludf.DUMMYFUNCTION("REGEXREPLACE(A310,$A$2, )"),"Di update malahan gak bjsa login, haduhhh....")</f>
        <v>Di update malahan gak bjsa login, haduhhh....</v>
      </c>
      <c r="C310" s="17" t="str">
        <f>IFERROR(__xludf.DUMMYFUNCTION("REGEXREPLACE(B310,$A$3, )"),"Di update malahan gak bjsa login, haduhhh....")</f>
        <v>Di update malahan gak bjsa login, haduhhh....</v>
      </c>
      <c r="D310" s="17" t="str">
        <f>IFERROR(__xludf.DUMMYFUNCTION("REGEXREPLACE(C310,$A$4, )"),"Di update malahan gak bjsa login, haduhhh....")</f>
        <v>Di update malahan gak bjsa login, haduhhh....</v>
      </c>
      <c r="E310" s="17" t="str">
        <f>IFERROR(__xludf.DUMMYFUNCTION("REGEXREPLACE(D310,$A$5, )"),"Di update malahan gak bjsa login, haduhhh....")</f>
        <v>Di update malahan gak bjsa login, haduhhh....</v>
      </c>
      <c r="F310" s="17" t="str">
        <f>IFERROR(__xludf.DUMMYFUNCTION("REGEXREPLACE(E310,$A$6, )"),"Di update malahan gak bjsa login haduhhh")</f>
        <v>Di update malahan gak bjsa login haduhhh</v>
      </c>
      <c r="G310" s="18" t="str">
        <f>IFERROR(__xludf.DUMMYFUNCTION("REGEXREPLACE(F310,$A$7, )"),"Di update malahan gak bjsa login haduhhh")</f>
        <v>Di update malahan gak bjsa login haduhhh</v>
      </c>
      <c r="H310" s="17" t="str">
        <f t="shared" si="1"/>
        <v>di update malahan gak bjsa login haduhhh</v>
      </c>
    </row>
    <row r="311">
      <c r="A311" s="16" t="s">
        <v>306</v>
      </c>
      <c r="B311" s="17" t="str">
        <f>IFERROR(__xludf.DUMMYFUNCTION("REGEXREPLACE(A311,$A$2, )"),"Ko pas buat akun tulisan nya error json parse,,gitu terus padahl isi data buat akun nya udah komplit")</f>
        <v>Ko pas buat akun tulisan nya error json parse,,gitu terus padahl isi data buat akun nya udah komplit</v>
      </c>
      <c r="C311" s="17" t="str">
        <f>IFERROR(__xludf.DUMMYFUNCTION("REGEXREPLACE(B311,$A$3, )"),"Ko pas buat akun tulisan nya error json parse,,gitu terus padahl isi data buat akun nya udah komplit")</f>
        <v>Ko pas buat akun tulisan nya error json parse,,gitu terus padahl isi data buat akun nya udah komplit</v>
      </c>
      <c r="D311" s="17" t="str">
        <f>IFERROR(__xludf.DUMMYFUNCTION("REGEXREPLACE(C311,$A$4, )"),"Ko pas buat akun tulisan nya error json parse,,gitu terus padahl isi data buat akun nya udah komplit")</f>
        <v>Ko pas buat akun tulisan nya error json parse,,gitu terus padahl isi data buat akun nya udah komplit</v>
      </c>
      <c r="E311" s="17" t="str">
        <f>IFERROR(__xludf.DUMMYFUNCTION("REGEXREPLACE(D311,$A$5, )"),"Ko pas buat akun tulisan nya error json parse,,gitu terus padahl isi data buat akun nya udah komplit")</f>
        <v>Ko pas buat akun tulisan nya error json parse,,gitu terus padahl isi data buat akun nya udah komplit</v>
      </c>
      <c r="F311" s="17" t="str">
        <f>IFERROR(__xludf.DUMMYFUNCTION("REGEXREPLACE(E311,$A$6, )"),"Ko pas buat akun tulisan nya error json parsegitu terus padahl isi data buat akun nya udah komplit")</f>
        <v>Ko pas buat akun tulisan nya error json parsegitu terus padahl isi data buat akun nya udah komplit</v>
      </c>
      <c r="G311" s="18" t="str">
        <f>IFERROR(__xludf.DUMMYFUNCTION("REGEXREPLACE(F311,$A$7, )"),"Ko pas buat akun tulisan nya error json parsegitu terus padahl isi data buat akun nya udah komplit")</f>
        <v>Ko pas buat akun tulisan nya error json parsegitu terus padahl isi data buat akun nya udah komplit</v>
      </c>
      <c r="H311" s="17" t="str">
        <f t="shared" si="1"/>
        <v>ko pas buat akun tulisan nya error json parsegitu terus padahl isi data buat akun nya udah komplit</v>
      </c>
    </row>
    <row r="312">
      <c r="A312" s="16" t="s">
        <v>307</v>
      </c>
      <c r="B312" s="17" t="str">
        <f>IFERROR(__xludf.DUMMYFUNCTION("REGEXREPLACE(A312,$A$2, )"),"Terimakasih, karna aplikasi cek bansos ini membuat OTKS cukupp terbantu.")</f>
        <v>Terimakasih, karna aplikasi cek bansos ini membuat OTKS cukupp terbantu.</v>
      </c>
      <c r="C312" s="17" t="str">
        <f>IFERROR(__xludf.DUMMYFUNCTION("REGEXREPLACE(B312,$A$3, )"),"Terimakasih, karna aplikasi cek bansos ini membuat OTKS cukupp terbantu.")</f>
        <v>Terimakasih, karna aplikasi cek bansos ini membuat OTKS cukupp terbantu.</v>
      </c>
      <c r="D312" s="17" t="str">
        <f>IFERROR(__xludf.DUMMYFUNCTION("REGEXREPLACE(C312,$A$4, )"),"Terimakasih, karna aplikasi cek bansos ini membuat OTKS cukupp terbantu.")</f>
        <v>Terimakasih, karna aplikasi cek bansos ini membuat OTKS cukupp terbantu.</v>
      </c>
      <c r="E312" s="17" t="str">
        <f>IFERROR(__xludf.DUMMYFUNCTION("REGEXREPLACE(D312,$A$5, )"),"Terimakasih, karna aplikasi cek bansos ini membuat OTKS cukupp terbantu.")</f>
        <v>Terimakasih, karna aplikasi cek bansos ini membuat OTKS cukupp terbantu.</v>
      </c>
      <c r="F312" s="17" t="str">
        <f>IFERROR(__xludf.DUMMYFUNCTION("REGEXREPLACE(E312,$A$6, )"),"Terimakasih karna aplikasi cek bansos ini membuat OTKS cukupp terbantu")</f>
        <v>Terimakasih karna aplikasi cek bansos ini membuat OTKS cukupp terbantu</v>
      </c>
      <c r="G312" s="18" t="str">
        <f>IFERROR(__xludf.DUMMYFUNCTION("REGEXREPLACE(F312,$A$7, )"),"Terimakasih karna aplikasi cek bansos ini membuat OTKS cukupp terbantu")</f>
        <v>Terimakasih karna aplikasi cek bansos ini membuat OTKS cukupp terbantu</v>
      </c>
      <c r="H312" s="17" t="str">
        <f t="shared" si="1"/>
        <v>terimakasih karna aplikasi cek bansos ini membuat otks cukupp terbantu</v>
      </c>
    </row>
    <row r="313">
      <c r="A313" s="16" t="s">
        <v>308</v>
      </c>
      <c r="B313" s="17" t="str">
        <f>IFERROR(__xludf.DUMMYFUNCTION("REGEXREPLACE(A313,$A$2, )"),"Untuk publik rakyat Indonesia jangan setengah-setengah dong kalau bikin aplikasi!!!")</f>
        <v>Untuk publik rakyat Indonesia jangan setengah-setengah dong kalau bikin aplikasi!!!</v>
      </c>
      <c r="C313" s="17" t="str">
        <f>IFERROR(__xludf.DUMMYFUNCTION("REGEXREPLACE(B313,$A$3, )"),"Untuk publik rakyat Indonesia jangan setengah-setengah dong kalau bikin aplikasi!!!")</f>
        <v>Untuk publik rakyat Indonesia jangan setengah-setengah dong kalau bikin aplikasi!!!</v>
      </c>
      <c r="D313" s="17" t="str">
        <f>IFERROR(__xludf.DUMMYFUNCTION("REGEXREPLACE(C313,$A$4, )"),"Untuk publik rakyat Indonesia jangan setengah-setengah dong kalau bikin aplikasi!!!")</f>
        <v>Untuk publik rakyat Indonesia jangan setengah-setengah dong kalau bikin aplikasi!!!</v>
      </c>
      <c r="E313" s="17" t="str">
        <f>IFERROR(__xludf.DUMMYFUNCTION("REGEXREPLACE(D313,$A$5, )"),"Untuk publik rakyat Indonesia jangan setengah-setengah dong kalau bikin aplikasi!!!")</f>
        <v>Untuk publik rakyat Indonesia jangan setengah-setengah dong kalau bikin aplikasi!!!</v>
      </c>
      <c r="F313" s="17" t="str">
        <f>IFERROR(__xludf.DUMMYFUNCTION("REGEXREPLACE(E313,$A$6, )"),"Untuk publik rakyat Indonesia jangan setengahsetengah dong kalau bikin aplikasi")</f>
        <v>Untuk publik rakyat Indonesia jangan setengahsetengah dong kalau bikin aplikasi</v>
      </c>
      <c r="G313" s="18" t="str">
        <f>IFERROR(__xludf.DUMMYFUNCTION("REGEXREPLACE(F313,$A$7, )"),"Untuk publik rakyat Indonesia jangan setengahsetengah dong kalau bikin aplikasi")</f>
        <v>Untuk publik rakyat Indonesia jangan setengahsetengah dong kalau bikin aplikasi</v>
      </c>
      <c r="H313" s="17" t="str">
        <f t="shared" si="1"/>
        <v>untuk publik rakyat indonesia jangan setengahsetengah dong kalau bikin aplikasi</v>
      </c>
    </row>
    <row r="314">
      <c r="A314" s="16" t="s">
        <v>309</v>
      </c>
      <c r="B314" s="17" t="str">
        <f>IFERROR(__xludf.DUMMYFUNCTION("REGEXREPLACE(A314,$A$2, )"),"Berkali"" coba buat akun tpi selalu ngga bisa, ku kira masalah jaringan, tapi setelah melihat rating ulasan nya ternyata memang applikasi nya yg tidak berguna, pdahal ini cara yg mudah buat dapat bantuan, Karna klo nunggu bantuan dari desa boro"", smpe le"&amp;"baran monyet Mun ngga nyampe")</f>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c r="C314" s="17" t="str">
        <f>IFERROR(__xludf.DUMMYFUNCTION("REGEXREPLACE(B314,$A$3, )"),"Berkali"" coba buat akun tpi selalu ngga bisa, ku kira masalah jaringan, tapi setelah melihat rating ulasan nya ternyata memang applikasi nya yg tidak berguna, pdahal ini cara yg mudah buat dapat bantuan, Karna klo nunggu bantuan dari desa boro"", smpe le"&amp;"baran monyet Mun ngga nyampe")</f>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c r="D314" s="17" t="str">
        <f>IFERROR(__xludf.DUMMYFUNCTION("REGEXREPLACE(C314,$A$4, )"),"Berkali"" coba buat akun tpi selalu ngga bisa, ku kira masalah jaringan, tapi setelah melihat rating ulasan nya ternyata memang applikasi nya yg tidak berguna, pdahal ini cara yg mudah buat dapat bantuan, Karna klo nunggu bantuan dari desa boro"", smpe le"&amp;"baran monyet Mun ngga nyampe")</f>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c r="E314" s="17" t="str">
        <f>IFERROR(__xludf.DUMMYFUNCTION("REGEXREPLACE(D314,$A$5, )"),"Berkali"" coba buat akun tpi selalu ngga bisa, ku kira masalah jaringan, tapi setelah melihat rating ulasan nya ternyata memang applikasi nya yg tidak berguna, pdahal ini cara yg mudah buat dapat bantuan, Karna klo nunggu bantuan dari desa boro"", smpe le"&amp;"baran monyet Mun ngga nyampe")</f>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c r="F314" s="17" t="str">
        <f>IFERROR(__xludf.DUMMYFUNCTION("REGEXREPLACE(E314,$A$6, )"),"Berkali coba buat akun tpi selalu ngga bisa ku kira masalah jaringan tapi setelah melihat rating ulasan nya ternyata memang applikasi nya yg tidak berguna pdahal ini cara yg mudah buat dapat bantuan Karna klo nunggu bantuan dari desa boro smpe lebaran mon"&amp;"yet Mun ngga nyampe")</f>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c r="G314" s="18" t="str">
        <f>IFERROR(__xludf.DUMMYFUNCTION("REGEXREPLACE(F314,$A$7, )"),"Berkali coba buat akun tpi selalu ngga bisa ku kira masalah jaringan tapi setelah melihat rating ulasan nya ternyata memang applikasi nya yg tidak berguna pdahal ini cara yg mudah buat dapat bantuan Karna klo nunggu bantuan dari desa boro smpe lebaran mon"&amp;"yet Mun ngga nyampe")</f>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c r="H314" s="17" t="str">
        <f t="shared" si="1"/>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row>
    <row r="315">
      <c r="A315" s="16" t="s">
        <v>310</v>
      </c>
      <c r="B315" s="17" t="str">
        <f>IFERROR(__xludf.DUMMYFUNCTION("REGEXREPLACE(A315,$A$2, )"),"Aplikasi error Json parse , developer tidak kompeten, sangat parah untuk apk pemerintahan")</f>
        <v>Aplikasi error Json parse , developer tidak kompeten, sangat parah untuk apk pemerintahan</v>
      </c>
      <c r="C315" s="17" t="str">
        <f>IFERROR(__xludf.DUMMYFUNCTION("REGEXREPLACE(B315,$A$3, )"),"Aplikasi error Json parse , developer tidak kompeten, sangat parah untuk apk pemerintahan")</f>
        <v>Aplikasi error Json parse , developer tidak kompeten, sangat parah untuk apk pemerintahan</v>
      </c>
      <c r="D315" s="17" t="str">
        <f>IFERROR(__xludf.DUMMYFUNCTION("REGEXREPLACE(C315,$A$4, )"),"Aplikasi error Json parse , developer tidak kompeten, sangat parah untuk apk pemerintahan")</f>
        <v>Aplikasi error Json parse , developer tidak kompeten, sangat parah untuk apk pemerintahan</v>
      </c>
      <c r="E315" s="17" t="str">
        <f>IFERROR(__xludf.DUMMYFUNCTION("REGEXREPLACE(D315,$A$5, )"),"Aplikasi error Json parse , developer tidak kompeten, sangat parah untuk apk pemerintahan")</f>
        <v>Aplikasi error Json parse , developer tidak kompeten, sangat parah untuk apk pemerintahan</v>
      </c>
      <c r="F315" s="17" t="str">
        <f>IFERROR(__xludf.DUMMYFUNCTION("REGEXREPLACE(E315,$A$6, )"),"Aplikasi error Json parse  developer tidak kompeten sangat parah untuk apk pemerintahan")</f>
        <v>Aplikasi error Json parse  developer tidak kompeten sangat parah untuk apk pemerintahan</v>
      </c>
      <c r="G315" s="18" t="str">
        <f>IFERROR(__xludf.DUMMYFUNCTION("REGEXREPLACE(F315,$A$7, )"),"Aplikasi error Json parse  developer tidak kompeten sangat parah untuk apk pemerintahan")</f>
        <v>Aplikasi error Json parse  developer tidak kompeten sangat parah untuk apk pemerintahan</v>
      </c>
      <c r="H315" s="17" t="str">
        <f t="shared" si="1"/>
        <v>aplikasi error json parse  developer tidak kompeten sangat parah untuk apk pemerintahan</v>
      </c>
    </row>
    <row r="316">
      <c r="A316" s="16" t="s">
        <v>311</v>
      </c>
      <c r="B316" s="17" t="str">
        <f>IFERROR(__xludf.DUMMYFUNCTION("REGEXREPLACE(A316,$A$2, )"),"Udah masukin username sama pasword tp gk bisa login..")</f>
        <v>Udah masukin username sama pasword tp gk bisa login..</v>
      </c>
      <c r="C316" s="17" t="str">
        <f>IFERROR(__xludf.DUMMYFUNCTION("REGEXREPLACE(B316,$A$3, )"),"Udah masukin username sama pasword tp gk bisa login..")</f>
        <v>Udah masukin username sama pasword tp gk bisa login..</v>
      </c>
      <c r="D316" s="17" t="str">
        <f>IFERROR(__xludf.DUMMYFUNCTION("REGEXREPLACE(C316,$A$4, )"),"Udah masukin username sama pasword tp gk bisa login..")</f>
        <v>Udah masukin username sama pasword tp gk bisa login..</v>
      </c>
      <c r="E316" s="17" t="str">
        <f>IFERROR(__xludf.DUMMYFUNCTION("REGEXREPLACE(D316,$A$5, )"),"Udah masukin username sama pasword tp gk bisa login..")</f>
        <v>Udah masukin username sama pasword tp gk bisa login..</v>
      </c>
      <c r="F316" s="17" t="str">
        <f>IFERROR(__xludf.DUMMYFUNCTION("REGEXREPLACE(E316,$A$6, )"),"Udah masukin username sama pasword tp gk bisa login")</f>
        <v>Udah masukin username sama pasword tp gk bisa login</v>
      </c>
      <c r="G316" s="18" t="str">
        <f>IFERROR(__xludf.DUMMYFUNCTION("REGEXREPLACE(F316,$A$7, )"),"Udah masukin username sama pasword tp gk bisa login")</f>
        <v>Udah masukin username sama pasword tp gk bisa login</v>
      </c>
      <c r="H316" s="17" t="str">
        <f t="shared" si="1"/>
        <v>udah masukin username sama pasword tp gk bisa login</v>
      </c>
    </row>
    <row r="317">
      <c r="A317" s="16" t="s">
        <v>312</v>
      </c>
      <c r="B317" s="17" t="str">
        <f>IFERROR(__xludf.DUMMYFUNCTION("REGEXREPLACE(A317,$A$2, )"),"Error' yach ??? Saat baru buat akun baru malah selalu tulisannya, ""connection error"". Padahal signal hp bagus bagus melambung tinggi setinggi BBM. Developer tolong perbaiki. Sementara saya kasih 1 bintang azah. Btw JANGAN SAMPAI DATA PRIBADI TERSEBAR GE"&amp;"GARA APLIKASINYA ERROR.")</f>
        <v>Error' yach ??? Saat baru buat akun baru malah selalu tulisannya, "connection error". Padahal signal hp bagus bagus melambung tinggi setinggi BBM. Developer tolong perbaiki. Sementara saya kasih 1 bintang azah. Btw JANGAN SAMPAI DATA PRIBADI TERSEBAR GEGARA APLIKASINYA ERROR.</v>
      </c>
      <c r="C317" s="17" t="str">
        <f>IFERROR(__xludf.DUMMYFUNCTION("REGEXREPLACE(B317,$A$3, )"),"Error' yach ??? Saat baru buat akun baru malah selalu tulisannya, ""connection error"". Padahal signal hp bagus bagus melambung tinggi setinggi BBM. Developer tolong perbaiki. Sementara saya kasih 1 bintang azah. Btw JANGAN SAMPAI DATA PRIBADI TERSEBAR GE"&amp;"GARA APLIKASINYA ERROR.")</f>
        <v>Error' yach ??? Saat baru buat akun baru malah selalu tulisannya, "connection error". Padahal signal hp bagus bagus melambung tinggi setinggi BBM. Developer tolong perbaiki. Sementara saya kasih 1 bintang azah. Btw JANGAN SAMPAI DATA PRIBADI TERSEBAR GEGARA APLIKASINYA ERROR.</v>
      </c>
      <c r="D317" s="17" t="str">
        <f>IFERROR(__xludf.DUMMYFUNCTION("REGEXREPLACE(C317,$A$4, )"),"Error' yach ??? Saat baru buat akun baru malah selalu tulisannya, ""connection error"". Padahal signal hp bagus bagus melambung tinggi setinggi BBM. Developer tolong perbaiki. Sementara saya kasih 1 bintang azah. Btw JANGAN SAMPAI DATA PRIBADI TERSEBAR GE"&amp;"GARA APLIKASINYA ERROR.")</f>
        <v>Error' yach ??? Saat baru buat akun baru malah selalu tulisannya, "connection error". Padahal signal hp bagus bagus melambung tinggi setinggi BBM. Developer tolong perbaiki. Sementara saya kasih 1 bintang azah. Btw JANGAN SAMPAI DATA PRIBADI TERSEBAR GEGARA APLIKASINYA ERROR.</v>
      </c>
      <c r="E317" s="17" t="str">
        <f>IFERROR(__xludf.DUMMYFUNCTION("REGEXREPLACE(D317,$A$5, )"),"Error' yach ??? Saat baru buat akun baru malah selalu tulisannya, ""connection error"". Padahal signal hp bagus bagus melambung tinggi setinggi BBM. Developer tolong perbaiki. Sementara saya kasih  bintang azah. Btw JANGAN SAMPAI DATA PRIBADI TERSEBAR GEG"&amp;"ARA APLIKASINYA ERROR.")</f>
        <v>Error' yach ??? Saat baru buat akun baru malah selalu tulisannya, "connection error". Padahal signal hp bagus bagus melambung tinggi setinggi BBM. Developer tolong perbaiki. Sementara saya kasih  bintang azah. Btw JANGAN SAMPAI DATA PRIBADI TERSEBAR GEGARA APLIKASINYA ERROR.</v>
      </c>
      <c r="F317" s="17" t="str">
        <f>IFERROR(__xludf.DUMMYFUNCTION("REGEXREPLACE(E317,$A$6, )"),"Error yach  Saat baru buat akun baru malah selalu tulisannya connection error Padahal signal hp bagus bagus melambung tinggi setinggi BBM Developer tolong perbaiki Sementara saya kasih  bintang azah Btw JANGAN SAMPAI DATA PRIBADI TERSEBAR GEGARA APLIKASIN"&amp;"YA ERROR")</f>
        <v>Error yach  Saat baru buat akun baru malah selalu tulisannya connection error Padahal signal hp bagus bagus melambung tinggi setinggi BBM Developer tolong perbaiki Sementara saya kasih  bintang azah Btw JANGAN SAMPAI DATA PRIBADI TERSEBAR GEGARA APLIKASINYA ERROR</v>
      </c>
      <c r="G317" s="18" t="str">
        <f>IFERROR(__xludf.DUMMYFUNCTION("REGEXREPLACE(F317,$A$7, )"),"Error yach  Saat baru buat akun baru malah selalu tulisannya connection error Padahal signal hp bagus bagus melambung tinggi setinggi BBM Developer tolong perbaiki Sementara saya kasih  bintang azah Btw JANGAN SAMPAI DATA PRIBADI TERSEBAR GEGARA APLIKASIN"&amp;"YA ERROR")</f>
        <v>Error yach  Saat baru buat akun baru malah selalu tulisannya connection error Padahal signal hp bagus bagus melambung tinggi setinggi BBM Developer tolong perbaiki Sementara saya kasih  bintang azah Btw JANGAN SAMPAI DATA PRIBADI TERSEBAR GEGARA APLIKASINYA ERROR</v>
      </c>
      <c r="H317" s="17" t="str">
        <f t="shared" si="1"/>
        <v>error yach  saat baru buat akun baru malah selalu tulisannya connection error padahal signal hp bagus bagus melambung tinggi setinggi bbm developer tolong perbaiki sementara saya kasih  bintang azah btw jangan sampai data pribadi tersebar gegara aplikasinya error</v>
      </c>
    </row>
    <row r="318">
      <c r="A318" s="16" t="s">
        <v>313</v>
      </c>
      <c r="B318" s="17" t="str">
        <f>IFERROR(__xludf.DUMMYFUNCTION("REGEXREPLACE(A318,$A$2, )"),"Aplikasi gk bisa masuk gk jalan"". Masuk atau tdk bisa infoin kl gk minat bantu gk usah buat gini kl keamanannya masih bisa d bobol dan tdk ada niat memperbaikinya. Mala sibuk menyalakan aneh.")</f>
        <v>Aplikasi gk bisa masuk gk jalan". Masuk atau tdk bisa infoin kl gk minat bantu gk usah buat gini kl keamanannya masih bisa d bobol dan tdk ada niat memperbaikinya. Mala sibuk menyalakan aneh.</v>
      </c>
      <c r="C318" s="17" t="str">
        <f>IFERROR(__xludf.DUMMYFUNCTION("REGEXREPLACE(B318,$A$3, )"),"Aplikasi gk bisa masuk gk jalan"". Masuk atau tdk bisa infoin kl gk minat bantu gk usah buat gini kl keamanannya masih bisa d bobol dan tdk ada niat memperbaikinya. Mala sibuk menyalakan aneh.")</f>
        <v>Aplikasi gk bisa masuk gk jalan". Masuk atau tdk bisa infoin kl gk minat bantu gk usah buat gini kl keamanannya masih bisa d bobol dan tdk ada niat memperbaikinya. Mala sibuk menyalakan aneh.</v>
      </c>
      <c r="D318" s="17" t="str">
        <f>IFERROR(__xludf.DUMMYFUNCTION("REGEXREPLACE(C318,$A$4, )"),"Aplikasi gk bisa masuk gk jalan"". Masuk atau tdk bisa infoin kl gk minat bantu gk usah buat gini kl keamanannya masih bisa d bobol dan tdk ada niat memperbaikinya. Mala sibuk menyalakan aneh.")</f>
        <v>Aplikasi gk bisa masuk gk jalan". Masuk atau tdk bisa infoin kl gk minat bantu gk usah buat gini kl keamanannya masih bisa d bobol dan tdk ada niat memperbaikinya. Mala sibuk menyalakan aneh.</v>
      </c>
      <c r="E318" s="17" t="str">
        <f>IFERROR(__xludf.DUMMYFUNCTION("REGEXREPLACE(D318,$A$5, )"),"Aplikasi gk bisa masuk gk jalan"". Masuk atau tdk bisa infoin kl gk minat bantu gk usah buat gini kl keamanannya masih bisa d bobol dan tdk ada niat memperbaikinya. Mala sibuk menyalakan aneh.")</f>
        <v>Aplikasi gk bisa masuk gk jalan". Masuk atau tdk bisa infoin kl gk minat bantu gk usah buat gini kl keamanannya masih bisa d bobol dan tdk ada niat memperbaikinya. Mala sibuk menyalakan aneh.</v>
      </c>
      <c r="F318" s="17" t="str">
        <f>IFERROR(__xludf.DUMMYFUNCTION("REGEXREPLACE(E318,$A$6, )"),"Aplikasi gk bisa masuk gk jalan Masuk atau tdk bisa infoin kl gk minat bantu gk usah buat gini kl keamanannya masih bisa d bobol dan tdk ada niat memperbaikinya Mala sibuk menyalakan aneh")</f>
        <v>Aplikasi gk bisa masuk gk jalan Masuk atau tdk bisa infoin kl gk minat bantu gk usah buat gini kl keamanannya masih bisa d bobol dan tdk ada niat memperbaikinya Mala sibuk menyalakan aneh</v>
      </c>
      <c r="G318" s="18" t="str">
        <f>IFERROR(__xludf.DUMMYFUNCTION("REGEXREPLACE(F318,$A$7, )"),"Aplikasi gk bisa masuk gk jalan Masuk atau tdk bisa infoin kl gk minat bantu gk usah buat gini kl keamanannya masih bisa d bobol dan tdk ada niat memperbaikinya Mala sibuk menyalakan aneh")</f>
        <v>Aplikasi gk bisa masuk gk jalan Masuk atau tdk bisa infoin kl gk minat bantu gk usah buat gini kl keamanannya masih bisa d bobol dan tdk ada niat memperbaikinya Mala sibuk menyalakan aneh</v>
      </c>
      <c r="H318" s="17" t="str">
        <f t="shared" si="1"/>
        <v>aplikasi gk bisa masuk gk jalan masuk atau tdk bisa infoin kl gk minat bantu gk usah buat gini kl keamanannya masih bisa d bobol dan tdk ada niat memperbaikinya mala sibuk menyalakan aneh</v>
      </c>
    </row>
    <row r="319">
      <c r="A319" s="16" t="s">
        <v>314</v>
      </c>
      <c r="B319" s="17" t="str">
        <f>IFERROR(__xludf.DUMMYFUNCTION("REGEXREPLACE(A319,$A$2, )"),"Aplikasi erorr,tolong segera di perbaiki. Login selalu gagal dan muncul terus notifikasi ""Erorr Json Parse"" / ""Koneksi GAGAL"" di layar aplikasi !!! Dari update terakhir bulan Maret koq sama sekali tidak ada perbaikan???!!!! Malah makin parah aja ni ap"&amp;"likasi!!!")</f>
        <v>Aplikasi erorr,tolong segera di perbaiki. Login selalu gagal dan muncul terus notifikasi "Erorr Json Parse" / "Koneksi GAGAL" di layar aplikasi !!! Dari update terakhir bulan Maret koq sama sekali tidak ada perbaikan???!!!! Malah makin parah aja ni aplikasi!!!</v>
      </c>
      <c r="C319" s="17" t="str">
        <f>IFERROR(__xludf.DUMMYFUNCTION("REGEXREPLACE(B319,$A$3, )"),"Aplikasi erorr,tolong segera di perbaiki. Login selalu gagal dan muncul terus notifikasi ""Erorr Json Parse"" / ""Koneksi GAGAL"" di layar aplikasi !!! Dari update terakhir bulan Maret koq sama sekali tidak ada perbaikan???!!!! Malah makin parah aja ni ap"&amp;"likasi!!!")</f>
        <v>Aplikasi erorr,tolong segera di perbaiki. Login selalu gagal dan muncul terus notifikasi "Erorr Json Parse" / "Koneksi GAGAL" di layar aplikasi !!! Dari update terakhir bulan Maret koq sama sekali tidak ada perbaikan???!!!! Malah makin parah aja ni aplikasi!!!</v>
      </c>
      <c r="D319" s="17" t="str">
        <f>IFERROR(__xludf.DUMMYFUNCTION("REGEXREPLACE(C319,$A$4, )"),"Aplikasi erorr,tolong segera di perbaiki. Login selalu gagal dan muncul terus notifikasi ""Erorr Json Parse"" / ""Koneksi GAGAL"" di layar aplikasi !!! Dari update terakhir bulan Maret koq sama sekali tidak ada perbaikan???!!!! Malah makin parah aja ni ap"&amp;"likasi!!!")</f>
        <v>Aplikasi erorr,tolong segera di perbaiki. Login selalu gagal dan muncul terus notifikasi "Erorr Json Parse" / "Koneksi GAGAL" di layar aplikasi !!! Dari update terakhir bulan Maret koq sama sekali tidak ada perbaikan???!!!! Malah makin parah aja ni aplikasi!!!</v>
      </c>
      <c r="E319" s="17" t="str">
        <f>IFERROR(__xludf.DUMMYFUNCTION("REGEXREPLACE(D319,$A$5, )"),"Aplikasi erorr,tolong segera di perbaiki. Login selalu gagal dan muncul terus notifikasi ""Erorr Json Parse"" / ""Koneksi GAGAL"" di layar aplikasi !!! Dari update terakhir bulan Maret koq sama sekali tidak ada perbaikan???!!!! Malah makin parah aja ni ap"&amp;"likasi!!!")</f>
        <v>Aplikasi erorr,tolong segera di perbaiki. Login selalu gagal dan muncul terus notifikasi "Erorr Json Parse" / "Koneksi GAGAL" di layar aplikasi !!! Dari update terakhir bulan Maret koq sama sekali tidak ada perbaikan???!!!! Malah makin parah aja ni aplikasi!!!</v>
      </c>
      <c r="F319" s="17" t="str">
        <f>IFERROR(__xludf.DUMMYFUNCTION("REGEXREPLACE(E319,$A$6, )"),"Aplikasi erorrtolong segera di perbaiki Login selalu gagal dan muncul terus notifikasi Erorr Json Parse  Koneksi GAGAL di layar aplikasi  Dari update terakhir bulan Maret koq sama sekali tidak ada perbaikan Malah makin parah aja ni aplikasi")</f>
        <v>Aplikasi erorrtolong segera di perbaiki Login selalu gagal dan muncul terus notifikasi Erorr Json Parse  Koneksi GAGAL di layar aplikasi  Dari update terakhir bulan Maret koq sama sekali tidak ada perbaikan Malah makin parah aja ni aplikasi</v>
      </c>
      <c r="G319" s="18" t="str">
        <f>IFERROR(__xludf.DUMMYFUNCTION("REGEXREPLACE(F319,$A$7, )"),"Aplikasi erorrtolong segera di perbaiki Login selalu gagal dan muncul terus notifikasi Erorr Json Parse  Koneksi GAGAL di layar aplikasi  Dari update terakhir bulan Maret koq sama sekali tidak ada perbaikan Malah makin parah aja ni aplikasi")</f>
        <v>Aplikasi erorrtolong segera di perbaiki Login selalu gagal dan muncul terus notifikasi Erorr Json Parse  Koneksi GAGAL di layar aplikasi  Dari update terakhir bulan Maret koq sama sekali tidak ada perbaikan Malah makin parah aja ni aplikasi</v>
      </c>
      <c r="H319" s="17" t="str">
        <f t="shared" si="1"/>
        <v>aplikasi erorrtolong segera di perbaiki login selalu gagal dan muncul terus notifikasi erorr json parse  koneksi gagal di layar aplikasi  dari update terakhir bulan maret koq sama sekali tidak ada perbaikan malah makin parah aja ni aplikasi</v>
      </c>
    </row>
    <row r="320">
      <c r="A320" s="16" t="s">
        <v>315</v>
      </c>
      <c r="B320" s="17" t="str">
        <f>IFERROR(__xludf.DUMMYFUNCTION("REGEXREPLACE(A320,$A$2, )"),"Tidak bisa login, ereor terus")</f>
        <v>Tidak bisa login, ereor terus</v>
      </c>
      <c r="C320" s="17" t="str">
        <f>IFERROR(__xludf.DUMMYFUNCTION("REGEXREPLACE(B320,$A$3, )"),"Tidak bisa login, ereor terus")</f>
        <v>Tidak bisa login, ereor terus</v>
      </c>
      <c r="D320" s="17" t="str">
        <f>IFERROR(__xludf.DUMMYFUNCTION("REGEXREPLACE(C320,$A$4, )"),"Tidak bisa login, ereor terus")</f>
        <v>Tidak bisa login, ereor terus</v>
      </c>
      <c r="E320" s="17" t="str">
        <f>IFERROR(__xludf.DUMMYFUNCTION("REGEXREPLACE(D320,$A$5, )"),"Tidak bisa login, ereor terus")</f>
        <v>Tidak bisa login, ereor terus</v>
      </c>
      <c r="F320" s="17" t="str">
        <f>IFERROR(__xludf.DUMMYFUNCTION("REGEXREPLACE(E320,$A$6, )"),"Tidak bisa login ereor terus")</f>
        <v>Tidak bisa login ereor terus</v>
      </c>
      <c r="G320" s="18" t="str">
        <f>IFERROR(__xludf.DUMMYFUNCTION("REGEXREPLACE(F320,$A$7, )"),"Tidak bisa login ereor terus")</f>
        <v>Tidak bisa login ereor terus</v>
      </c>
      <c r="H320" s="17" t="str">
        <f t="shared" si="1"/>
        <v>tidak bisa login ereor terus</v>
      </c>
    </row>
    <row r="321">
      <c r="A321" s="16" t="s">
        <v>316</v>
      </c>
      <c r="B321" s="17" t="str">
        <f>IFERROR(__xludf.DUMMYFUNCTION("REGEXREPLACE(A321,$A$2, )"),"Sudah nunggu email aktivasinya lama sekali dapat untuk login aja gabisa-bisa, muncul tulisan koneksi tidak bagus. Aneh banget.. Kenapa dengan aplikasi sekelas pemerintah bgini. Tolong cepat diperbaiki")</f>
        <v>Sudah nunggu email aktivasinya lama sekali dapat untuk login aja gabisa-bisa, muncul tulisan koneksi tidak bagus. Aneh banget.. Kenapa dengan aplikasi sekelas pemerintah bgini. Tolong cepat diperbaiki</v>
      </c>
      <c r="C321" s="17" t="str">
        <f>IFERROR(__xludf.DUMMYFUNCTION("REGEXREPLACE(B321,$A$3, )"),"Sudah nunggu email aktivasinya lama sekali dapat untuk login aja gabisa-bisa, muncul tulisan koneksi tidak bagus. Aneh banget.. Kenapa dengan aplikasi sekelas pemerintah bgini. Tolong cepat diperbaiki")</f>
        <v>Sudah nunggu email aktivasinya lama sekali dapat untuk login aja gabisa-bisa, muncul tulisan koneksi tidak bagus. Aneh banget.. Kenapa dengan aplikasi sekelas pemerintah bgini. Tolong cepat diperbaiki</v>
      </c>
      <c r="D321" s="17" t="str">
        <f>IFERROR(__xludf.DUMMYFUNCTION("REGEXREPLACE(C321,$A$4, )"),"Sudah nunggu email aktivasinya lama sekali dapat untuk login aja gabisa-bisa, muncul tulisan koneksi tidak bagus. Aneh banget.. Kenapa dengan aplikasi sekelas pemerintah bgini. Tolong cepat diperbaiki")</f>
        <v>Sudah nunggu email aktivasinya lama sekali dapat untuk login aja gabisa-bisa, muncul tulisan koneksi tidak bagus. Aneh banget.. Kenapa dengan aplikasi sekelas pemerintah bgini. Tolong cepat diperbaiki</v>
      </c>
      <c r="E321" s="17" t="str">
        <f>IFERROR(__xludf.DUMMYFUNCTION("REGEXREPLACE(D321,$A$5, )"),"Sudah nunggu email aktivasinya lama sekali dapat untuk login aja gabisa-bisa, muncul tulisan koneksi tidak bagus. Aneh banget.. Kenapa dengan aplikasi sekelas pemerintah bgini. Tolong cepat diperbaiki")</f>
        <v>Sudah nunggu email aktivasinya lama sekali dapat untuk login aja gabisa-bisa, muncul tulisan koneksi tidak bagus. Aneh banget.. Kenapa dengan aplikasi sekelas pemerintah bgini. Tolong cepat diperbaiki</v>
      </c>
      <c r="F321" s="17" t="str">
        <f>IFERROR(__xludf.DUMMYFUNCTION("REGEXREPLACE(E321,$A$6, )"),"Sudah nunggu email aktivasinya lama sekali dapat untuk login aja gabisabisa muncul tulisan koneksi tidak bagus Aneh banget Kenapa dengan aplikasi sekelas pemerintah bgini Tolong cepat diperbaiki")</f>
        <v>Sudah nunggu email aktivasinya lama sekali dapat untuk login aja gabisabisa muncul tulisan koneksi tidak bagus Aneh banget Kenapa dengan aplikasi sekelas pemerintah bgini Tolong cepat diperbaiki</v>
      </c>
      <c r="G321" s="18" t="str">
        <f>IFERROR(__xludf.DUMMYFUNCTION("REGEXREPLACE(F321,$A$7, )"),"Sudah nunggu email aktivasinya lama sekali dapat untuk login aja gabisabisa muncul tulisan koneksi tidak bagus Aneh banget Kenapa dengan aplikasi sekelas pemerintah bgini Tolong cepat diperbaiki")</f>
        <v>Sudah nunggu email aktivasinya lama sekali dapat untuk login aja gabisabisa muncul tulisan koneksi tidak bagus Aneh banget Kenapa dengan aplikasi sekelas pemerintah bgini Tolong cepat diperbaiki</v>
      </c>
      <c r="H321" s="17" t="str">
        <f t="shared" si="1"/>
        <v>sudah nunggu email aktivasinya lama sekali dapat untuk login aja gabisabisa muncul tulisan koneksi tidak bagus aneh banget kenapa dengan aplikasi sekelas pemerintah bgini tolong cepat diperbaiki</v>
      </c>
    </row>
    <row r="322">
      <c r="A322" s="16" t="s">
        <v>317</v>
      </c>
      <c r="B322" s="17" t="str">
        <f>IFERROR(__xludf.DUMMYFUNCTION("REGEXREPLACE(A322,$A$2, )"),"Kenapa saya mau pengusulan mandiri selalu terjadi eror. Mohon untuk memperbaiki nya segera")</f>
        <v>Kenapa saya mau pengusulan mandiri selalu terjadi eror. Mohon untuk memperbaiki nya segera</v>
      </c>
      <c r="C322" s="17" t="str">
        <f>IFERROR(__xludf.DUMMYFUNCTION("REGEXREPLACE(B322,$A$3, )"),"Kenapa saya mau pengusulan mandiri selalu terjadi eror. Mohon untuk memperbaiki nya segera")</f>
        <v>Kenapa saya mau pengusulan mandiri selalu terjadi eror. Mohon untuk memperbaiki nya segera</v>
      </c>
      <c r="D322" s="17" t="str">
        <f>IFERROR(__xludf.DUMMYFUNCTION("REGEXREPLACE(C322,$A$4, )"),"Kenapa saya mau pengusulan mandiri selalu terjadi eror. Mohon untuk memperbaiki nya segera")</f>
        <v>Kenapa saya mau pengusulan mandiri selalu terjadi eror. Mohon untuk memperbaiki nya segera</v>
      </c>
      <c r="E322" s="17" t="str">
        <f>IFERROR(__xludf.DUMMYFUNCTION("REGEXREPLACE(D322,$A$5, )"),"Kenapa saya mau pengusulan mandiri selalu terjadi eror. Mohon untuk memperbaiki nya segera")</f>
        <v>Kenapa saya mau pengusulan mandiri selalu terjadi eror. Mohon untuk memperbaiki nya segera</v>
      </c>
      <c r="F322" s="17" t="str">
        <f>IFERROR(__xludf.DUMMYFUNCTION("REGEXREPLACE(E322,$A$6, )"),"Kenapa saya mau pengusulan mandiri selalu terjadi eror Mohon untuk memperbaiki nya segera")</f>
        <v>Kenapa saya mau pengusulan mandiri selalu terjadi eror Mohon untuk memperbaiki nya segera</v>
      </c>
      <c r="G322" s="18" t="str">
        <f>IFERROR(__xludf.DUMMYFUNCTION("REGEXREPLACE(F322,$A$7, )"),"Kenapa saya mau pengusulan mandiri selalu terjadi eror Mohon untuk memperbaiki nya segera")</f>
        <v>Kenapa saya mau pengusulan mandiri selalu terjadi eror Mohon untuk memperbaiki nya segera</v>
      </c>
      <c r="H322" s="17" t="str">
        <f t="shared" si="1"/>
        <v>kenapa saya mau pengusulan mandiri selalu terjadi eror mohon untuk memperbaiki nya segera</v>
      </c>
    </row>
    <row r="323">
      <c r="A323" s="16" t="s">
        <v>318</v>
      </c>
      <c r="B323" s="17" t="str">
        <f>IFERROR(__xludf.DUMMYFUNCTION("REGEXREPLACE(A323,$A$2, )"),"Gak bisa cek data...saat aktif gps")</f>
        <v>Gak bisa cek data...saat aktif gps</v>
      </c>
      <c r="C323" s="17" t="str">
        <f>IFERROR(__xludf.DUMMYFUNCTION("REGEXREPLACE(B323,$A$3, )"),"Gak bisa cek data...saat aktif gps")</f>
        <v>Gak bisa cek data...saat aktif gps</v>
      </c>
      <c r="D323" s="17" t="str">
        <f>IFERROR(__xludf.DUMMYFUNCTION("REGEXREPLACE(C323,$A$4, )"),"Gak bisa cek data...saat aktif gps")</f>
        <v>Gak bisa cek data...saat aktif gps</v>
      </c>
      <c r="E323" s="17" t="str">
        <f>IFERROR(__xludf.DUMMYFUNCTION("REGEXREPLACE(D323,$A$5, )"),"Gak bisa cek data...saat aktif gps")</f>
        <v>Gak bisa cek data...saat aktif gps</v>
      </c>
      <c r="F323" s="17" t="str">
        <f>IFERROR(__xludf.DUMMYFUNCTION("REGEXREPLACE(E323,$A$6, )"),"Gak bisa cek datasaat aktif gps")</f>
        <v>Gak bisa cek datasaat aktif gps</v>
      </c>
      <c r="G323" s="18" t="str">
        <f>IFERROR(__xludf.DUMMYFUNCTION("REGEXREPLACE(F323,$A$7, )"),"Gak bisa cek datasaat aktif gps")</f>
        <v>Gak bisa cek datasaat aktif gps</v>
      </c>
      <c r="H323" s="17" t="str">
        <f t="shared" si="1"/>
        <v>gak bisa cek datasaat aktif gps</v>
      </c>
    </row>
    <row r="324">
      <c r="A324" s="16" t="s">
        <v>319</v>
      </c>
      <c r="B324" s="17" t="str">
        <f>IFERROR(__xludf.DUMMYFUNCTION("REGEXREPLACE(A324,$A$2, )"),"Jangan download, aplikasi error semua gak bisa dipakai.")</f>
        <v>Jangan download, aplikasi error semua gak bisa dipakai.</v>
      </c>
      <c r="C324" s="17" t="str">
        <f>IFERROR(__xludf.DUMMYFUNCTION("REGEXREPLACE(B324,$A$3, )"),"Jangan download, aplikasi error semua gak bisa dipakai.")</f>
        <v>Jangan download, aplikasi error semua gak bisa dipakai.</v>
      </c>
      <c r="D324" s="17" t="str">
        <f>IFERROR(__xludf.DUMMYFUNCTION("REGEXREPLACE(C324,$A$4, )"),"Jangan download, aplikasi error semua gak bisa dipakai.")</f>
        <v>Jangan download, aplikasi error semua gak bisa dipakai.</v>
      </c>
      <c r="E324" s="17" t="str">
        <f>IFERROR(__xludf.DUMMYFUNCTION("REGEXREPLACE(D324,$A$5, )"),"Jangan download, aplikasi error semua gak bisa dipakai.")</f>
        <v>Jangan download, aplikasi error semua gak bisa dipakai.</v>
      </c>
      <c r="F324" s="17" t="str">
        <f>IFERROR(__xludf.DUMMYFUNCTION("REGEXREPLACE(E324,$A$6, )"),"Jangan download aplikasi error semua gak bisa dipakai")</f>
        <v>Jangan download aplikasi error semua gak bisa dipakai</v>
      </c>
      <c r="G324" s="18" t="str">
        <f>IFERROR(__xludf.DUMMYFUNCTION("REGEXREPLACE(F324,$A$7, )"),"Jangan download aplikasi error semua gak bisa dipakai")</f>
        <v>Jangan download aplikasi error semua gak bisa dipakai</v>
      </c>
      <c r="H324" s="17" t="str">
        <f t="shared" si="1"/>
        <v>jangan download aplikasi error semua gak bisa dipakai</v>
      </c>
    </row>
    <row r="325">
      <c r="A325" s="16" t="s">
        <v>320</v>
      </c>
      <c r="B325" s="17" t="str">
        <f>IFERROR(__xludf.DUMMYFUNCTION("REGEXREPLACE(A325,$A$2, )"),"Aplikasi apaan ini, benar benar ga ngebantu kata ga ada koneksi pakai wifi coba pakai data loginnya lama kali ga bisa bisa. Padahal saya sudah dapat email sukses aktivasi tapi malah ga bisa login muter² mulu")</f>
        <v>Aplikasi apaan ini, benar benar ga ngebantu kata ga ada koneksi pakai wifi coba pakai data loginnya lama kali ga bisa bisa. Padahal saya sudah dapat email sukses aktivasi tapi malah ga bisa login muter² mulu</v>
      </c>
      <c r="C325" s="17" t="str">
        <f>IFERROR(__xludf.DUMMYFUNCTION("REGEXREPLACE(B325,$A$3, )"),"Aplikasi apaan ini, benar benar ga ngebantu kata ga ada koneksi pakai wifi coba pakai data loginnya lama kali ga bisa bisa. Padahal saya sudah dapat email sukses aktivasi tapi malah ga bisa login muter² mulu")</f>
        <v>Aplikasi apaan ini, benar benar ga ngebantu kata ga ada koneksi pakai wifi coba pakai data loginnya lama kali ga bisa bisa. Padahal saya sudah dapat email sukses aktivasi tapi malah ga bisa login muter² mulu</v>
      </c>
      <c r="D325" s="17" t="str">
        <f>IFERROR(__xludf.DUMMYFUNCTION("REGEXREPLACE(C325,$A$4, )"),"Aplikasi apaan ini, benar benar ga ngebantu kata ga ada koneksi pakai wifi coba pakai data loginnya lama kali ga bisa bisa. Padahal saya sudah dapat email sukses aktivasi tapi malah ga bisa login muter² mulu")</f>
        <v>Aplikasi apaan ini, benar benar ga ngebantu kata ga ada koneksi pakai wifi coba pakai data loginnya lama kali ga bisa bisa. Padahal saya sudah dapat email sukses aktivasi tapi malah ga bisa login muter² mulu</v>
      </c>
      <c r="E325" s="17" t="str">
        <f>IFERROR(__xludf.DUMMYFUNCTION("REGEXREPLACE(D325,$A$5, )"),"Aplikasi apaan ini, benar benar ga ngebantu kata ga ada koneksi pakai wifi coba pakai data loginnya lama kali ga bisa bisa. Padahal saya sudah dapat email sukses aktivasi tapi malah ga bisa login muter² mulu")</f>
        <v>Aplikasi apaan ini, benar benar ga ngebantu kata ga ada koneksi pakai wifi coba pakai data loginnya lama kali ga bisa bisa. Padahal saya sudah dapat email sukses aktivasi tapi malah ga bisa login muter² mulu</v>
      </c>
      <c r="F325" s="17" t="str">
        <f>IFERROR(__xludf.DUMMYFUNCTION("REGEXREPLACE(E325,$A$6, )"),"Aplikasi apaan ini benar benar ga ngebantu kata ga ada koneksi pakai wifi coba pakai data loginnya lama kali ga bisa bisa Padahal saya sudah dapat email sukses aktivasi tapi malah ga bisa login muter² mulu")</f>
        <v>Aplikasi apaan ini benar benar ga ngebantu kata ga ada koneksi pakai wifi coba pakai data loginnya lama kali ga bisa bisa Padahal saya sudah dapat email sukses aktivasi tapi malah ga bisa login muter² mulu</v>
      </c>
      <c r="G325" s="18" t="str">
        <f>IFERROR(__xludf.DUMMYFUNCTION("REGEXREPLACE(F325,$A$7, )"),"Aplikasi apaan ini benar benar ga ngebantu kata ga ada koneksi pakai wifi coba pakai data loginnya lama kali ga bisa bisa Padahal saya sudah dapat email sukses aktivasi tapi malah ga bisa login muter² mulu")</f>
        <v>Aplikasi apaan ini benar benar ga ngebantu kata ga ada koneksi pakai wifi coba pakai data loginnya lama kali ga bisa bisa Padahal saya sudah dapat email sukses aktivasi tapi malah ga bisa login muter² mulu</v>
      </c>
      <c r="H325" s="17" t="str">
        <f t="shared" si="1"/>
        <v>aplikasi apaan ini benar benar ga ngebantu kata ga ada koneksi pakai wifi coba pakai data loginnya lama kali ga bisa bisa padahal saya sudah dapat email sukses aktivasi tapi malah ga bisa login muter² mulu</v>
      </c>
    </row>
    <row r="326">
      <c r="A326" s="16" t="s">
        <v>321</v>
      </c>
      <c r="B326" s="17" t="str">
        <f>IFERROR(__xludf.DUMMYFUNCTION("REGEXREPLACE(A326,$A$2, )"),"kecewa tidak bisa reg dan login. padahal butuh untuk daftar bansos karena petugas desa todak pernah menyampaikan info apa pun perihal bansos dan lain nya. saat ditanya selali jawab gkk tau")</f>
        <v>kecewa tidak bisa reg dan login. padahal butuh untuk daftar bansos karena petugas desa todak pernah menyampaikan info apa pun perihal bansos dan lain nya. saat ditanya selali jawab gkk tau</v>
      </c>
      <c r="C326" s="17" t="str">
        <f>IFERROR(__xludf.DUMMYFUNCTION("REGEXREPLACE(B326,$A$3, )"),"kecewa tidak bisa reg dan login. padahal butuh untuk daftar bansos karena petugas desa todak pernah menyampaikan info apa pun perihal bansos dan lain nya. saat ditanya selali jawab gkk tau")</f>
        <v>kecewa tidak bisa reg dan login. padahal butuh untuk daftar bansos karena petugas desa todak pernah menyampaikan info apa pun perihal bansos dan lain nya. saat ditanya selali jawab gkk tau</v>
      </c>
      <c r="D326" s="17" t="str">
        <f>IFERROR(__xludf.DUMMYFUNCTION("REGEXREPLACE(C326,$A$4, )"),"kecewa tidak bisa reg dan login. padahal butuh untuk daftar bansos karena petugas desa todak pernah menyampaikan info apa pun perihal bansos dan lain nya. saat ditanya selali jawab gkk tau")</f>
        <v>kecewa tidak bisa reg dan login. padahal butuh untuk daftar bansos karena petugas desa todak pernah menyampaikan info apa pun perihal bansos dan lain nya. saat ditanya selali jawab gkk tau</v>
      </c>
      <c r="E326" s="17" t="str">
        <f>IFERROR(__xludf.DUMMYFUNCTION("REGEXREPLACE(D326,$A$5, )"),"kecewa tidak bisa reg dan login. padahal butuh untuk daftar bansos karena petugas desa todak pernah menyampaikan info apa pun perihal bansos dan lain nya. saat ditanya selali jawab gkk tau")</f>
        <v>kecewa tidak bisa reg dan login. padahal butuh untuk daftar bansos karena petugas desa todak pernah menyampaikan info apa pun perihal bansos dan lain nya. saat ditanya selali jawab gkk tau</v>
      </c>
      <c r="F326" s="17" t="str">
        <f>IFERROR(__xludf.DUMMYFUNCTION("REGEXREPLACE(E326,$A$6, )"),"kecewa tidak bisa reg dan login padahal butuh untuk daftar bansos karena petugas desa todak pernah menyampaikan info apa pun perihal bansos dan lain nya saat ditanya selali jawab gkk tau")</f>
        <v>kecewa tidak bisa reg dan login padahal butuh untuk daftar bansos karena petugas desa todak pernah menyampaikan info apa pun perihal bansos dan lain nya saat ditanya selali jawab gkk tau</v>
      </c>
      <c r="G326" s="18" t="str">
        <f>IFERROR(__xludf.DUMMYFUNCTION("REGEXREPLACE(F326,$A$7, )"),"kecewa tidak bisa reg dan login padahal butuh untuk daftar bansos karena petugas desa todak pernah menyampaikan info apa pun perihal bansos dan lain nya saat ditanya selali jawab gkk tau")</f>
        <v>kecewa tidak bisa reg dan login padahal butuh untuk daftar bansos karena petugas desa todak pernah menyampaikan info apa pun perihal bansos dan lain nya saat ditanya selali jawab gkk tau</v>
      </c>
      <c r="H326" s="17" t="str">
        <f t="shared" si="1"/>
        <v>kecewa tidak bisa reg dan login padahal butuh untuk daftar bansos karena petugas desa todak pernah menyampaikan info apa pun perihal bansos dan lain nya saat ditanya selali jawab gkk tau</v>
      </c>
    </row>
    <row r="327">
      <c r="A327" s="16" t="s">
        <v>322</v>
      </c>
      <c r="B327" s="17" t="str">
        <f>IFERROR(__xludf.DUMMYFUNCTION("REGEXREPLACE(A327,$A$2, )"),"Siap dftr, tp gak bosa log in di aplikasi ini, selalu eror dan eror....,")</f>
        <v>Siap dftr, tp gak bosa log in di aplikasi ini, selalu eror dan eror....,</v>
      </c>
      <c r="C327" s="17" t="str">
        <f>IFERROR(__xludf.DUMMYFUNCTION("REGEXREPLACE(B327,$A$3, )"),"Siap dftr, tp gak bosa log in di aplikasi ini, selalu eror dan eror....,")</f>
        <v>Siap dftr, tp gak bosa log in di aplikasi ini, selalu eror dan eror....,</v>
      </c>
      <c r="D327" s="17" t="str">
        <f>IFERROR(__xludf.DUMMYFUNCTION("REGEXREPLACE(C327,$A$4, )"),"Siap dftr, tp gak bosa log in di aplikasi ini, selalu eror dan eror....,")</f>
        <v>Siap dftr, tp gak bosa log in di aplikasi ini, selalu eror dan eror....,</v>
      </c>
      <c r="E327" s="17" t="str">
        <f>IFERROR(__xludf.DUMMYFUNCTION("REGEXREPLACE(D327,$A$5, )"),"Siap dftr, tp gak bosa log in di aplikasi ini, selalu eror dan eror....,")</f>
        <v>Siap dftr, tp gak bosa log in di aplikasi ini, selalu eror dan eror....,</v>
      </c>
      <c r="F327" s="17" t="str">
        <f>IFERROR(__xludf.DUMMYFUNCTION("REGEXREPLACE(E327,$A$6, )"),"Siap dftr tp gak bosa log in di aplikasi ini selalu eror dan eror")</f>
        <v>Siap dftr tp gak bosa log in di aplikasi ini selalu eror dan eror</v>
      </c>
      <c r="G327" s="18" t="str">
        <f>IFERROR(__xludf.DUMMYFUNCTION("REGEXREPLACE(F327,$A$7, )"),"Siap dftr tp gak bosa log in di aplikasi ini selalu eror dan eror")</f>
        <v>Siap dftr tp gak bosa log in di aplikasi ini selalu eror dan eror</v>
      </c>
      <c r="H327" s="17" t="str">
        <f t="shared" si="1"/>
        <v>siap dftr tp gak bosa log in di aplikasi ini selalu eror dan eror</v>
      </c>
    </row>
    <row r="328">
      <c r="A328" s="16" t="s">
        <v>323</v>
      </c>
      <c r="B328" s="17" t="str">
        <f>IFERROR(__xludf.DUMMYFUNCTION("REGEXREPLACE(A328,$A$2, )"),"Niat ngasih bantuan gak usah pake aplikasi.. Banyak orang tua yang awam akan teknologi, dengan cara spt ini yg kaya pun bisa mengakses. Otomatis tidak akan merata.. Tydak ramah dan mempersulit, auto bintang satu.")</f>
        <v>Niat ngasih bantuan gak usah pake aplikasi.. Banyak orang tua yang awam akan teknologi, dengan cara spt ini yg kaya pun bisa mengakses. Otomatis tidak akan merata.. Tydak ramah dan mempersulit, auto bintang satu.</v>
      </c>
      <c r="C328" s="17" t="str">
        <f>IFERROR(__xludf.DUMMYFUNCTION("REGEXREPLACE(B328,$A$3, )"),"Niat ngasih bantuan gak usah pake aplikasi.. Banyak orang tua yang awam akan teknologi, dengan cara spt ini yg kaya pun bisa mengakses. Otomatis tidak akan merata.. Tydak ramah dan mempersulit, auto bintang satu.")</f>
        <v>Niat ngasih bantuan gak usah pake aplikasi.. Banyak orang tua yang awam akan teknologi, dengan cara spt ini yg kaya pun bisa mengakses. Otomatis tidak akan merata.. Tydak ramah dan mempersulit, auto bintang satu.</v>
      </c>
      <c r="D328" s="17" t="str">
        <f>IFERROR(__xludf.DUMMYFUNCTION("REGEXREPLACE(C328,$A$4, )"),"Niat ngasih bantuan gak usah pake aplikasi.. Banyak orang tua yang awam akan teknologi, dengan cara spt ini yg kaya pun bisa mengakses. Otomatis tidak akan merata.. Tydak ramah dan mempersulit, auto bintang satu.")</f>
        <v>Niat ngasih bantuan gak usah pake aplikasi.. Banyak orang tua yang awam akan teknologi, dengan cara spt ini yg kaya pun bisa mengakses. Otomatis tidak akan merata.. Tydak ramah dan mempersulit, auto bintang satu.</v>
      </c>
      <c r="E328" s="17" t="str">
        <f>IFERROR(__xludf.DUMMYFUNCTION("REGEXREPLACE(D328,$A$5, )"),"Niat ngasih bantuan gak usah pake aplikasi.. Banyak orang tua yang awam akan teknologi, dengan cara spt ini yg kaya pun bisa mengakses. Otomatis tidak akan merata.. Tydak ramah dan mempersulit, auto bintang satu.")</f>
        <v>Niat ngasih bantuan gak usah pake aplikasi.. Banyak orang tua yang awam akan teknologi, dengan cara spt ini yg kaya pun bisa mengakses. Otomatis tidak akan merata.. Tydak ramah dan mempersulit, auto bintang satu.</v>
      </c>
      <c r="F328" s="17" t="str">
        <f>IFERROR(__xludf.DUMMYFUNCTION("REGEXREPLACE(E328,$A$6, )"),"Niat ngasih bantuan gak usah pake aplikasi Banyak orang tua yang awam akan teknologi dengan cara spt ini yg kaya pun bisa mengakses Otomatis tidak akan merata Tydak ramah dan mempersulit auto bintang satu")</f>
        <v>Niat ngasih bantuan gak usah pake aplikasi Banyak orang tua yang awam akan teknologi dengan cara spt ini yg kaya pun bisa mengakses Otomatis tidak akan merata Tydak ramah dan mempersulit auto bintang satu</v>
      </c>
      <c r="G328" s="18" t="str">
        <f>IFERROR(__xludf.DUMMYFUNCTION("REGEXREPLACE(F328,$A$7, )"),"Niat ngasih bantuan gak usah pake aplikasi Banyak orang tua yang awam akan teknologi dengan cara spt ini yg kaya pun bisa mengakses Otomatis tidak akan merata Tydak ramah dan mempersulit auto bintang satu")</f>
        <v>Niat ngasih bantuan gak usah pake aplikasi Banyak orang tua yang awam akan teknologi dengan cara spt ini yg kaya pun bisa mengakses Otomatis tidak akan merata Tydak ramah dan mempersulit auto bintang satu</v>
      </c>
      <c r="H328" s="17" t="str">
        <f t="shared" si="1"/>
        <v>niat ngasih bantuan gak usah pake aplikasi banyak orang tua yang awam akan teknologi dengan cara spt ini yg kaya pun bisa mengakses otomatis tidak akan merata tydak ramah dan mempersulit auto bintang satu</v>
      </c>
    </row>
    <row r="329">
      <c r="A329" s="16" t="s">
        <v>324</v>
      </c>
      <c r="B329" s="17" t="str">
        <f>IFERROR(__xludf.DUMMYFUNCTION("REGEXREPLACE(A329,$A$2, )"),"Udah daftar terus udh bisa tp tetp ga bisa di buka")</f>
        <v>Udah daftar terus udh bisa tp tetp ga bisa di buka</v>
      </c>
      <c r="C329" s="17" t="str">
        <f>IFERROR(__xludf.DUMMYFUNCTION("REGEXREPLACE(B329,$A$3, )"),"Udah daftar terus udh bisa tp tetp ga bisa di buka")</f>
        <v>Udah daftar terus udh bisa tp tetp ga bisa di buka</v>
      </c>
      <c r="D329" s="17" t="str">
        <f>IFERROR(__xludf.DUMMYFUNCTION("REGEXREPLACE(C329,$A$4, )"),"Udah daftar terus udh bisa tp tetp ga bisa di buka")</f>
        <v>Udah daftar terus udh bisa tp tetp ga bisa di buka</v>
      </c>
      <c r="E329" s="17" t="str">
        <f>IFERROR(__xludf.DUMMYFUNCTION("REGEXREPLACE(D329,$A$5, )"),"Udah daftar terus udh bisa tp tetp ga bisa di buka")</f>
        <v>Udah daftar terus udh bisa tp tetp ga bisa di buka</v>
      </c>
      <c r="F329" s="17" t="str">
        <f>IFERROR(__xludf.DUMMYFUNCTION("REGEXREPLACE(E329,$A$6, )"),"Udah daftar terus udh bisa tp tetp ga bisa di buka")</f>
        <v>Udah daftar terus udh bisa tp tetp ga bisa di buka</v>
      </c>
      <c r="G329" s="18" t="str">
        <f>IFERROR(__xludf.DUMMYFUNCTION("REGEXREPLACE(F329,$A$7, )"),"Udah daftar terus udh bisa tp tetp ga bisa di buka")</f>
        <v>Udah daftar terus udh bisa tp tetp ga bisa di buka</v>
      </c>
      <c r="H329" s="17" t="str">
        <f t="shared" si="1"/>
        <v>udah daftar terus udh bisa tp tetp ga bisa di buka</v>
      </c>
    </row>
    <row r="330">
      <c r="A330" s="16" t="s">
        <v>325</v>
      </c>
      <c r="B330" s="17" t="str">
        <f>IFERROR(__xludf.DUMMYFUNCTION("REGEXREPLACE(A330,$A$2, )"),"Sama seperti keluhan"" yg lain kenapa ya aplikasi eror mohon pihak pengembang segera diperbaiki terimakasih")</f>
        <v>Sama seperti keluhan" yg lain kenapa ya aplikasi eror mohon pihak pengembang segera diperbaiki terimakasih</v>
      </c>
      <c r="C330" s="17" t="str">
        <f>IFERROR(__xludf.DUMMYFUNCTION("REGEXREPLACE(B330,$A$3, )"),"Sama seperti keluhan"" yg lain kenapa ya aplikasi eror mohon pihak pengembang segera diperbaiki terimakasih")</f>
        <v>Sama seperti keluhan" yg lain kenapa ya aplikasi eror mohon pihak pengembang segera diperbaiki terimakasih</v>
      </c>
      <c r="D330" s="17" t="str">
        <f>IFERROR(__xludf.DUMMYFUNCTION("REGEXREPLACE(C330,$A$4, )"),"Sama seperti keluhan"" yg lain kenapa ya aplikasi eror mohon pihak pengembang segera diperbaiki terimakasih")</f>
        <v>Sama seperti keluhan" yg lain kenapa ya aplikasi eror mohon pihak pengembang segera diperbaiki terimakasih</v>
      </c>
      <c r="E330" s="17" t="str">
        <f>IFERROR(__xludf.DUMMYFUNCTION("REGEXREPLACE(D330,$A$5, )"),"Sama seperti keluhan"" yg lain kenapa ya aplikasi eror mohon pihak pengembang segera diperbaiki terimakasih")</f>
        <v>Sama seperti keluhan" yg lain kenapa ya aplikasi eror mohon pihak pengembang segera diperbaiki terimakasih</v>
      </c>
      <c r="F330" s="17" t="str">
        <f>IFERROR(__xludf.DUMMYFUNCTION("REGEXREPLACE(E330,$A$6, )"),"Sama seperti keluhan yg lain kenapa ya aplikasi eror mohon pihak pengembang segera diperbaiki terimakasih")</f>
        <v>Sama seperti keluhan yg lain kenapa ya aplikasi eror mohon pihak pengembang segera diperbaiki terimakasih</v>
      </c>
      <c r="G330" s="18" t="str">
        <f>IFERROR(__xludf.DUMMYFUNCTION("REGEXREPLACE(F330,$A$7, )"),"Sama seperti keluhan yg lain kenapa ya aplikasi eror mohon pihak pengembang segera diperbaiki terimakasih")</f>
        <v>Sama seperti keluhan yg lain kenapa ya aplikasi eror mohon pihak pengembang segera diperbaiki terimakasih</v>
      </c>
      <c r="H330" s="17" t="str">
        <f t="shared" si="1"/>
        <v>sama seperti keluhan yg lain kenapa ya aplikasi eror mohon pihak pengembang segera diperbaiki terimakasih</v>
      </c>
    </row>
    <row r="331">
      <c r="A331" s="16" t="s">
        <v>326</v>
      </c>
      <c r="B331" s="17" t="str">
        <f>IFERROR(__xludf.DUMMYFUNCTION("REGEXREPLACE(A331,$A$2, )"),"Sangat mengecewakan aplikasinya, giliran mau login gak bisa bisa masuk, muter terus apk nya, kalau tidak niat membantu masyarakat, jangan dibuat aplikasi seperti ini dong. kan tujuannya untuk membantu dampak BBM dan lain lain kan.")</f>
        <v>Sangat mengecewakan aplikasinya, giliran mau login gak bisa bisa masuk, muter terus apk nya, kalau tidak niat membantu masyarakat, jangan dibuat aplikasi seperti ini dong. kan tujuannya untuk membantu dampak BBM dan lain lain kan.</v>
      </c>
      <c r="C331" s="17" t="str">
        <f>IFERROR(__xludf.DUMMYFUNCTION("REGEXREPLACE(B331,$A$3, )"),"Sangat mengecewakan aplikasinya, giliran mau login gak bisa bisa masuk, muter terus apk nya, kalau tidak niat membantu masyarakat, jangan dibuat aplikasi seperti ini dong. kan tujuannya untuk membantu dampak BBM dan lain lain kan.")</f>
        <v>Sangat mengecewakan aplikasinya, giliran mau login gak bisa bisa masuk, muter terus apk nya, kalau tidak niat membantu masyarakat, jangan dibuat aplikasi seperti ini dong. kan tujuannya untuk membantu dampak BBM dan lain lain kan.</v>
      </c>
      <c r="D331" s="17" t="str">
        <f>IFERROR(__xludf.DUMMYFUNCTION("REGEXREPLACE(C331,$A$4, )"),"Sangat mengecewakan aplikasinya, giliran mau login gak bisa bisa masuk, muter terus apk nya, kalau tidak niat membantu masyarakat, jangan dibuat aplikasi seperti ini dong. kan tujuannya untuk membantu dampak BBM dan lain lain kan.")</f>
        <v>Sangat mengecewakan aplikasinya, giliran mau login gak bisa bisa masuk, muter terus apk nya, kalau tidak niat membantu masyarakat, jangan dibuat aplikasi seperti ini dong. kan tujuannya untuk membantu dampak BBM dan lain lain kan.</v>
      </c>
      <c r="E331" s="17" t="str">
        <f>IFERROR(__xludf.DUMMYFUNCTION("REGEXREPLACE(D331,$A$5, )"),"Sangat mengecewakan aplikasinya, giliran mau login gak bisa bisa masuk, muter terus apk nya, kalau tidak niat membantu masyarakat, jangan dibuat aplikasi seperti ini dong. kan tujuannya untuk membantu dampak BBM dan lain lain kan.")</f>
        <v>Sangat mengecewakan aplikasinya, giliran mau login gak bisa bisa masuk, muter terus apk nya, kalau tidak niat membantu masyarakat, jangan dibuat aplikasi seperti ini dong. kan tujuannya untuk membantu dampak BBM dan lain lain kan.</v>
      </c>
      <c r="F331" s="17" t="str">
        <f>IFERROR(__xludf.DUMMYFUNCTION("REGEXREPLACE(E331,$A$6, )"),"Sangat mengecewakan aplikasinya giliran mau login gak bisa bisa masuk muter terus apk nya kalau tidak niat membantu masyarakat jangan dibuat aplikasi seperti ini dong kan tujuannya untuk membantu dampak BBM dan lain lain kan")</f>
        <v>Sangat mengecewakan aplikasinya giliran mau login gak bisa bisa masuk muter terus apk nya kalau tidak niat membantu masyarakat jangan dibuat aplikasi seperti ini dong kan tujuannya untuk membantu dampak BBM dan lain lain kan</v>
      </c>
      <c r="G331" s="18" t="str">
        <f>IFERROR(__xludf.DUMMYFUNCTION("REGEXREPLACE(F331,$A$7, )"),"Sangat mengecewakan aplikasinya giliran mau login gak bisa bisa masuk muter terus apk nya kalau tidak niat membantu masyarakat jangan dibuat aplikasi seperti ini dong kan tujuannya untuk membantu dampak BBM dan lain lain kan")</f>
        <v>Sangat mengecewakan aplikasinya giliran mau login gak bisa bisa masuk muter terus apk nya kalau tidak niat membantu masyarakat jangan dibuat aplikasi seperti ini dong kan tujuannya untuk membantu dampak BBM dan lain lain kan</v>
      </c>
      <c r="H331" s="17" t="str">
        <f t="shared" si="1"/>
        <v>sangat mengecewakan aplikasinya giliran mau login gak bisa bisa masuk muter terus apk nya kalau tidak niat membantu masyarakat jangan dibuat aplikasi seperti ini dong kan tujuannya untuk membantu dampak bbm dan lain lain kan</v>
      </c>
    </row>
    <row r="332">
      <c r="A332" s="16" t="s">
        <v>327</v>
      </c>
      <c r="B332" s="17" t="str">
        <f>IFERROR(__xludf.DUMMYFUNCTION("REGEXREPLACE(A332,$A$2, )"),"Sekelas aplikasi pemerintah kurang optimal setelah melakukan registrasi berhasil aplikasi langsung ke menu login, begitu login akun tidak terdaftar padahal sudah berhasil, pemilihan upload foto tidak bisa melalui galeri sehingga kalau gagal pendaftaran ha"&amp;"rus foto berulang ulah.. Payah banget semua berkaitan pemerintah gak ada yg bener masyarakat di buat pusing dan ribet..")</f>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c r="C332" s="17" t="str">
        <f>IFERROR(__xludf.DUMMYFUNCTION("REGEXREPLACE(B332,$A$3, )"),"Sekelas aplikasi pemerintah kurang optimal setelah melakukan registrasi berhasil aplikasi langsung ke menu login, begitu login akun tidak terdaftar padahal sudah berhasil, pemilihan upload foto tidak bisa melalui galeri sehingga kalau gagal pendaftaran ha"&amp;"rus foto berulang ulah.. Payah banget semua berkaitan pemerintah gak ada yg bener masyarakat di buat pusing dan ribet..")</f>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c r="D332" s="17" t="str">
        <f>IFERROR(__xludf.DUMMYFUNCTION("REGEXREPLACE(C332,$A$4, )"),"Sekelas aplikasi pemerintah kurang optimal setelah melakukan registrasi berhasil aplikasi langsung ke menu login, begitu login akun tidak terdaftar padahal sudah berhasil, pemilihan upload foto tidak bisa melalui galeri sehingga kalau gagal pendaftaran ha"&amp;"rus foto berulang ulah.. Payah banget semua berkaitan pemerintah gak ada yg bener masyarakat di buat pusing dan ribet..")</f>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c r="E332" s="17" t="str">
        <f>IFERROR(__xludf.DUMMYFUNCTION("REGEXREPLACE(D332,$A$5, )"),"Sekelas aplikasi pemerintah kurang optimal setelah melakukan registrasi berhasil aplikasi langsung ke menu login, begitu login akun tidak terdaftar padahal sudah berhasil, pemilihan upload foto tidak bisa melalui galeri sehingga kalau gagal pendaftaran ha"&amp;"rus foto berulang ulah.. Payah banget semua berkaitan pemerintah gak ada yg bener masyarakat di buat pusing dan ribet..")</f>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c r="F332" s="17" t="str">
        <f>IFERROR(__xludf.DUMMYFUNCTION("REGEXREPLACE(E332,$A$6, )"),"Sekelas aplikasi pemerintah kurang optimal setelah melakukan registrasi berhasil aplikasi langsung ke menu login begitu login akun tidak terdaftar padahal sudah berhasil pemilihan upload foto tidak bisa melalui galeri sehingga kalau gagal pendaftaran haru"&amp;"s foto berulang ulah Payah banget semua berkaitan pemerintah gak ada yg bener masyarakat di buat pusing dan ribet")</f>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c r="G332" s="18" t="str">
        <f>IFERROR(__xludf.DUMMYFUNCTION("REGEXREPLACE(F332,$A$7, )"),"Sekelas aplikasi pemerintah kurang optimal setelah melakukan registrasi berhasil aplikasi langsung ke menu login begitu login akun tidak terdaftar padahal sudah berhasil pemilihan upload foto tidak bisa melalui galeri sehingga kalau gagal pendaftaran haru"&amp;"s foto berulang ulah Payah banget semua berkaitan pemerintah gak ada yg bener masyarakat di buat pusing dan ribet")</f>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c r="H332" s="17" t="str">
        <f t="shared" si="1"/>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row>
    <row r="333">
      <c r="A333" s="16" t="s">
        <v>328</v>
      </c>
      <c r="B333" s="17" t="str">
        <f>IFERROR(__xludf.DUMMYFUNCTION("REGEXREPLACE(A333,$A$2, )"),"Daftar akun error saat klik provinsi, tampil pop up bla bla bla gak jelas..... Diulang berkali kali tetap. Kalau bikin aplikasi cek dulu kelayakannya saat diterbitkan. Biar tidak menyusahkan.")</f>
        <v>Daftar akun error saat klik provinsi, tampil pop up bla bla bla gak jelas..... Diulang berkali kali tetap. Kalau bikin aplikasi cek dulu kelayakannya saat diterbitkan. Biar tidak menyusahkan.</v>
      </c>
      <c r="C333" s="17" t="str">
        <f>IFERROR(__xludf.DUMMYFUNCTION("REGEXREPLACE(B333,$A$3, )"),"Daftar akun error saat klik provinsi, tampil pop up bla bla bla gak jelas..... Diulang berkali kali tetap. Kalau bikin aplikasi cek dulu kelayakannya saat diterbitkan. Biar tidak menyusahkan.")</f>
        <v>Daftar akun error saat klik provinsi, tampil pop up bla bla bla gak jelas..... Diulang berkali kali tetap. Kalau bikin aplikasi cek dulu kelayakannya saat diterbitkan. Biar tidak menyusahkan.</v>
      </c>
      <c r="D333" s="17" t="str">
        <f>IFERROR(__xludf.DUMMYFUNCTION("REGEXREPLACE(C333,$A$4, )"),"Daftar akun error saat klik provinsi, tampil pop up bla bla bla gak jelas..... Diulang berkali kali tetap. Kalau bikin aplikasi cek dulu kelayakannya saat diterbitkan. Biar tidak menyusahkan.")</f>
        <v>Daftar akun error saat klik provinsi, tampil pop up bla bla bla gak jelas..... Diulang berkali kali tetap. Kalau bikin aplikasi cek dulu kelayakannya saat diterbitkan. Biar tidak menyusahkan.</v>
      </c>
      <c r="E333" s="17" t="str">
        <f>IFERROR(__xludf.DUMMYFUNCTION("REGEXREPLACE(D333,$A$5, )"),"Daftar akun error saat klik provinsi, tampil pop up bla bla bla gak jelas..... Diulang berkali kali tetap. Kalau bikin aplikasi cek dulu kelayakannya saat diterbitkan. Biar tidak menyusahkan.")</f>
        <v>Daftar akun error saat klik provinsi, tampil pop up bla bla bla gak jelas..... Diulang berkali kali tetap. Kalau bikin aplikasi cek dulu kelayakannya saat diterbitkan. Biar tidak menyusahkan.</v>
      </c>
      <c r="F333" s="17" t="str">
        <f>IFERROR(__xludf.DUMMYFUNCTION("REGEXREPLACE(E333,$A$6, )"),"Daftar akun error saat klik provinsi tampil pop up bla bla bla gak jelas Diulang berkali kali tetap Kalau bikin aplikasi cek dulu kelayakannya saat diterbitkan Biar tidak menyusahkan")</f>
        <v>Daftar akun error saat klik provinsi tampil pop up bla bla bla gak jelas Diulang berkali kali tetap Kalau bikin aplikasi cek dulu kelayakannya saat diterbitkan Biar tidak menyusahkan</v>
      </c>
      <c r="G333" s="18" t="str">
        <f>IFERROR(__xludf.DUMMYFUNCTION("REGEXREPLACE(F333,$A$7, )"),"Daftar akun error saat klik provinsi tampil pop up bla bla bla gak jelas Diulang berkali kali tetap Kalau bikin aplikasi cek dulu kelayakannya saat diterbitkan Biar tidak menyusahkan")</f>
        <v>Daftar akun error saat klik provinsi tampil pop up bla bla bla gak jelas Diulang berkali kali tetap Kalau bikin aplikasi cek dulu kelayakannya saat diterbitkan Biar tidak menyusahkan</v>
      </c>
      <c r="H333" s="17" t="str">
        <f t="shared" si="1"/>
        <v>daftar akun error saat klik provinsi tampil pop up bla bla bla gak jelas diulang berkali kali tetap kalau bikin aplikasi cek dulu kelayakannya saat diterbitkan biar tidak menyusahkan</v>
      </c>
    </row>
    <row r="334">
      <c r="A334" s="16" t="s">
        <v>329</v>
      </c>
      <c r="B334" s="17" t="str">
        <f>IFERROR(__xludf.DUMMYFUNCTION("REGEXREPLACE(A334,$A$2, )"),"aplikasi susah dibukanya gagal terus .perbaharui biar gampang")</f>
        <v>aplikasi susah dibukanya gagal terus .perbaharui biar gampang</v>
      </c>
      <c r="C334" s="17" t="str">
        <f>IFERROR(__xludf.DUMMYFUNCTION("REGEXREPLACE(B334,$A$3, )"),"aplikasi susah dibukanya gagal terus .perbaharui biar gampang")</f>
        <v>aplikasi susah dibukanya gagal terus .perbaharui biar gampang</v>
      </c>
      <c r="D334" s="17" t="str">
        <f>IFERROR(__xludf.DUMMYFUNCTION("REGEXREPLACE(C334,$A$4, )"),"aplikasi susah dibukanya gagal terus .perbaharui biar gampang")</f>
        <v>aplikasi susah dibukanya gagal terus .perbaharui biar gampang</v>
      </c>
      <c r="E334" s="17" t="str">
        <f>IFERROR(__xludf.DUMMYFUNCTION("REGEXREPLACE(D334,$A$5, )"),"aplikasi susah dibukanya gagal terus .perbaharui biar gampang")</f>
        <v>aplikasi susah dibukanya gagal terus .perbaharui biar gampang</v>
      </c>
      <c r="F334" s="17" t="str">
        <f>IFERROR(__xludf.DUMMYFUNCTION("REGEXREPLACE(E334,$A$6, )"),"aplikasi susah dibukanya gagal terus perbaharui biar gampang")</f>
        <v>aplikasi susah dibukanya gagal terus perbaharui biar gampang</v>
      </c>
      <c r="G334" s="18" t="str">
        <f>IFERROR(__xludf.DUMMYFUNCTION("REGEXREPLACE(F334,$A$7, )"),"aplikasi susah dibukanya gagal terus perbaharui biar gampang")</f>
        <v>aplikasi susah dibukanya gagal terus perbaharui biar gampang</v>
      </c>
      <c r="H334" s="17" t="str">
        <f t="shared" si="1"/>
        <v>aplikasi susah dibukanya gagal terus perbaharui biar gampang</v>
      </c>
    </row>
    <row r="335">
      <c r="A335" s="16" t="s">
        <v>330</v>
      </c>
      <c r="B335" s="17" t="str">
        <f>IFERROR(__xludf.DUMMYFUNCTION("REGEXREPLACE(A335,$A$2, )"),"Mau daftarin ibu saya susah kali ada masalah gangguan terus sekiranya kalo ada bug tolong segera diperbaiki kami butuh banget . Inikan aplikasi dari pemerintah yang download juga banyak kenapa nggak diperbaiki apa kualitasnya seperti ini. Saya ingin pemba"&amp;"giannua yg merata kenapa selalu tidak tepat sasaran")</f>
        <v>Mau daftarin ibu saya susah kali ada masalah gangguan terus sekiranya kalo ada bug tolong segera diperbaiki kami butuh banget . Inikan aplikasi dari pemerintah yang download juga banyak kenapa nggak diperbaiki apa kualitasnya seperti ini. Saya ingin pembagiannua yg merata kenapa selalu tidak tepat sasaran</v>
      </c>
      <c r="C335" s="17" t="str">
        <f>IFERROR(__xludf.DUMMYFUNCTION("REGEXREPLACE(B335,$A$3, )"),"Mau daftarin ibu saya susah kali ada masalah gangguan terus sekiranya kalo ada bug tolong segera diperbaiki kami butuh banget . Inikan aplikasi dari pemerintah yang download juga banyak kenapa nggak diperbaiki apa kualitasnya seperti ini. Saya ingin pemba"&amp;"giannua yg merata kenapa selalu tidak tepat sasaran")</f>
        <v>Mau daftarin ibu saya susah kali ada masalah gangguan terus sekiranya kalo ada bug tolong segera diperbaiki kami butuh banget . Inikan aplikasi dari pemerintah yang download juga banyak kenapa nggak diperbaiki apa kualitasnya seperti ini. Saya ingin pembagiannua yg merata kenapa selalu tidak tepat sasaran</v>
      </c>
      <c r="D335" s="17" t="str">
        <f>IFERROR(__xludf.DUMMYFUNCTION("REGEXREPLACE(C335,$A$4, )"),"Mau daftarin ibu saya susah kali ada masalah gangguan terus sekiranya kalo ada bug tolong segera diperbaiki kami butuh banget . Inikan aplikasi dari pemerintah yang download juga banyak kenapa nggak diperbaiki apa kualitasnya seperti ini. Saya ingin pemba"&amp;"giannua yg merata kenapa selalu tidak tepat sasaran")</f>
        <v>Mau daftarin ibu saya susah kali ada masalah gangguan terus sekiranya kalo ada bug tolong segera diperbaiki kami butuh banget . Inikan aplikasi dari pemerintah yang download juga banyak kenapa nggak diperbaiki apa kualitasnya seperti ini. Saya ingin pembagiannua yg merata kenapa selalu tidak tepat sasaran</v>
      </c>
      <c r="E335" s="17" t="str">
        <f>IFERROR(__xludf.DUMMYFUNCTION("REGEXREPLACE(D335,$A$5, )"),"Mau daftarin ibu saya susah kali ada masalah gangguan terus sekiranya kalo ada bug tolong segera diperbaiki kami butuh banget . Inikan aplikasi dari pemerintah yang download juga banyak kenapa nggak diperbaiki apa kualitasnya seperti ini. Saya ingin pemba"&amp;"giannua yg merata kenapa selalu tidak tepat sasaran")</f>
        <v>Mau daftarin ibu saya susah kali ada masalah gangguan terus sekiranya kalo ada bug tolong segera diperbaiki kami butuh banget . Inikan aplikasi dari pemerintah yang download juga banyak kenapa nggak diperbaiki apa kualitasnya seperti ini. Saya ingin pembagiannua yg merata kenapa selalu tidak tepat sasaran</v>
      </c>
      <c r="F335" s="17" t="str">
        <f>IFERROR(__xludf.DUMMYFUNCTION("REGEXREPLACE(E335,$A$6, )"),"Mau daftarin ibu saya susah kali ada masalah gangguan terus sekiranya kalo ada bug tolong segera diperbaiki kami butuh banget  Inikan aplikasi dari pemerintah yang download juga banyak kenapa nggak diperbaiki apa kualitasnya seperti ini Saya ingin pembagi"&amp;"annua yg merata kenapa selalu tidak tepat sasaran")</f>
        <v>Mau daftarin ibu saya susah kali ada masalah gangguan terus sekiranya kalo ada bug tolong segera diperbaiki kami butuh banget  Inikan aplikasi dari pemerintah yang download juga banyak kenapa nggak diperbaiki apa kualitasnya seperti ini Saya ingin pembagiannua yg merata kenapa selalu tidak tepat sasaran</v>
      </c>
      <c r="G335" s="18" t="str">
        <f>IFERROR(__xludf.DUMMYFUNCTION("REGEXREPLACE(F335,$A$7, )"),"Mau daftarin ibu saya susah kali ada masalah gangguan terus sekiranya kalo ada bug tolong segera diperbaiki kami butuh banget  Inikan aplikasi dari pemerintah yang download juga banyak kenapa nggak diperbaiki apa kualitasnya seperti ini Saya ingin pembagi"&amp;"annua yg merata kenapa selalu tidak tepat sasaran")</f>
        <v>Mau daftarin ibu saya susah kali ada masalah gangguan terus sekiranya kalo ada bug tolong segera diperbaiki kami butuh banget  Inikan aplikasi dari pemerintah yang download juga banyak kenapa nggak diperbaiki apa kualitasnya seperti ini Saya ingin pembagiannua yg merata kenapa selalu tidak tepat sasaran</v>
      </c>
      <c r="H335" s="17" t="str">
        <f t="shared" si="1"/>
        <v>mau daftarin ibu saya susah kali ada masalah gangguan terus sekiranya kalo ada bug tolong segera diperbaiki kami butuh banget  inikan aplikasi dari pemerintah yang download juga banyak kenapa nggak diperbaiki apa kualitasnya seperti ini saya ingin pembagiannua yg merata kenapa selalu tidak tepat sasaran</v>
      </c>
    </row>
    <row r="336">
      <c r="A336" s="16" t="s">
        <v>331</v>
      </c>
      <c r="B336" s="17" t="str">
        <f>IFERROR(__xludf.DUMMYFUNCTION("REGEXREPLACE(A336,$A$2, )"),"Niat ga sihhhhh.... Mau log in ja setengah mati sendiri susahnya..... Eerror mulu jawabannya")</f>
        <v>Niat ga sihhhhh.... Mau log in ja setengah mati sendiri susahnya..... Eerror mulu jawabannya</v>
      </c>
      <c r="C336" s="17" t="str">
        <f>IFERROR(__xludf.DUMMYFUNCTION("REGEXREPLACE(B336,$A$3, )"),"Niat ga sihhhhh.... Mau log in ja setengah mati sendiri susahnya..... Eerror mulu jawabannya")</f>
        <v>Niat ga sihhhhh.... Mau log in ja setengah mati sendiri susahnya..... Eerror mulu jawabannya</v>
      </c>
      <c r="D336" s="17" t="str">
        <f>IFERROR(__xludf.DUMMYFUNCTION("REGEXREPLACE(C336,$A$4, )"),"Niat ga sihhhhh.... Mau log in ja setengah mati sendiri susahnya..... Eerror mulu jawabannya")</f>
        <v>Niat ga sihhhhh.... Mau log in ja setengah mati sendiri susahnya..... Eerror mulu jawabannya</v>
      </c>
      <c r="E336" s="17" t="str">
        <f>IFERROR(__xludf.DUMMYFUNCTION("REGEXREPLACE(D336,$A$5, )"),"Niat ga sihhhhh.... Mau log in ja setengah mati sendiri susahnya..... Eerror mulu jawabannya")</f>
        <v>Niat ga sihhhhh.... Mau log in ja setengah mati sendiri susahnya..... Eerror mulu jawabannya</v>
      </c>
      <c r="F336" s="17" t="str">
        <f>IFERROR(__xludf.DUMMYFUNCTION("REGEXREPLACE(E336,$A$6, )"),"Niat ga sihhhhh Mau log in ja setengah mati sendiri susahnya Eerror mulu jawabannya")</f>
        <v>Niat ga sihhhhh Mau log in ja setengah mati sendiri susahnya Eerror mulu jawabannya</v>
      </c>
      <c r="G336" s="18" t="str">
        <f>IFERROR(__xludf.DUMMYFUNCTION("REGEXREPLACE(F336,$A$7, )"),"Niat ga sihhhhh Mau log in ja setengah mati sendiri susahnya Eerror mulu jawabannya")</f>
        <v>Niat ga sihhhhh Mau log in ja setengah mati sendiri susahnya Eerror mulu jawabannya</v>
      </c>
      <c r="H336" s="17" t="str">
        <f t="shared" si="1"/>
        <v>niat ga sihhhhh mau log in ja setengah mati sendiri susahnya eerror mulu jawabannya</v>
      </c>
    </row>
    <row r="337">
      <c r="A337" s="16" t="s">
        <v>332</v>
      </c>
      <c r="B337" s="17" t="str">
        <f>IFERROR(__xludf.DUMMYFUNCTION("REGEXREPLACE(A337,$A$2, )"),"Mantapp aplikasi nya sangat"" membantu!!! jangan pernah mau download apl ini, apl ini hanya mencuri data pribadi dan tidak ber jalan sesuai mestinya. Ketika kita suruh register dan masukan semua data baik kk dan ktp beserta foto"" sudah dan klik daftar ad"&amp;"a opsi akun ada berhasil terdaftar silahkan login, dan ketika di loginkan ternyata tidak bisa, malah ada baca an akun ada tidak terdaftar dan ketika diulang untuk register no kk tidak terdaftar kan tholol, semoga segera diajab kalian aamiin")</f>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c r="C337" s="17" t="str">
        <f>IFERROR(__xludf.DUMMYFUNCTION("REGEXREPLACE(B337,$A$3, )"),"Mantapp aplikasi nya sangat"" membantu!!! jangan pernah mau download apl ini, apl ini hanya mencuri data pribadi dan tidak ber jalan sesuai mestinya. Ketika kita suruh register dan masukan semua data baik kk dan ktp beserta foto"" sudah dan klik daftar ad"&amp;"a opsi akun ada berhasil terdaftar silahkan login, dan ketika di loginkan ternyata tidak bisa, malah ada baca an akun ada tidak terdaftar dan ketika diulang untuk register no kk tidak terdaftar kan tholol, semoga segera diajab kalian aamiin")</f>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c r="D337" s="17" t="str">
        <f>IFERROR(__xludf.DUMMYFUNCTION("REGEXREPLACE(C337,$A$4, )"),"Mantapp aplikasi nya sangat"" membantu!!! jangan pernah mau download apl ini, apl ini hanya mencuri data pribadi dan tidak ber jalan sesuai mestinya. Ketika kita suruh register dan masukan semua data baik kk dan ktp beserta foto"" sudah dan klik daftar ad"&amp;"a opsi akun ada berhasil terdaftar silahkan login, dan ketika di loginkan ternyata tidak bisa, malah ada baca an akun ada tidak terdaftar dan ketika diulang untuk register no kk tidak terdaftar kan tholol, semoga segera diajab kalian aamiin")</f>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c r="E337" s="17" t="str">
        <f>IFERROR(__xludf.DUMMYFUNCTION("REGEXREPLACE(D337,$A$5, )"),"Mantapp aplikasi nya sangat"" membantu!!! jangan pernah mau download apl ini, apl ini hanya mencuri data pribadi dan tidak ber jalan sesuai mestinya. Ketika kita suruh register dan masukan semua data baik kk dan ktp beserta foto"" sudah dan klik daftar ad"&amp;"a opsi akun ada berhasil terdaftar silahkan login, dan ketika di loginkan ternyata tidak bisa, malah ada baca an akun ada tidak terdaftar dan ketika diulang untuk register no kk tidak terdaftar kan tholol, semoga segera diajab kalian aamiin")</f>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c r="F337" s="17" t="str">
        <f>IFERROR(__xludf.DUMMYFUNCTION("REGEXREPLACE(E337,$A$6, )"),"Mantapp aplikasi nya sangat membantu jangan pernah mau download apl ini apl ini hanya mencuri data pribadi dan tidak ber jalan sesuai mestinya Ketika kita suruh register dan masukan semua data baik kk dan ktp beserta foto sudah dan klik daftar ada opsi ak"&amp;"un ada berhasil terdaftar silahkan login dan ketika di loginkan ternyata tidak bisa malah ada baca an akun ada tidak terdaftar dan ketika diulang untuk register no kk tidak terdaftar kan tholol semoga segera diajab kalian aamiin")</f>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c r="G337" s="18" t="str">
        <f>IFERROR(__xludf.DUMMYFUNCTION("REGEXREPLACE(F337,$A$7, )"),"Mantapp aplikasi nya sangat membantu jangan pernah mau download apl ini apl ini hanya mencuri data pribadi dan tidak ber jalan sesuai mestinya Ketika kita suruh register dan masukan semua data baik kk dan ktp beserta foto sudah dan klik daftar ada opsi ak"&amp;"un ada berhasil terdaftar silahkan login dan ketika di loginkan ternyata tidak bisa malah ada baca an akun ada tidak terdaftar dan ketika diulang untuk register no kk tidak terdaftar kan tholol semoga segera diajab kalian aamiin")</f>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c r="H337" s="17" t="str">
        <f t="shared" si="1"/>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row>
    <row r="338">
      <c r="A338" s="16" t="s">
        <v>333</v>
      </c>
      <c r="B338" s="17" t="str">
        <f>IFERROR(__xludf.DUMMYFUNCTION("REGEXREPLACE(A338,$A$2, )"),"Engga berguna lupa user sandi akun jadi abu. Mau daftar pake kk ktp beda.masih saja tetap eror🤣🤣🤣🤣")</f>
        <v>Engga berguna lupa user sandi akun jadi abu. Mau daftar pake kk ktp beda.masih saja tetap eror🤣🤣🤣🤣</v>
      </c>
      <c r="C338" s="17" t="str">
        <f>IFERROR(__xludf.DUMMYFUNCTION("REGEXREPLACE(B338,$A$3, )"),"Engga berguna lupa user sandi akun jadi abu. Mau daftar pake kk ktp beda.masih saja tetap eror🤣🤣🤣🤣")</f>
        <v>Engga berguna lupa user sandi akun jadi abu. Mau daftar pake kk ktp beda.masih saja tetap eror🤣🤣🤣🤣</v>
      </c>
      <c r="D338" s="17" t="str">
        <f>IFERROR(__xludf.DUMMYFUNCTION("REGEXREPLACE(C338,$A$4, )"),"Engga berguna lupa user sandi akun jadi abu. Mau daftar pake kk ktp beda.masih saja tetap eror🤣🤣🤣🤣")</f>
        <v>Engga berguna lupa user sandi akun jadi abu. Mau daftar pake kk ktp beda.masih saja tetap eror🤣🤣🤣🤣</v>
      </c>
      <c r="E338" s="17" t="str">
        <f>IFERROR(__xludf.DUMMYFUNCTION("REGEXREPLACE(D338,$A$5, )"),"Engga berguna lupa user sandi akun jadi abu. Mau daftar pake kk ktp beda.masih saja tetap eror🤣🤣🤣🤣")</f>
        <v>Engga berguna lupa user sandi akun jadi abu. Mau daftar pake kk ktp beda.masih saja tetap eror🤣🤣🤣🤣</v>
      </c>
      <c r="F338" s="17" t="str">
        <f>IFERROR(__xludf.DUMMYFUNCTION("REGEXREPLACE(E338,$A$6, )"),"Engga berguna lupa user sandi akun jadi abu Mau daftar pake kk ktp bedamasih saja tetap eror🤣🤣🤣🤣")</f>
        <v>Engga berguna lupa user sandi akun jadi abu Mau daftar pake kk ktp bedamasih saja tetap eror🤣🤣🤣🤣</v>
      </c>
      <c r="G338" s="18" t="str">
        <f>IFERROR(__xludf.DUMMYFUNCTION("REGEXREPLACE(F338,$A$7, )"),"Engga berguna lupa user sandi akun jadi abu Mau daftar pake kk ktp bedamasih saja tetap eror")</f>
        <v>Engga berguna lupa user sandi akun jadi abu Mau daftar pake kk ktp bedamasih saja tetap eror</v>
      </c>
      <c r="H338" s="17" t="str">
        <f t="shared" si="1"/>
        <v>engga berguna lupa user sandi akun jadi abu mau daftar pake kk ktp bedamasih saja tetap eror</v>
      </c>
    </row>
    <row r="339">
      <c r="A339" s="16" t="s">
        <v>334</v>
      </c>
      <c r="B339" s="17" t="str">
        <f>IFERROR(__xludf.DUMMYFUNCTION("REGEXREPLACE(A339,$A$2, )"),"Aplikasi nya eror tidak bisa di login")</f>
        <v>Aplikasi nya eror tidak bisa di login</v>
      </c>
      <c r="C339" s="17" t="str">
        <f>IFERROR(__xludf.DUMMYFUNCTION("REGEXREPLACE(B339,$A$3, )"),"Aplikasi nya eror tidak bisa di login")</f>
        <v>Aplikasi nya eror tidak bisa di login</v>
      </c>
      <c r="D339" s="17" t="str">
        <f>IFERROR(__xludf.DUMMYFUNCTION("REGEXREPLACE(C339,$A$4, )"),"Aplikasi nya eror tidak bisa di login")</f>
        <v>Aplikasi nya eror tidak bisa di login</v>
      </c>
      <c r="E339" s="17" t="str">
        <f>IFERROR(__xludf.DUMMYFUNCTION("REGEXREPLACE(D339,$A$5, )"),"Aplikasi nya eror tidak bisa di login")</f>
        <v>Aplikasi nya eror tidak bisa di login</v>
      </c>
      <c r="F339" s="17" t="str">
        <f>IFERROR(__xludf.DUMMYFUNCTION("REGEXREPLACE(E339,$A$6, )"),"Aplikasi nya eror tidak bisa di login")</f>
        <v>Aplikasi nya eror tidak bisa di login</v>
      </c>
      <c r="G339" s="18" t="str">
        <f>IFERROR(__xludf.DUMMYFUNCTION("REGEXREPLACE(F339,$A$7, )"),"Aplikasi nya eror tidak bisa di login")</f>
        <v>Aplikasi nya eror tidak bisa di login</v>
      </c>
      <c r="H339" s="17" t="str">
        <f t="shared" si="1"/>
        <v>aplikasi nya eror tidak bisa di login</v>
      </c>
    </row>
    <row r="340">
      <c r="A340" s="16" t="s">
        <v>335</v>
      </c>
      <c r="B340" s="17" t="str">
        <f>IFERROR(__xludf.DUMMYFUNCTION("REGEXREPLACE(A340,$A$2, )"),"Secara ga sadar ternyata Data kita sangat penting Untuk Pemilu 2024. Sehingga ada pihak yg di Untungkan dari data kita. Apalagi data sudah masuk tapi Aplikasi ERROR/ lost Koneksi. Memang kita itu gampang sekali di Bodoh2i oleh Apk semacam ini.")</f>
        <v>Secara ga sadar ternyata Data kita sangat penting Untuk Pemilu 2024. Sehingga ada pihak yg di Untungkan dari data kita. Apalagi data sudah masuk tapi Aplikasi ERROR/ lost Koneksi. Memang kita itu gampang sekali di Bodoh2i oleh Apk semacam ini.</v>
      </c>
      <c r="C340" s="17" t="str">
        <f>IFERROR(__xludf.DUMMYFUNCTION("REGEXREPLACE(B340,$A$3, )"),"Secara ga sadar ternyata Data kita sangat penting Untuk Pemilu 2024. Sehingga ada pihak yg di Untungkan dari data kita. Apalagi data sudah masuk tapi Aplikasi ERROR/ lost Koneksi. Memang kita itu gampang sekali di Bodoh2i oleh Apk semacam ini.")</f>
        <v>Secara ga sadar ternyata Data kita sangat penting Untuk Pemilu 2024. Sehingga ada pihak yg di Untungkan dari data kita. Apalagi data sudah masuk tapi Aplikasi ERROR/ lost Koneksi. Memang kita itu gampang sekali di Bodoh2i oleh Apk semacam ini.</v>
      </c>
      <c r="D340" s="17" t="str">
        <f>IFERROR(__xludf.DUMMYFUNCTION("REGEXREPLACE(C340,$A$4, )"),"Secara ga sadar ternyata Data kita sangat penting Untuk Pemilu 2024. Sehingga ada pihak yg di Untungkan dari data kita. Apalagi data sudah masuk tapi Aplikasi ERROR/ lost Koneksi. Memang kita itu gampang sekali di Bodoh2i oleh Apk semacam ini.")</f>
        <v>Secara ga sadar ternyata Data kita sangat penting Untuk Pemilu 2024. Sehingga ada pihak yg di Untungkan dari data kita. Apalagi data sudah masuk tapi Aplikasi ERROR/ lost Koneksi. Memang kita itu gampang sekali di Bodoh2i oleh Apk semacam ini.</v>
      </c>
      <c r="E340" s="17" t="str">
        <f>IFERROR(__xludf.DUMMYFUNCTION("REGEXREPLACE(D340,$A$5, )"),"Secara ga sadar ternyata Data kita sangat penting Untuk Pemilu . Sehingga ada pihak yg di Untungkan dari data kita. Apalagi data sudah masuk tapi Aplikasi ERROR/ lost Koneksi. Memang kita itu gampang sekali di Bodohi oleh Apk semacam ini.")</f>
        <v>Secara ga sadar ternyata Data kita sangat penting Untuk Pemilu . Sehingga ada pihak yg di Untungkan dari data kita. Apalagi data sudah masuk tapi Aplikasi ERROR/ lost Koneksi. Memang kita itu gampang sekali di Bodohi oleh Apk semacam ini.</v>
      </c>
      <c r="F340" s="17" t="str">
        <f>IFERROR(__xludf.DUMMYFUNCTION("REGEXREPLACE(E340,$A$6, )"),"Secara ga sadar ternyata Data kita sangat penting Untuk Pemilu  Sehingga ada pihak yg di Untungkan dari data kita Apalagi data sudah masuk tapi Aplikasi ERROR lost Koneksi Memang kita itu gampang sekali di Bodohi oleh Apk semacam ini")</f>
        <v>Secara ga sadar ternyata Data kita sangat penting Untuk Pemilu  Sehingga ada pihak yg di Untungkan dari data kita Apalagi data sudah masuk tapi Aplikasi ERROR lost Koneksi Memang kita itu gampang sekali di Bodohi oleh Apk semacam ini</v>
      </c>
      <c r="G340" s="18" t="str">
        <f>IFERROR(__xludf.DUMMYFUNCTION("REGEXREPLACE(F340,$A$7, )"),"Secara ga sadar ternyata Data kita sangat penting Untuk Pemilu  Sehingga ada pihak yg di Untungkan dari data kita Apalagi data sudah masuk tapi Aplikasi ERROR lost Koneksi Memang kita itu gampang sekali di Bodohi oleh Apk semacam ini")</f>
        <v>Secara ga sadar ternyata Data kita sangat penting Untuk Pemilu  Sehingga ada pihak yg di Untungkan dari data kita Apalagi data sudah masuk tapi Aplikasi ERROR lost Koneksi Memang kita itu gampang sekali di Bodohi oleh Apk semacam ini</v>
      </c>
      <c r="H340" s="17" t="str">
        <f t="shared" si="1"/>
        <v>secara ga sadar ternyata data kita sangat penting untuk pemilu  sehingga ada pihak yg di untungkan dari data kita apalagi data sudah masuk tapi aplikasi error lost koneksi memang kita itu gampang sekali di bodohi oleh apk semacam ini</v>
      </c>
    </row>
    <row r="341">
      <c r="A341" s="16" t="s">
        <v>336</v>
      </c>
      <c r="B341" s="17" t="str">
        <f>IFERROR(__xludf.DUMMYFUNCTION("REGEXREPLACE(A341,$A$2, )"),"Aplikasinya error min tolong diperbaiki 😊🙏")</f>
        <v>Aplikasinya error min tolong diperbaiki 😊🙏</v>
      </c>
      <c r="C341" s="17" t="str">
        <f>IFERROR(__xludf.DUMMYFUNCTION("REGEXREPLACE(B341,$A$3, )"),"Aplikasinya error min tolong diperbaiki 😊🙏")</f>
        <v>Aplikasinya error min tolong diperbaiki 😊🙏</v>
      </c>
      <c r="D341" s="17" t="str">
        <f>IFERROR(__xludf.DUMMYFUNCTION("REGEXREPLACE(C341,$A$4, )"),"Aplikasinya error min tolong diperbaiki 😊🙏")</f>
        <v>Aplikasinya error min tolong diperbaiki 😊🙏</v>
      </c>
      <c r="E341" s="17" t="str">
        <f>IFERROR(__xludf.DUMMYFUNCTION("REGEXREPLACE(D341,$A$5, )"),"Aplikasinya error min tolong diperbaiki 😊🙏")</f>
        <v>Aplikasinya error min tolong diperbaiki 😊🙏</v>
      </c>
      <c r="F341" s="17" t="str">
        <f>IFERROR(__xludf.DUMMYFUNCTION("REGEXREPLACE(E341,$A$6, )"),"Aplikasinya error min tolong diperbaiki 😊🙏")</f>
        <v>Aplikasinya error min tolong diperbaiki 😊🙏</v>
      </c>
      <c r="G341" s="18" t="str">
        <f>IFERROR(__xludf.DUMMYFUNCTION("REGEXREPLACE(F341,$A$7, )"),"Aplikasinya error min tolong diperbaiki ")</f>
        <v>Aplikasinya error min tolong diperbaiki </v>
      </c>
      <c r="H341" s="17" t="str">
        <f t="shared" si="1"/>
        <v>aplikasinya error min tolong diperbaiki </v>
      </c>
    </row>
    <row r="342">
      <c r="A342" s="16" t="s">
        <v>337</v>
      </c>
      <c r="B342" s="17" t="str">
        <f>IFERROR(__xludf.DUMMYFUNCTION("REGEXREPLACE(A342,$A$2, )"),"Saya lupa username dan kata sandi...bagaimana cara nya masuk kembali..mohon bantuan nya... Daftar baru di tolak karena sudah terdaftar")</f>
        <v>Saya lupa username dan kata sandi...bagaimana cara nya masuk kembali..mohon bantuan nya... Daftar baru di tolak karena sudah terdaftar</v>
      </c>
      <c r="C342" s="17" t="str">
        <f>IFERROR(__xludf.DUMMYFUNCTION("REGEXREPLACE(B342,$A$3, )"),"Saya lupa username dan kata sandi...bagaimana cara nya masuk kembali..mohon bantuan nya... Daftar baru di tolak karena sudah terdaftar")</f>
        <v>Saya lupa username dan kata sandi...bagaimana cara nya masuk kembali..mohon bantuan nya... Daftar baru di tolak karena sudah terdaftar</v>
      </c>
      <c r="D342" s="17" t="str">
        <f>IFERROR(__xludf.DUMMYFUNCTION("REGEXREPLACE(C342,$A$4, )"),"Saya lupa username dan kata sandi...bagaimana cara nya masuk kembali..mohon bantuan nya... Daftar baru di tolak karena sudah terdaftar")</f>
        <v>Saya lupa username dan kata sandi...bagaimana cara nya masuk kembali..mohon bantuan nya... Daftar baru di tolak karena sudah terdaftar</v>
      </c>
      <c r="E342" s="17" t="str">
        <f>IFERROR(__xludf.DUMMYFUNCTION("REGEXREPLACE(D342,$A$5, )"),"Saya lupa username dan kata sandi...bagaimana cara nya masuk kembali..mohon bantuan nya... Daftar baru di tolak karena sudah terdaftar")</f>
        <v>Saya lupa username dan kata sandi...bagaimana cara nya masuk kembali..mohon bantuan nya... Daftar baru di tolak karena sudah terdaftar</v>
      </c>
      <c r="F342" s="17" t="str">
        <f>IFERROR(__xludf.DUMMYFUNCTION("REGEXREPLACE(E342,$A$6, )"),"Saya lupa username dan kata sandibagaimana cara nya masuk kembalimohon bantuan nya Daftar baru di tolak karena sudah terdaftar")</f>
        <v>Saya lupa username dan kata sandibagaimana cara nya masuk kembalimohon bantuan nya Daftar baru di tolak karena sudah terdaftar</v>
      </c>
      <c r="G342" s="18" t="str">
        <f>IFERROR(__xludf.DUMMYFUNCTION("REGEXREPLACE(F342,$A$7, )"),"Saya lupa username dan kata sandibagaimana cara nya masuk kembalimohon bantuan nya Daftar baru di tolak karena sudah terdaftar")</f>
        <v>Saya lupa username dan kata sandibagaimana cara nya masuk kembalimohon bantuan nya Daftar baru di tolak karena sudah terdaftar</v>
      </c>
      <c r="H342" s="17" t="str">
        <f t="shared" si="1"/>
        <v>saya lupa username dan kata sandibagaimana cara nya masuk kembalimohon bantuan nya daftar baru di tolak karena sudah terdaftar</v>
      </c>
    </row>
    <row r="343">
      <c r="A343" s="16" t="s">
        <v>338</v>
      </c>
      <c r="B343" s="17" t="str">
        <f>IFERROR(__xludf.DUMMYFUNCTION("REGEXREPLACE(A343,$A$2, )"),"Aplikasi paling dungooo..apk blm sempurna masuk play store")</f>
        <v>Aplikasi paling dungooo..apk blm sempurna masuk play store</v>
      </c>
      <c r="C343" s="17" t="str">
        <f>IFERROR(__xludf.DUMMYFUNCTION("REGEXREPLACE(B343,$A$3, )"),"Aplikasi paling dungooo..apk blm sempurna masuk play store")</f>
        <v>Aplikasi paling dungooo..apk blm sempurna masuk play store</v>
      </c>
      <c r="D343" s="17" t="str">
        <f>IFERROR(__xludf.DUMMYFUNCTION("REGEXREPLACE(C343,$A$4, )"),"Aplikasi paling dungooo..apk blm sempurna masuk play store")</f>
        <v>Aplikasi paling dungooo..apk blm sempurna masuk play store</v>
      </c>
      <c r="E343" s="17" t="str">
        <f>IFERROR(__xludf.DUMMYFUNCTION("REGEXREPLACE(D343,$A$5, )"),"Aplikasi paling dungooo..apk blm sempurna masuk play store")</f>
        <v>Aplikasi paling dungooo..apk blm sempurna masuk play store</v>
      </c>
      <c r="F343" s="17" t="str">
        <f>IFERROR(__xludf.DUMMYFUNCTION("REGEXREPLACE(E343,$A$6, )"),"Aplikasi paling dungoooapk blm sempurna masuk play store")</f>
        <v>Aplikasi paling dungoooapk blm sempurna masuk play store</v>
      </c>
      <c r="G343" s="18" t="str">
        <f>IFERROR(__xludf.DUMMYFUNCTION("REGEXREPLACE(F343,$A$7, )"),"Aplikasi paling dungoooapk blm sempurna masuk play store")</f>
        <v>Aplikasi paling dungoooapk blm sempurna masuk play store</v>
      </c>
      <c r="H343" s="17" t="str">
        <f t="shared" si="1"/>
        <v>aplikasi paling dungoooapk blm sempurna masuk play store</v>
      </c>
    </row>
    <row r="344">
      <c r="A344" s="16" t="s">
        <v>339</v>
      </c>
      <c r="B344" s="17" t="str">
        <f>IFERROR(__xludf.DUMMYFUNCTION("REGEXREPLACE(A344,$A$2, )"),"sangat membantu dan bermanfaat utk Rakyat INDONESIA👍👍👍")</f>
        <v>sangat membantu dan bermanfaat utk Rakyat INDONESIA👍👍👍</v>
      </c>
      <c r="C344" s="17" t="str">
        <f>IFERROR(__xludf.DUMMYFUNCTION("REGEXREPLACE(B344,$A$3, )"),"sangat membantu dan bermanfaat utk Rakyat INDONESIA👍👍👍")</f>
        <v>sangat membantu dan bermanfaat utk Rakyat INDONESIA👍👍👍</v>
      </c>
      <c r="D344" s="17" t="str">
        <f>IFERROR(__xludf.DUMMYFUNCTION("REGEXREPLACE(C344,$A$4, )"),"sangat membantu dan bermanfaat utk Rakyat INDONESIA👍👍👍")</f>
        <v>sangat membantu dan bermanfaat utk Rakyat INDONESIA👍👍👍</v>
      </c>
      <c r="E344" s="17" t="str">
        <f>IFERROR(__xludf.DUMMYFUNCTION("REGEXREPLACE(D344,$A$5, )"),"sangat membantu dan bermanfaat utk Rakyat INDONESIA👍👍👍")</f>
        <v>sangat membantu dan bermanfaat utk Rakyat INDONESIA👍👍👍</v>
      </c>
      <c r="F344" s="17" t="str">
        <f>IFERROR(__xludf.DUMMYFUNCTION("REGEXREPLACE(E344,$A$6, )"),"sangat membantu dan bermanfaat utk Rakyat INDONESIA👍👍👍")</f>
        <v>sangat membantu dan bermanfaat utk Rakyat INDONESIA👍👍👍</v>
      </c>
      <c r="G344" s="18" t="str">
        <f>IFERROR(__xludf.DUMMYFUNCTION("REGEXREPLACE(F344,$A$7, )"),"sangat membantu dan bermanfaat utk Rakyat INDONESIA")</f>
        <v>sangat membantu dan bermanfaat utk Rakyat INDONESIA</v>
      </c>
      <c r="H344" s="17" t="str">
        <f t="shared" si="1"/>
        <v>sangat membantu dan bermanfaat utk rakyat indonesia</v>
      </c>
    </row>
    <row r="345">
      <c r="A345" s="16" t="s">
        <v>340</v>
      </c>
      <c r="B345" s="17" t="str">
        <f>IFERROR(__xludf.DUMMYFUNCTION("REGEXREPLACE(A345,$A$2, )"),"Aplikasi ngga bisa dibuka.. Berjam-jam, Berhari-hari di coba tetep aja gak bisa login. Muncul notif ""Periksa Koneksi"" Terus padahal kuota masih banyak dan jaringan stabil.. Mirisss")</f>
        <v>Aplikasi ngga bisa dibuka.. Berjam-jam, Berhari-hari di coba tetep aja gak bisa login. Muncul notif "Periksa Koneksi" Terus padahal kuota masih banyak dan jaringan stabil.. Mirisss</v>
      </c>
      <c r="C345" s="17" t="str">
        <f>IFERROR(__xludf.DUMMYFUNCTION("REGEXREPLACE(B345,$A$3, )"),"Aplikasi ngga bisa dibuka.. Berjam-jam, Berhari-hari di coba tetep aja gak bisa login. Muncul notif ""Periksa Koneksi"" Terus padahal kuota masih banyak dan jaringan stabil.. Mirisss")</f>
        <v>Aplikasi ngga bisa dibuka.. Berjam-jam, Berhari-hari di coba tetep aja gak bisa login. Muncul notif "Periksa Koneksi" Terus padahal kuota masih banyak dan jaringan stabil.. Mirisss</v>
      </c>
      <c r="D345" s="17" t="str">
        <f>IFERROR(__xludf.DUMMYFUNCTION("REGEXREPLACE(C345,$A$4, )"),"Aplikasi ngga bisa dibuka.. Berjam-jam, Berhari-hari di coba tetep aja gak bisa login. Muncul notif ""Periksa Koneksi"" Terus padahal kuota masih banyak dan jaringan stabil.. Mirisss")</f>
        <v>Aplikasi ngga bisa dibuka.. Berjam-jam, Berhari-hari di coba tetep aja gak bisa login. Muncul notif "Periksa Koneksi" Terus padahal kuota masih banyak dan jaringan stabil.. Mirisss</v>
      </c>
      <c r="E345" s="17" t="str">
        <f>IFERROR(__xludf.DUMMYFUNCTION("REGEXREPLACE(D345,$A$5, )"),"Aplikasi ngga bisa dibuka.. Berjam-jam, Berhari-hari di coba tetep aja gak bisa login. Muncul notif ""Periksa Koneksi"" Terus padahal kuota masih banyak dan jaringan stabil.. Mirisss")</f>
        <v>Aplikasi ngga bisa dibuka.. Berjam-jam, Berhari-hari di coba tetep aja gak bisa login. Muncul notif "Periksa Koneksi" Terus padahal kuota masih banyak dan jaringan stabil.. Mirisss</v>
      </c>
      <c r="F345" s="17" t="str">
        <f>IFERROR(__xludf.DUMMYFUNCTION("REGEXREPLACE(E345,$A$6, )"),"Aplikasi ngga bisa dibuka Berjamjam Berharihari di coba tetep aja gak bisa login Muncul notif Periksa Koneksi Terus padahal kuota masih banyak dan jaringan stabil Mirisss")</f>
        <v>Aplikasi ngga bisa dibuka Berjamjam Berharihari di coba tetep aja gak bisa login Muncul notif Periksa Koneksi Terus padahal kuota masih banyak dan jaringan stabil Mirisss</v>
      </c>
      <c r="G345" s="18" t="str">
        <f>IFERROR(__xludf.DUMMYFUNCTION("REGEXREPLACE(F345,$A$7, )"),"Aplikasi ngga bisa dibuka Berjamjam Berharihari di coba tetep aja gak bisa login Muncul notif Periksa Koneksi Terus padahal kuota masih banyak dan jaringan stabil Mirisss")</f>
        <v>Aplikasi ngga bisa dibuka Berjamjam Berharihari di coba tetep aja gak bisa login Muncul notif Periksa Koneksi Terus padahal kuota masih banyak dan jaringan stabil Mirisss</v>
      </c>
      <c r="H345" s="17" t="str">
        <f t="shared" si="1"/>
        <v>aplikasi ngga bisa dibuka berjamjam berharihari di coba tetep aja gak bisa login muncul notif periksa koneksi terus padahal kuota masih banyak dan jaringan stabil mirisss</v>
      </c>
    </row>
    <row r="346">
      <c r="A346" s="16" t="s">
        <v>341</v>
      </c>
      <c r="B346" s="17" t="str">
        <f>IFERROR(__xludf.DUMMYFUNCTION("REGEXREPLACE(A346,$A$2, )"),"tolong lah developer , mau daftar aja susah... boro-boro mau masuk lalu cek bansos!")</f>
        <v>tolong lah developer , mau daftar aja susah... boro-boro mau masuk lalu cek bansos!</v>
      </c>
      <c r="C346" s="17" t="str">
        <f>IFERROR(__xludf.DUMMYFUNCTION("REGEXREPLACE(B346,$A$3, )"),"tolong lah developer , mau daftar aja susah... boro-boro mau masuk lalu cek bansos!")</f>
        <v>tolong lah developer , mau daftar aja susah... boro-boro mau masuk lalu cek bansos!</v>
      </c>
      <c r="D346" s="17" t="str">
        <f>IFERROR(__xludf.DUMMYFUNCTION("REGEXREPLACE(C346,$A$4, )"),"tolong lah developer , mau daftar aja susah... boro-boro mau masuk lalu cek bansos!")</f>
        <v>tolong lah developer , mau daftar aja susah... boro-boro mau masuk lalu cek bansos!</v>
      </c>
      <c r="E346" s="17" t="str">
        <f>IFERROR(__xludf.DUMMYFUNCTION("REGEXREPLACE(D346,$A$5, )"),"tolong lah developer , mau daftar aja susah... boro-boro mau masuk lalu cek bansos!")</f>
        <v>tolong lah developer , mau daftar aja susah... boro-boro mau masuk lalu cek bansos!</v>
      </c>
      <c r="F346" s="17" t="str">
        <f>IFERROR(__xludf.DUMMYFUNCTION("REGEXREPLACE(E346,$A$6, )"),"tolong lah developer  mau daftar aja susah boroboro mau masuk lalu cek bansos")</f>
        <v>tolong lah developer  mau daftar aja susah boroboro mau masuk lalu cek bansos</v>
      </c>
      <c r="G346" s="18" t="str">
        <f>IFERROR(__xludf.DUMMYFUNCTION("REGEXREPLACE(F346,$A$7, )"),"tolong lah developer  mau daftar aja susah boroboro mau masuk lalu cek bansos")</f>
        <v>tolong lah developer  mau daftar aja susah boroboro mau masuk lalu cek bansos</v>
      </c>
      <c r="H346" s="17" t="str">
        <f t="shared" si="1"/>
        <v>tolong lah developer  mau daftar aja susah boroboro mau masuk lalu cek bansos</v>
      </c>
    </row>
    <row r="347">
      <c r="A347" s="16" t="s">
        <v>342</v>
      </c>
      <c r="B347" s="17" t="str">
        <f>IFERROR(__xludf.DUMMYFUNCTION("REGEXREPLACE(A347,$A$2, )"),"Sudah perifikasi ga bisa login aplikasi yg bagus🤣🤣🤣🤣😭😭😭😭😭😭")</f>
        <v>Sudah perifikasi ga bisa login aplikasi yg bagus🤣🤣🤣🤣😭😭😭😭😭😭</v>
      </c>
      <c r="C347" s="17" t="str">
        <f>IFERROR(__xludf.DUMMYFUNCTION("REGEXREPLACE(B347,$A$3, )"),"Sudah perifikasi ga bisa login aplikasi yg bagus🤣🤣🤣🤣😭😭😭😭😭😭")</f>
        <v>Sudah perifikasi ga bisa login aplikasi yg bagus🤣🤣🤣🤣😭😭😭😭😭😭</v>
      </c>
      <c r="D347" s="17" t="str">
        <f>IFERROR(__xludf.DUMMYFUNCTION("REGEXREPLACE(C347,$A$4, )"),"Sudah perifikasi ga bisa login aplikasi yg bagus🤣🤣🤣🤣😭😭😭😭😭😭")</f>
        <v>Sudah perifikasi ga bisa login aplikasi yg bagus🤣🤣🤣🤣😭😭😭😭😭😭</v>
      </c>
      <c r="E347" s="17" t="str">
        <f>IFERROR(__xludf.DUMMYFUNCTION("REGEXREPLACE(D347,$A$5, )"),"Sudah perifikasi ga bisa login aplikasi yg bagus🤣🤣🤣🤣😭😭😭😭😭😭")</f>
        <v>Sudah perifikasi ga bisa login aplikasi yg bagus🤣🤣🤣🤣😭😭😭😭😭😭</v>
      </c>
      <c r="F347" s="17" t="str">
        <f>IFERROR(__xludf.DUMMYFUNCTION("REGEXREPLACE(E347,$A$6, )"),"Sudah perifikasi ga bisa login aplikasi yg bagus🤣🤣🤣🤣😭😭😭😭😭😭")</f>
        <v>Sudah perifikasi ga bisa login aplikasi yg bagus🤣🤣🤣🤣😭😭😭😭😭😭</v>
      </c>
      <c r="G347" s="18" t="str">
        <f>IFERROR(__xludf.DUMMYFUNCTION("REGEXREPLACE(F347,$A$7, )"),"Sudah perifikasi ga bisa login aplikasi yg bagus")</f>
        <v>Sudah perifikasi ga bisa login aplikasi yg bagus</v>
      </c>
      <c r="H347" s="17" t="str">
        <f t="shared" si="1"/>
        <v>sudah perifikasi ga bisa login aplikasi yg bagus</v>
      </c>
    </row>
    <row r="348">
      <c r="A348" s="16" t="s">
        <v>343</v>
      </c>
      <c r="B348" s="17" t="str">
        <f>IFERROR(__xludf.DUMMYFUNCTION("REGEXREPLACE(A348,$A$2, )"),"Aplikasi eror,, mau daftar juga susah....")</f>
        <v>Aplikasi eror,, mau daftar juga susah....</v>
      </c>
      <c r="C348" s="17" t="str">
        <f>IFERROR(__xludf.DUMMYFUNCTION("REGEXREPLACE(B348,$A$3, )"),"Aplikasi eror,, mau daftar juga susah....")</f>
        <v>Aplikasi eror,, mau daftar juga susah....</v>
      </c>
      <c r="D348" s="17" t="str">
        <f>IFERROR(__xludf.DUMMYFUNCTION("REGEXREPLACE(C348,$A$4, )"),"Aplikasi eror,, mau daftar juga susah....")</f>
        <v>Aplikasi eror,, mau daftar juga susah....</v>
      </c>
      <c r="E348" s="17" t="str">
        <f>IFERROR(__xludf.DUMMYFUNCTION("REGEXREPLACE(D348,$A$5, )"),"Aplikasi eror,, mau daftar juga susah....")</f>
        <v>Aplikasi eror,, mau daftar juga susah....</v>
      </c>
      <c r="F348" s="17" t="str">
        <f>IFERROR(__xludf.DUMMYFUNCTION("REGEXREPLACE(E348,$A$6, )"),"Aplikasi eror mau daftar juga susah")</f>
        <v>Aplikasi eror mau daftar juga susah</v>
      </c>
      <c r="G348" s="18" t="str">
        <f>IFERROR(__xludf.DUMMYFUNCTION("REGEXREPLACE(F348,$A$7, )"),"Aplikasi eror mau daftar juga susah")</f>
        <v>Aplikasi eror mau daftar juga susah</v>
      </c>
      <c r="H348" s="17" t="str">
        <f t="shared" si="1"/>
        <v>aplikasi eror mau daftar juga susah</v>
      </c>
    </row>
    <row r="349">
      <c r="A349" s="16" t="s">
        <v>344</v>
      </c>
      <c r="B349" s="17" t="str">
        <f>IFERROR(__xludf.DUMMYFUNCTION("REGEXREPLACE(A349,$A$2, )"),"Sebenernya ngasuh bintang satupun gak mau, karna kualitas aplikasinya buruk. Sudah daftar tidak kunjung muncul email verifikasi. Gimana mau cek, mau daftar saja aplikasinya sudah tidak berfungsi dengan baik.")</f>
        <v>Sebenernya ngasuh bintang satupun gak mau, karna kualitas aplikasinya buruk. Sudah daftar tidak kunjung muncul email verifikasi. Gimana mau cek, mau daftar saja aplikasinya sudah tidak berfungsi dengan baik.</v>
      </c>
      <c r="C349" s="17" t="str">
        <f>IFERROR(__xludf.DUMMYFUNCTION("REGEXREPLACE(B349,$A$3, )"),"Sebenernya ngasuh bintang satupun gak mau, karna kualitas aplikasinya buruk. Sudah daftar tidak kunjung muncul email verifikasi. Gimana mau cek, mau daftar saja aplikasinya sudah tidak berfungsi dengan baik.")</f>
        <v>Sebenernya ngasuh bintang satupun gak mau, karna kualitas aplikasinya buruk. Sudah daftar tidak kunjung muncul email verifikasi. Gimana mau cek, mau daftar saja aplikasinya sudah tidak berfungsi dengan baik.</v>
      </c>
      <c r="D349" s="17" t="str">
        <f>IFERROR(__xludf.DUMMYFUNCTION("REGEXREPLACE(C349,$A$4, )"),"Sebenernya ngasuh bintang satupun gak mau, karna kualitas aplikasinya buruk. Sudah daftar tidak kunjung muncul email verifikasi. Gimana mau cek, mau daftar saja aplikasinya sudah tidak berfungsi dengan baik.")</f>
        <v>Sebenernya ngasuh bintang satupun gak mau, karna kualitas aplikasinya buruk. Sudah daftar tidak kunjung muncul email verifikasi. Gimana mau cek, mau daftar saja aplikasinya sudah tidak berfungsi dengan baik.</v>
      </c>
      <c r="E349" s="17" t="str">
        <f>IFERROR(__xludf.DUMMYFUNCTION("REGEXREPLACE(D349,$A$5, )"),"Sebenernya ngasuh bintang satupun gak mau, karna kualitas aplikasinya buruk. Sudah daftar tidak kunjung muncul email verifikasi. Gimana mau cek, mau daftar saja aplikasinya sudah tidak berfungsi dengan baik.")</f>
        <v>Sebenernya ngasuh bintang satupun gak mau, karna kualitas aplikasinya buruk. Sudah daftar tidak kunjung muncul email verifikasi. Gimana mau cek, mau daftar saja aplikasinya sudah tidak berfungsi dengan baik.</v>
      </c>
      <c r="F349" s="17" t="str">
        <f>IFERROR(__xludf.DUMMYFUNCTION("REGEXREPLACE(E349,$A$6, )"),"Sebenernya ngasuh bintang satupun gak mau karna kualitas aplikasinya buruk Sudah daftar tidak kunjung muncul email verifikasi Gimana mau cek mau daftar saja aplikasinya sudah tidak berfungsi dengan baik")</f>
        <v>Sebenernya ngasuh bintang satupun gak mau karna kualitas aplikasinya buruk Sudah daftar tidak kunjung muncul email verifikasi Gimana mau cek mau daftar saja aplikasinya sudah tidak berfungsi dengan baik</v>
      </c>
      <c r="G349" s="18" t="str">
        <f>IFERROR(__xludf.DUMMYFUNCTION("REGEXREPLACE(F349,$A$7, )"),"Sebenernya ngasuh bintang satupun gak mau karna kualitas aplikasinya buruk Sudah daftar tidak kunjung muncul email verifikasi Gimana mau cek mau daftar saja aplikasinya sudah tidak berfungsi dengan baik")</f>
        <v>Sebenernya ngasuh bintang satupun gak mau karna kualitas aplikasinya buruk Sudah daftar tidak kunjung muncul email verifikasi Gimana mau cek mau daftar saja aplikasinya sudah tidak berfungsi dengan baik</v>
      </c>
      <c r="H349" s="17" t="str">
        <f t="shared" si="1"/>
        <v>sebenernya ngasuh bintang satupun gak mau karna kualitas aplikasinya buruk sudah daftar tidak kunjung muncul email verifikasi gimana mau cek mau daftar saja aplikasinya sudah tidak berfungsi dengan baik</v>
      </c>
    </row>
    <row r="350">
      <c r="A350" s="16" t="s">
        <v>345</v>
      </c>
      <c r="B350" s="17" t="str">
        <f>IFERROR(__xludf.DUMMYFUNCTION("REGEXREPLACE(A350,$A$2, )"),"begitu banyak apk yg kita download di hp, g seribet apk ini.. mana punya pemerintah lagi... saya sudah daftar, sudah isi data berkali2, sudah nunggu juga akunya diferivikasi lewat email oleh dinsos, tapi tak kunjung datang emailnya.. pas log in, g bisa lo"&amp;"g in karna user id tidak terdaftar. jadi saya coba daftar lagi, isi data lengkap lagi, terakhir foto ktp dan swafoto. log in lagi, ehh g bisa lagi... saya pun jadi pusing gimana caranya...")</f>
        <v>begitu banyak apk yg kita download di hp, g seribet apk ini.. mana punya pemerintah lagi... saya sudah daftar, sudah isi data berkali2,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c r="C350" s="17" t="str">
        <f>IFERROR(__xludf.DUMMYFUNCTION("REGEXREPLACE(B350,$A$3, )"),"begitu banyak apk yg kita download di hp, g seribet apk ini.. mana punya pemerintah lagi... saya sudah daftar, sudah isi data berkali2, sudah nunggu juga akunya diferivikasi lewat email oleh dinsos, tapi tak kunjung datang emailnya.. pas log in, g bisa lo"&amp;"g in karna user id tidak terdaftar. jadi saya coba daftar lagi, isi data lengkap lagi, terakhir foto ktp dan swafoto. log in lagi, ehh g bisa lagi... saya pun jadi pusing gimana caranya...")</f>
        <v>begitu banyak apk yg kita download di hp, g seribet apk ini.. mana punya pemerintah lagi... saya sudah daftar, sudah isi data berkali2,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c r="D350" s="17" t="str">
        <f>IFERROR(__xludf.DUMMYFUNCTION("REGEXREPLACE(C350,$A$4, )"),"begitu banyak apk yg kita download di hp, g seribet apk ini.. mana punya pemerintah lagi... saya sudah daftar, sudah isi data berkali2, sudah nunggu juga akunya diferivikasi lewat email oleh dinsos, tapi tak kunjung datang emailnya.. pas log in, g bisa lo"&amp;"g in karna user id tidak terdaftar. jadi saya coba daftar lagi, isi data lengkap lagi, terakhir foto ktp dan swafoto. log in lagi, ehh g bisa lagi... saya pun jadi pusing gimana caranya...")</f>
        <v>begitu banyak apk yg kita download di hp, g seribet apk ini.. mana punya pemerintah lagi... saya sudah daftar, sudah isi data berkali2,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c r="E350" s="17" t="str">
        <f>IFERROR(__xludf.DUMMYFUNCTION("REGEXREPLACE(D350,$A$5, )"),"begitu banyak apk yg kita download di hp, g seribet apk ini.. mana punya pemerintah lagi... saya sudah daftar, sudah isi data berkali, sudah nunggu juga akunya diferivikasi lewat email oleh dinsos, tapi tak kunjung datang emailnya.. pas log in, g bisa log"&amp;" in karna user id tidak terdaftar. jadi saya coba daftar lagi, isi data lengkap lagi, terakhir foto ktp dan swafoto. log in lagi, ehh g bisa lagi... saya pun jadi pusing gimana caranya...")</f>
        <v>begitu banyak apk yg kita download di hp, g seribet apk ini.. mana punya pemerintah lagi... saya sudah daftar, sudah isi data berkali,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c r="F350" s="17" t="str">
        <f>IFERROR(__xludf.DUMMYFUNCTION("REGEXREPLACE(E350,$A$6, )"),"begitu banyak apk yg kita download di hp g seribet apk ini mana punya pemerintah lagi saya sudah daftar sudah isi data berkali sudah nunggu juga akunya diferivikasi lewat email oleh dinsos tapi tak kunjung datang emailnya pas log in g bisa log in karna us"&amp;"er id tidak terdaftar jadi saya coba daftar lagi isi data lengkap lagi terakhir foto ktp dan swafoto log in lagi ehh g bisa lagi saya pun jadi pusing gimana caranya")</f>
        <v>begitu banyak apk yg kita download di hp g seribet apk ini mana punya pemerintah lagi saya sudah daftar sudah isi data berkali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c r="G350" s="18" t="str">
        <f>IFERROR(__xludf.DUMMYFUNCTION("REGEXREPLACE(F350,$A$7, )"),"begitu banyak apk yg kita download di hp g seribet apk ini mana punya pemerintah lagi saya sudah daftar sudah isi data berkali sudah nunggu juga akunya diferivikasi lewat email oleh dinsos tapi tak kunjung datang emailnya pas log in g bisa log in karna us"&amp;"er id tidak terdaftar jadi saya coba daftar lagi isi data lengkap lagi terakhir foto ktp dan swafoto log in lagi ehh g bisa lagi saya pun jadi pusing gimana caranya")</f>
        <v>begitu banyak apk yg kita download di hp g seribet apk ini mana punya pemerintah lagi saya sudah daftar sudah isi data berkali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c r="H350" s="17" t="str">
        <f t="shared" si="1"/>
        <v>begitu banyak apk yg kita download di hp g seribet apk ini mana punya pemerintah lagi saya sudah daftar sudah isi data berkali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row>
    <row r="351">
      <c r="A351" s="16" t="s">
        <v>346</v>
      </c>
      <c r="B351" s="17" t="str">
        <f>IFERROR(__xludf.DUMMYFUNCTION("REGEXREPLACE(A351,$A$2, )"),"Apa bnpt bisa di hapus dengan aplikasi ini karna sebenarnya saya tdk mendapatkan bantuan tp klo di cek bansos nya ada tiap bln dan ingin hapus tanpa hra ngurus ke desa krn males")</f>
        <v>Apa bnpt bisa di hapus dengan aplikasi ini karna sebenarnya saya tdk mendapatkan bantuan tp klo di cek bansos nya ada tiap bln dan ingin hapus tanpa hra ngurus ke desa krn males</v>
      </c>
      <c r="C351" s="17" t="str">
        <f>IFERROR(__xludf.DUMMYFUNCTION("REGEXREPLACE(B351,$A$3, )"),"Apa bnpt bisa di hapus dengan aplikasi ini karna sebenarnya saya tdk mendapatkan bantuan tp klo di cek bansos nya ada tiap bln dan ingin hapus tanpa hra ngurus ke desa krn males")</f>
        <v>Apa bnpt bisa di hapus dengan aplikasi ini karna sebenarnya saya tdk mendapatkan bantuan tp klo di cek bansos nya ada tiap bln dan ingin hapus tanpa hra ngurus ke desa krn males</v>
      </c>
      <c r="D351" s="17" t="str">
        <f>IFERROR(__xludf.DUMMYFUNCTION("REGEXREPLACE(C351,$A$4, )"),"Apa bnpt bisa di hapus dengan aplikasi ini karna sebenarnya saya tdk mendapatkan bantuan tp klo di cek bansos nya ada tiap bln dan ingin hapus tanpa hra ngurus ke desa krn males")</f>
        <v>Apa bnpt bisa di hapus dengan aplikasi ini karna sebenarnya saya tdk mendapatkan bantuan tp klo di cek bansos nya ada tiap bln dan ingin hapus tanpa hra ngurus ke desa krn males</v>
      </c>
      <c r="E351" s="17" t="str">
        <f>IFERROR(__xludf.DUMMYFUNCTION("REGEXREPLACE(D351,$A$5, )"),"Apa bnpt bisa di hapus dengan aplikasi ini karna sebenarnya saya tdk mendapatkan bantuan tp klo di cek bansos nya ada tiap bln dan ingin hapus tanpa hra ngurus ke desa krn males")</f>
        <v>Apa bnpt bisa di hapus dengan aplikasi ini karna sebenarnya saya tdk mendapatkan bantuan tp klo di cek bansos nya ada tiap bln dan ingin hapus tanpa hra ngurus ke desa krn males</v>
      </c>
      <c r="F351" s="17" t="str">
        <f>IFERROR(__xludf.DUMMYFUNCTION("REGEXREPLACE(E351,$A$6, )"),"Apa bnpt bisa di hapus dengan aplikasi ini karna sebenarnya saya tdk mendapatkan bantuan tp klo di cek bansos nya ada tiap bln dan ingin hapus tanpa hra ngurus ke desa krn males")</f>
        <v>Apa bnpt bisa di hapus dengan aplikasi ini karna sebenarnya saya tdk mendapatkan bantuan tp klo di cek bansos nya ada tiap bln dan ingin hapus tanpa hra ngurus ke desa krn males</v>
      </c>
      <c r="G351" s="18" t="str">
        <f>IFERROR(__xludf.DUMMYFUNCTION("REGEXREPLACE(F351,$A$7, )"),"Apa bnpt bisa di hapus dengan aplikasi ini karna sebenarnya saya tdk mendapatkan bantuan tp klo di cek bansos nya ada tiap bln dan ingin hapus tanpa hra ngurus ke desa krn males")</f>
        <v>Apa bnpt bisa di hapus dengan aplikasi ini karna sebenarnya saya tdk mendapatkan bantuan tp klo di cek bansos nya ada tiap bln dan ingin hapus tanpa hra ngurus ke desa krn males</v>
      </c>
      <c r="H351" s="17" t="str">
        <f t="shared" si="1"/>
        <v>apa bnpt bisa di hapus dengan aplikasi ini karna sebenarnya saya tdk mendapatkan bantuan tp klo di cek bansos nya ada tiap bln dan ingin hapus tanpa hra ngurus ke desa krn males</v>
      </c>
    </row>
    <row r="352">
      <c r="A352" s="16" t="s">
        <v>347</v>
      </c>
      <c r="B352" s="17" t="str">
        <f>IFERROR(__xludf.DUMMYFUNCTION("REGEXREPLACE(A352,$A$2, )"),"Saya kasih bintang 5 supaya lebih semangat lagi untuk memperbaiki aplikasinya, tapi mohon maaf aplikasinya masih belum bisa digunakan, saya sudah beberapa kali mencoba memilih provinsi,kabupaten, kelurahan tetap tidak bisa, sedangkan data lain sudah teris"&amp;"i, katanya tidak ada koneksi padahal kuota saya masih banyak. Tolong diperbaiki lagi supaya bisa digunakan oleh orang yang membutuhkan. Semagat !")</f>
        <v>Saya kasih bintang 5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c r="C352" s="17" t="str">
        <f>IFERROR(__xludf.DUMMYFUNCTION("REGEXREPLACE(B352,$A$3, )"),"Saya kasih bintang 5 supaya lebih semangat lagi untuk memperbaiki aplikasinya, tapi mohon maaf aplikasinya masih belum bisa digunakan, saya sudah beberapa kali mencoba memilih provinsi,kabupaten, kelurahan tetap tidak bisa, sedangkan data lain sudah teris"&amp;"i, katanya tidak ada koneksi padahal kuota saya masih banyak. Tolong diperbaiki lagi supaya bisa digunakan oleh orang yang membutuhkan. Semagat !")</f>
        <v>Saya kasih bintang 5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c r="D352" s="17" t="str">
        <f>IFERROR(__xludf.DUMMYFUNCTION("REGEXREPLACE(C352,$A$4, )"),"Saya kasih bintang 5 supaya lebih semangat lagi untuk memperbaiki aplikasinya, tapi mohon maaf aplikasinya masih belum bisa digunakan, saya sudah beberapa kali mencoba memilih provinsi,kabupaten, kelurahan tetap tidak bisa, sedangkan data lain sudah teris"&amp;"i, katanya tidak ada koneksi padahal kuota saya masih banyak. Tolong diperbaiki lagi supaya bisa digunakan oleh orang yang membutuhkan. Semagat !")</f>
        <v>Saya kasih bintang 5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c r="E352" s="17" t="str">
        <f>IFERROR(__xludf.DUMMYFUNCTION("REGEXREPLACE(D352,$A$5, )"),"Saya kasih bintang  supaya lebih semangat lagi untuk memperbaiki aplikasinya, tapi mohon maaf aplikasinya masih belum bisa digunakan, saya sudah beberapa kali mencoba memilih provinsi,kabupaten, kelurahan tetap tidak bisa, sedangkan data lain sudah terisi"&amp;", katanya tidak ada koneksi padahal kuota saya masih banyak. Tolong diperbaiki lagi supaya bisa digunakan oleh orang yang membutuhkan. Semagat !")</f>
        <v>Saya kasih bintang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c r="F352" s="17" t="str">
        <f>IFERROR(__xludf.DUMMYFUNCTION("REGEXREPLACE(E352,$A$6, )"),"Saya kasih bintang  supaya lebih semangat lagi untuk memperbaiki aplikasinya tapi mohon maaf aplikasinya masih belum bisa digunakan saya sudah beberapa kali mencoba memilih provinsikabupaten kelurahan tetap tidak bisa sedangkan data lain sudah terisi kata"&amp;"nya tidak ada koneksi padahal kuota saya masih banyak Tolong diperbaiki lagi supaya bisa digunakan oleh orang yang membutuhkan Semagat ")</f>
        <v>Saya kasih bintang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c r="G352" s="18" t="str">
        <f>IFERROR(__xludf.DUMMYFUNCTION("REGEXREPLACE(F352,$A$7, )"),"Saya kasih bintang  supaya lebih semangat lagi untuk memperbaiki aplikasinya tapi mohon maaf aplikasinya masih belum bisa digunakan saya sudah beberapa kali mencoba memilih provinsikabupaten kelurahan tetap tidak bisa sedangkan data lain sudah terisi kata"&amp;"nya tidak ada koneksi padahal kuota saya masih banyak Tolong diperbaiki lagi supaya bisa digunakan oleh orang yang membutuhkan Semagat ")</f>
        <v>Saya kasih bintang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c r="H352" s="17" t="str">
        <f t="shared" si="1"/>
        <v>saya kasih bintang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row>
    <row r="353">
      <c r="A353" s="16" t="s">
        <v>348</v>
      </c>
      <c r="B353" s="17" t="str">
        <f>IFERROR(__xludf.DUMMYFUNCTION("REGEXREPLACE(A353,$A$2, )"),"Kenapa saat mendaftar usulan bansos malah tidak bisa ada keterangan error silah kan hubungi admin...")</f>
        <v>Kenapa saat mendaftar usulan bansos malah tidak bisa ada keterangan error silah kan hubungi admin...</v>
      </c>
      <c r="C353" s="17" t="str">
        <f>IFERROR(__xludf.DUMMYFUNCTION("REGEXREPLACE(B353,$A$3, )"),"Kenapa saat mendaftar usulan bansos malah tidak bisa ada keterangan error silah kan hubungi admin...")</f>
        <v>Kenapa saat mendaftar usulan bansos malah tidak bisa ada keterangan error silah kan hubungi admin...</v>
      </c>
      <c r="D353" s="17" t="str">
        <f>IFERROR(__xludf.DUMMYFUNCTION("REGEXREPLACE(C353,$A$4, )"),"Kenapa saat mendaftar usulan bansos malah tidak bisa ada keterangan error silah kan hubungi admin...")</f>
        <v>Kenapa saat mendaftar usulan bansos malah tidak bisa ada keterangan error silah kan hubungi admin...</v>
      </c>
      <c r="E353" s="17" t="str">
        <f>IFERROR(__xludf.DUMMYFUNCTION("REGEXREPLACE(D353,$A$5, )"),"Kenapa saat mendaftar usulan bansos malah tidak bisa ada keterangan error silah kan hubungi admin...")</f>
        <v>Kenapa saat mendaftar usulan bansos malah tidak bisa ada keterangan error silah kan hubungi admin...</v>
      </c>
      <c r="F353" s="17" t="str">
        <f>IFERROR(__xludf.DUMMYFUNCTION("REGEXREPLACE(E353,$A$6, )"),"Kenapa saat mendaftar usulan bansos malah tidak bisa ada keterangan error silah kan hubungi admin")</f>
        <v>Kenapa saat mendaftar usulan bansos malah tidak bisa ada keterangan error silah kan hubungi admin</v>
      </c>
      <c r="G353" s="18" t="str">
        <f>IFERROR(__xludf.DUMMYFUNCTION("REGEXREPLACE(F353,$A$7, )"),"Kenapa saat mendaftar usulan bansos malah tidak bisa ada keterangan error silah kan hubungi admin")</f>
        <v>Kenapa saat mendaftar usulan bansos malah tidak bisa ada keterangan error silah kan hubungi admin</v>
      </c>
      <c r="H353" s="17" t="str">
        <f t="shared" si="1"/>
        <v>kenapa saat mendaftar usulan bansos malah tidak bisa ada keterangan error silah kan hubungi admin</v>
      </c>
    </row>
    <row r="354">
      <c r="A354" s="16" t="s">
        <v>349</v>
      </c>
      <c r="B354" s="17" t="str">
        <f>IFERROR(__xludf.DUMMYFUNCTION("REGEXREPLACE(A354,$A$2, )"),"Selaku generasi muda yang berkecimpung di dunia teknologi digital, saya sangat miris dengan debut aplikasi dari kemensos. Mohon segera ditinjau kembali dan di maintenance secepatnya segala sesuatu yang menjadi kekurangan aplikasi ini, dan sebelum kembali "&amp;"di publish tolong untuk di Beta Test dulu agar tidak ada kekurangan yang berlanjut, terimakasih negeri ku")</f>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c r="C354" s="17" t="str">
        <f>IFERROR(__xludf.DUMMYFUNCTION("REGEXREPLACE(B354,$A$3, )"),"Selaku generasi muda yang berkecimpung di dunia teknologi digital, saya sangat miris dengan debut aplikasi dari kemensos. Mohon segera ditinjau kembali dan di maintenance secepatnya segala sesuatu yang menjadi kekurangan aplikasi ini, dan sebelum kembali "&amp;"di publish tolong untuk di Beta Test dulu agar tidak ada kekurangan yang berlanjut, terimakasih negeri ku")</f>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c r="D354" s="17" t="str">
        <f>IFERROR(__xludf.DUMMYFUNCTION("REGEXREPLACE(C354,$A$4, )"),"Selaku generasi muda yang berkecimpung di dunia teknologi digital, saya sangat miris dengan debut aplikasi dari kemensos. Mohon segera ditinjau kembali dan di maintenance secepatnya segala sesuatu yang menjadi kekurangan aplikasi ini, dan sebelum kembali "&amp;"di publish tolong untuk di Beta Test dulu agar tidak ada kekurangan yang berlanjut, terimakasih negeri ku")</f>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c r="E354" s="17" t="str">
        <f>IFERROR(__xludf.DUMMYFUNCTION("REGEXREPLACE(D354,$A$5, )"),"Selaku generasi muda yang berkecimpung di dunia teknologi digital, saya sangat miris dengan debut aplikasi dari kemensos. Mohon segera ditinjau kembali dan di maintenance secepatnya segala sesuatu yang menjadi kekurangan aplikasi ini, dan sebelum kembali "&amp;"di publish tolong untuk di Beta Test dulu agar tidak ada kekurangan yang berlanjut, terimakasih negeri ku")</f>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c r="F354" s="17" t="str">
        <f>IFERROR(__xludf.DUMMYFUNCTION("REGEXREPLACE(E354,$A$6, )"),"Selaku generasi muda yang berkecimpung di dunia teknologi digital saya sangat miris dengan debut aplikasi dari kemensos Mohon segera ditinjau kembali dan di maintenance secepatnya segala sesuatu yang menjadi kekurangan aplikasi ini dan sebelum kembali di "&amp;"publish tolong untuk di Beta Test dulu agar tidak ada kekurangan yang berlanjut terimakasih negeri ku")</f>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c r="G354" s="18" t="str">
        <f>IFERROR(__xludf.DUMMYFUNCTION("REGEXREPLACE(F354,$A$7, )"),"Selaku generasi muda yang berkecimpung di dunia teknologi digital saya sangat miris dengan debut aplikasi dari kemensos Mohon segera ditinjau kembali dan di maintenance secepatnya segala sesuatu yang menjadi kekurangan aplikasi ini dan sebelum kembali di "&amp;"publish tolong untuk di Beta Test dulu agar tidak ada kekurangan yang berlanjut terimakasih negeri ku")</f>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c r="H354" s="17" t="str">
        <f t="shared" si="1"/>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row>
    <row r="355">
      <c r="A355" s="16" t="s">
        <v>350</v>
      </c>
      <c r="B355" s="17" t="str">
        <f>IFERROR(__xludf.DUMMYFUNCTION("REGEXREPLACE(A355,$A$2, )"),"Sya kasi bintang 2. Karna saya baru tau dan baru daftar. Dan setelah saya mau daftar. Data saya semua suda lengkap besrta foto. Tiba"" klik daftar akun yang muncul tulisan erorjason parse. Kenapa bisa begitu. Apkah saya tidak bisa mendaftarkan diri")</f>
        <v>Sya kasi bintang 2. Karna saya baru tau dan baru daftar. Dan setelah saya mau daftar. Data saya semua suda lengkap besrta foto. Tiba" klik daftar akun yang muncul tulisan erorjason parse. Kenapa bisa begitu. Apkah saya tidak bisa mendaftarkan diri</v>
      </c>
      <c r="C355" s="17" t="str">
        <f>IFERROR(__xludf.DUMMYFUNCTION("REGEXREPLACE(B355,$A$3, )"),"Sya kasi bintang 2. Karna saya baru tau dan baru daftar. Dan setelah saya mau daftar. Data saya semua suda lengkap besrta foto. Tiba"" klik daftar akun yang muncul tulisan erorjason parse. Kenapa bisa begitu. Apkah saya tidak bisa mendaftarkan diri")</f>
        <v>Sya kasi bintang 2. Karna saya baru tau dan baru daftar. Dan setelah saya mau daftar. Data saya semua suda lengkap besrta foto. Tiba" klik daftar akun yang muncul tulisan erorjason parse. Kenapa bisa begitu. Apkah saya tidak bisa mendaftarkan diri</v>
      </c>
      <c r="D355" s="17" t="str">
        <f>IFERROR(__xludf.DUMMYFUNCTION("REGEXREPLACE(C355,$A$4, )"),"Sya kasi bintang 2. Karna saya baru tau dan baru daftar. Dan setelah saya mau daftar. Data saya semua suda lengkap besrta foto. Tiba"" klik daftar akun yang muncul tulisan erorjason parse. Kenapa bisa begitu. Apkah saya tidak bisa mendaftarkan diri")</f>
        <v>Sya kasi bintang 2. Karna saya baru tau dan baru daftar. Dan setelah saya mau daftar. Data saya semua suda lengkap besrta foto. Tiba" klik daftar akun yang muncul tulisan erorjason parse. Kenapa bisa begitu. Apkah saya tidak bisa mendaftarkan diri</v>
      </c>
      <c r="E355" s="17" t="str">
        <f>IFERROR(__xludf.DUMMYFUNCTION("REGEXREPLACE(D355,$A$5, )"),"Sya kasi bintang . Karna saya baru tau dan baru daftar. Dan setelah saya mau daftar. Data saya semua suda lengkap besrta foto. Tiba"" klik daftar akun yang muncul tulisan erorjason parse. Kenapa bisa begitu. Apkah saya tidak bisa mendaftarkan diri")</f>
        <v>Sya kasi bintang . Karna saya baru tau dan baru daftar. Dan setelah saya mau daftar. Data saya semua suda lengkap besrta foto. Tiba" klik daftar akun yang muncul tulisan erorjason parse. Kenapa bisa begitu. Apkah saya tidak bisa mendaftarkan diri</v>
      </c>
      <c r="F355" s="17" t="str">
        <f>IFERROR(__xludf.DUMMYFUNCTION("REGEXREPLACE(E355,$A$6, )"),"Sya kasi bintang  Karna saya baru tau dan baru daftar Dan setelah saya mau daftar Data saya semua suda lengkap besrta foto Tiba klik daftar akun yang muncul tulisan erorjason parse Kenapa bisa begitu Apkah saya tidak bisa mendaftarkan diri")</f>
        <v>Sya kasi bintang  Karna saya baru tau dan baru daftar Dan setelah saya mau daftar Data saya semua suda lengkap besrta foto Tiba klik daftar akun yang muncul tulisan erorjason parse Kenapa bisa begitu Apkah saya tidak bisa mendaftarkan diri</v>
      </c>
      <c r="G355" s="18" t="str">
        <f>IFERROR(__xludf.DUMMYFUNCTION("REGEXREPLACE(F355,$A$7, )"),"Sya kasi bintang  Karna saya baru tau dan baru daftar Dan setelah saya mau daftar Data saya semua suda lengkap besrta foto Tiba klik daftar akun yang muncul tulisan erorjason parse Kenapa bisa begitu Apkah saya tidak bisa mendaftarkan diri")</f>
        <v>Sya kasi bintang  Karna saya baru tau dan baru daftar Dan setelah saya mau daftar Data saya semua suda lengkap besrta foto Tiba klik daftar akun yang muncul tulisan erorjason parse Kenapa bisa begitu Apkah saya tidak bisa mendaftarkan diri</v>
      </c>
      <c r="H355" s="17" t="str">
        <f t="shared" si="1"/>
        <v>sya kasi bintang  karna saya baru tau dan baru daftar dan setelah saya mau daftar data saya semua suda lengkap besrta foto tiba klik daftar akun yang muncul tulisan erorjason parse kenapa bisa begitu apkah saya tidak bisa mendaftarkan diri</v>
      </c>
    </row>
    <row r="356">
      <c r="A356" s="16" t="s">
        <v>351</v>
      </c>
      <c r="B356" s="17" t="str">
        <f>IFERROR(__xludf.DUMMYFUNCTION("REGEXREPLACE(A356,$A$2, )"),"Sudah terdaftar tapi susah masuk😏")</f>
        <v>Sudah terdaftar tapi susah masuk😏</v>
      </c>
      <c r="C356" s="17" t="str">
        <f>IFERROR(__xludf.DUMMYFUNCTION("REGEXREPLACE(B356,$A$3, )"),"Sudah terdaftar tapi susah masuk😏")</f>
        <v>Sudah terdaftar tapi susah masuk😏</v>
      </c>
      <c r="D356" s="17" t="str">
        <f>IFERROR(__xludf.DUMMYFUNCTION("REGEXREPLACE(C356,$A$4, )"),"Sudah terdaftar tapi susah masuk😏")</f>
        <v>Sudah terdaftar tapi susah masuk😏</v>
      </c>
      <c r="E356" s="17" t="str">
        <f>IFERROR(__xludf.DUMMYFUNCTION("REGEXREPLACE(D356,$A$5, )"),"Sudah terdaftar tapi susah masuk😏")</f>
        <v>Sudah terdaftar tapi susah masuk😏</v>
      </c>
      <c r="F356" s="17" t="str">
        <f>IFERROR(__xludf.DUMMYFUNCTION("REGEXREPLACE(E356,$A$6, )"),"Sudah terdaftar tapi susah masuk😏")</f>
        <v>Sudah terdaftar tapi susah masuk😏</v>
      </c>
      <c r="G356" s="18" t="str">
        <f>IFERROR(__xludf.DUMMYFUNCTION("REGEXREPLACE(F356,$A$7, )"),"Sudah terdaftar tapi susah masuk")</f>
        <v>Sudah terdaftar tapi susah masuk</v>
      </c>
      <c r="H356" s="17" t="str">
        <f t="shared" si="1"/>
        <v>sudah terdaftar tapi susah masuk</v>
      </c>
    </row>
    <row r="357">
      <c r="A357" s="16" t="s">
        <v>352</v>
      </c>
      <c r="B357" s="17" t="str">
        <f>IFERROR(__xludf.DUMMYFUNCTION("REGEXREPLACE(A357,$A$2, )"),"Gak guna sayang2in budget aja bikin aplikasi seperti ini. Mimin nya aja ga ada tanggapan. Diawal kan sudah mengajukan via apk ini. Seharusnya ada deadline data pengajuan yg diproses. Terus notif di email berhak dapat atau tidak. Kan udah isi email")</f>
        <v>Gak guna sayang2in budget aja bikin aplikasi seperti ini. Mimin nya aja ga ada tanggapan. Diawal kan sudah mengajukan via apk ini. Seharusnya ada deadline data pengajuan yg diproses. Terus notif di email berhak dapat atau tidak. Kan udah isi email</v>
      </c>
      <c r="C357" s="17" t="str">
        <f>IFERROR(__xludf.DUMMYFUNCTION("REGEXREPLACE(B357,$A$3, )"),"Gak guna sayang2in budget aja bikin aplikasi seperti ini. Mimin nya aja ga ada tanggapan. Diawal kan sudah mengajukan via apk ini. Seharusnya ada deadline data pengajuan yg diproses. Terus notif di email berhak dapat atau tidak. Kan udah isi email")</f>
        <v>Gak guna sayang2in budget aja bikin aplikasi seperti ini. Mimin nya aja ga ada tanggapan. Diawal kan sudah mengajukan via apk ini. Seharusnya ada deadline data pengajuan yg diproses. Terus notif di email berhak dapat atau tidak. Kan udah isi email</v>
      </c>
      <c r="D357" s="17" t="str">
        <f>IFERROR(__xludf.DUMMYFUNCTION("REGEXREPLACE(C357,$A$4, )"),"Gak guna sayang2in budget aja bikin aplikasi seperti ini. Mimin nya aja ga ada tanggapan. Diawal kan sudah mengajukan via apk ini. Seharusnya ada deadline data pengajuan yg diproses. Terus notif di email berhak dapat atau tidak. Kan udah isi email")</f>
        <v>Gak guna sayang2in budget aja bikin aplikasi seperti ini. Mimin nya aja ga ada tanggapan. Diawal kan sudah mengajukan via apk ini. Seharusnya ada deadline data pengajuan yg diproses. Terus notif di email berhak dapat atau tidak. Kan udah isi email</v>
      </c>
      <c r="E357" s="17" t="str">
        <f>IFERROR(__xludf.DUMMYFUNCTION("REGEXREPLACE(D357,$A$5, )"),"Gak guna sayangin budget aja bikin aplikasi seperti ini. Mimin nya aja ga ada tanggapan. Diawal kan sudah mengajukan via apk ini. Seharusnya ada deadline data pengajuan yg diproses. Terus notif di email berhak dapat atau tidak. Kan udah isi email")</f>
        <v>Gak guna sayangin budget aja bikin aplikasi seperti ini. Mimin nya aja ga ada tanggapan. Diawal kan sudah mengajukan via apk ini. Seharusnya ada deadline data pengajuan yg diproses. Terus notif di email berhak dapat atau tidak. Kan udah isi email</v>
      </c>
      <c r="F357" s="17" t="str">
        <f>IFERROR(__xludf.DUMMYFUNCTION("REGEXREPLACE(E357,$A$6, )"),"Gak guna sayangin budget aja bikin aplikasi seperti ini Mimin nya aja ga ada tanggapan Diawal kan sudah mengajukan via apk ini Seharusnya ada deadline data pengajuan yg diproses Terus notif di email berhak dapat atau tidak Kan udah isi email")</f>
        <v>Gak guna sayangin budget aja bikin aplikasi seperti ini Mimin nya aja ga ada tanggapan Diawal kan sudah mengajukan via apk ini Seharusnya ada deadline data pengajuan yg diproses Terus notif di email berhak dapat atau tidak Kan udah isi email</v>
      </c>
      <c r="G357" s="18" t="str">
        <f>IFERROR(__xludf.DUMMYFUNCTION("REGEXREPLACE(F357,$A$7, )"),"Gak guna sayangin budget aja bikin aplikasi seperti ini Mimin nya aja ga ada tanggapan Diawal kan sudah mengajukan via apk ini Seharusnya ada deadline data pengajuan yg diproses Terus notif di email berhak dapat atau tidak Kan udah isi email")</f>
        <v>Gak guna sayangin budget aja bikin aplikasi seperti ini Mimin nya aja ga ada tanggapan Diawal kan sudah mengajukan via apk ini Seharusnya ada deadline data pengajuan yg diproses Terus notif di email berhak dapat atau tidak Kan udah isi email</v>
      </c>
      <c r="H357" s="17" t="str">
        <f t="shared" si="1"/>
        <v>gak guna sayangin budget aja bikin aplikasi seperti ini mimin nya aja ga ada tanggapan diawal kan sudah mengajukan via apk ini seharusnya ada deadline data pengajuan yg diproses terus notif di email berhak dapat atau tidak kan udah isi email</v>
      </c>
    </row>
    <row r="358">
      <c r="A358" s="16" t="s">
        <v>353</v>
      </c>
      <c r="B358" s="17" t="str">
        <f>IFERROR(__xludf.DUMMYFUNCTION("REGEXREPLACE(A358,$A$2, )"),"Aplikasi error. Hubungi admin. Tolong dibantu")</f>
        <v>Aplikasi error. Hubungi admin. Tolong dibantu</v>
      </c>
      <c r="C358" s="17" t="str">
        <f>IFERROR(__xludf.DUMMYFUNCTION("REGEXREPLACE(B358,$A$3, )"),"Aplikasi error. Hubungi admin. Tolong dibantu")</f>
        <v>Aplikasi error. Hubungi admin. Tolong dibantu</v>
      </c>
      <c r="D358" s="17" t="str">
        <f>IFERROR(__xludf.DUMMYFUNCTION("REGEXREPLACE(C358,$A$4, )"),"Aplikasi error. Hubungi admin. Tolong dibantu")</f>
        <v>Aplikasi error. Hubungi admin. Tolong dibantu</v>
      </c>
      <c r="E358" s="17" t="str">
        <f>IFERROR(__xludf.DUMMYFUNCTION("REGEXREPLACE(D358,$A$5, )"),"Aplikasi error. Hubungi admin. Tolong dibantu")</f>
        <v>Aplikasi error. Hubungi admin. Tolong dibantu</v>
      </c>
      <c r="F358" s="17" t="str">
        <f>IFERROR(__xludf.DUMMYFUNCTION("REGEXREPLACE(E358,$A$6, )"),"Aplikasi error Hubungi admin Tolong dibantu")</f>
        <v>Aplikasi error Hubungi admin Tolong dibantu</v>
      </c>
      <c r="G358" s="18" t="str">
        <f>IFERROR(__xludf.DUMMYFUNCTION("REGEXREPLACE(F358,$A$7, )"),"Aplikasi error Hubungi admin Tolong dibantu")</f>
        <v>Aplikasi error Hubungi admin Tolong dibantu</v>
      </c>
      <c r="H358" s="17" t="str">
        <f t="shared" si="1"/>
        <v>aplikasi error hubungi admin tolong dibantu</v>
      </c>
    </row>
    <row r="359">
      <c r="A359" s="16" t="s">
        <v>354</v>
      </c>
      <c r="B359" s="17" t="str">
        <f>IFERROR(__xludf.DUMMYFUNCTION("REGEXREPLACE(A359,$A$2, )"),"kenapa keterangan saya sudah terdaftar tapi ga bisa login")</f>
        <v>kenapa keterangan saya sudah terdaftar tapi ga bisa login</v>
      </c>
      <c r="C359" s="17" t="str">
        <f>IFERROR(__xludf.DUMMYFUNCTION("REGEXREPLACE(B359,$A$3, )"),"kenapa keterangan saya sudah terdaftar tapi ga bisa login")</f>
        <v>kenapa keterangan saya sudah terdaftar tapi ga bisa login</v>
      </c>
      <c r="D359" s="17" t="str">
        <f>IFERROR(__xludf.DUMMYFUNCTION("REGEXREPLACE(C359,$A$4, )"),"kenapa keterangan saya sudah terdaftar tapi ga bisa login")</f>
        <v>kenapa keterangan saya sudah terdaftar tapi ga bisa login</v>
      </c>
      <c r="E359" s="17" t="str">
        <f>IFERROR(__xludf.DUMMYFUNCTION("REGEXREPLACE(D359,$A$5, )"),"kenapa keterangan saya sudah terdaftar tapi ga bisa login")</f>
        <v>kenapa keterangan saya sudah terdaftar tapi ga bisa login</v>
      </c>
      <c r="F359" s="17" t="str">
        <f>IFERROR(__xludf.DUMMYFUNCTION("REGEXREPLACE(E359,$A$6, )"),"kenapa keterangan saya sudah terdaftar tapi ga bisa login")</f>
        <v>kenapa keterangan saya sudah terdaftar tapi ga bisa login</v>
      </c>
      <c r="G359" s="18" t="str">
        <f>IFERROR(__xludf.DUMMYFUNCTION("REGEXREPLACE(F359,$A$7, )"),"kenapa keterangan saya sudah terdaftar tapi ga bisa login")</f>
        <v>kenapa keterangan saya sudah terdaftar tapi ga bisa login</v>
      </c>
      <c r="H359" s="17" t="str">
        <f t="shared" si="1"/>
        <v>kenapa keterangan saya sudah terdaftar tapi ga bisa login</v>
      </c>
    </row>
    <row r="360">
      <c r="A360" s="16" t="s">
        <v>355</v>
      </c>
      <c r="B360" s="17" t="str">
        <f>IFERROR(__xludf.DUMMYFUNCTION("REGEXREPLACE(A360,$A$2, )"),"Sudah daftar tapi tidak ada lanjutan. Padahal mengisi nya sesuai data dgn benar. Pas dibuka username dan sandi tidak di temukan/ belum dilakukan antivasi.mohon solusi nya, klu begini tidak membantu justru mempersulit org yg tidak mampu")</f>
        <v>Sudah daftar tapi tidak ada lanjutan. Padahal mengisi nya sesuai data dgn benar. Pas dibuka username dan sandi tidak di temukan/ belum dilakukan antivasi.mohon solusi nya, klu begini tidak membantu justru mempersulit org yg tidak mampu</v>
      </c>
      <c r="C360" s="17" t="str">
        <f>IFERROR(__xludf.DUMMYFUNCTION("REGEXREPLACE(B360,$A$3, )"),"Sudah daftar tapi tidak ada lanjutan. Padahal mengisi nya sesuai data dgn benar. Pas dibuka username dan sandi tidak di temukan/ belum dilakukan antivasi.mohon solusi nya, klu begini tidak membantu justru mempersulit org yg tidak mampu")</f>
        <v>Sudah daftar tapi tidak ada lanjutan. Padahal mengisi nya sesuai data dgn benar. Pas dibuka username dan sandi tidak di temukan/ belum dilakukan antivasi.mohon solusi nya, klu begini tidak membantu justru mempersulit org yg tidak mampu</v>
      </c>
      <c r="D360" s="17" t="str">
        <f>IFERROR(__xludf.DUMMYFUNCTION("REGEXREPLACE(C360,$A$4, )"),"Sudah daftar tapi tidak ada lanjutan. Padahal mengisi nya sesuai data dgn benar. Pas dibuka username dan sandi tidak di temukan/ belum dilakukan antivasi.mohon solusi nya, klu begini tidak membantu justru mempersulit org yg tidak mampu")</f>
        <v>Sudah daftar tapi tidak ada lanjutan. Padahal mengisi nya sesuai data dgn benar. Pas dibuka username dan sandi tidak di temukan/ belum dilakukan antivasi.mohon solusi nya, klu begini tidak membantu justru mempersulit org yg tidak mampu</v>
      </c>
      <c r="E360" s="17" t="str">
        <f>IFERROR(__xludf.DUMMYFUNCTION("REGEXREPLACE(D360,$A$5, )"),"Sudah daftar tapi tidak ada lanjutan. Padahal mengisi nya sesuai data dgn benar. Pas dibuka username dan sandi tidak di temukan/ belum dilakukan antivasi.mohon solusi nya, klu begini tidak membantu justru mempersulit org yg tidak mampu")</f>
        <v>Sudah daftar tapi tidak ada lanjutan. Padahal mengisi nya sesuai data dgn benar. Pas dibuka username dan sandi tidak di temukan/ belum dilakukan antivasi.mohon solusi nya, klu begini tidak membantu justru mempersulit org yg tidak mampu</v>
      </c>
      <c r="F360" s="17" t="str">
        <f>IFERROR(__xludf.DUMMYFUNCTION("REGEXREPLACE(E360,$A$6, )"),"Sudah daftar tapi tidak ada lanjutan Padahal mengisi nya sesuai data dgn benar Pas dibuka username dan sandi tidak di temukan belum dilakukan antivasimohon solusi nya klu begini tidak membantu justru mempersulit org yg tidak mampu")</f>
        <v>Sudah daftar tapi tidak ada lanjutan Padahal mengisi nya sesuai data dgn benar Pas dibuka username dan sandi tidak di temukan belum dilakukan antivasimohon solusi nya klu begini tidak membantu justru mempersulit org yg tidak mampu</v>
      </c>
      <c r="G360" s="18" t="str">
        <f>IFERROR(__xludf.DUMMYFUNCTION("REGEXREPLACE(F360,$A$7, )"),"Sudah daftar tapi tidak ada lanjutan Padahal mengisi nya sesuai data dgn benar Pas dibuka username dan sandi tidak di temukan belum dilakukan antivasimohon solusi nya klu begini tidak membantu justru mempersulit org yg tidak mampu")</f>
        <v>Sudah daftar tapi tidak ada lanjutan Padahal mengisi nya sesuai data dgn benar Pas dibuka username dan sandi tidak di temukan belum dilakukan antivasimohon solusi nya klu begini tidak membantu justru mempersulit org yg tidak mampu</v>
      </c>
      <c r="H360" s="17" t="str">
        <f t="shared" si="1"/>
        <v>sudah daftar tapi tidak ada lanjutan padahal mengisi nya sesuai data dgn benar pas dibuka username dan sandi tidak di temukan belum dilakukan antivasimohon solusi nya klu begini tidak membantu justru mempersulit org yg tidak mampu</v>
      </c>
    </row>
    <row r="361">
      <c r="A361" s="16" t="s">
        <v>356</v>
      </c>
      <c r="B361" s="17" t="str">
        <f>IFERROR(__xludf.DUMMYFUNCTION("REGEXREPLACE(A361,$A$2, )"),"Gak bisa daftar , apk error terus")</f>
        <v>Gak bisa daftar , apk error terus</v>
      </c>
      <c r="C361" s="17" t="str">
        <f>IFERROR(__xludf.DUMMYFUNCTION("REGEXREPLACE(B361,$A$3, )"),"Gak bisa daftar , apk error terus")</f>
        <v>Gak bisa daftar , apk error terus</v>
      </c>
      <c r="D361" s="17" t="str">
        <f>IFERROR(__xludf.DUMMYFUNCTION("REGEXREPLACE(C361,$A$4, )"),"Gak bisa daftar , apk error terus")</f>
        <v>Gak bisa daftar , apk error terus</v>
      </c>
      <c r="E361" s="17" t="str">
        <f>IFERROR(__xludf.DUMMYFUNCTION("REGEXREPLACE(D361,$A$5, )"),"Gak bisa daftar , apk error terus")</f>
        <v>Gak bisa daftar , apk error terus</v>
      </c>
      <c r="F361" s="17" t="str">
        <f>IFERROR(__xludf.DUMMYFUNCTION("REGEXREPLACE(E361,$A$6, )"),"Gak bisa daftar  apk error terus")</f>
        <v>Gak bisa daftar  apk error terus</v>
      </c>
      <c r="G361" s="18" t="str">
        <f>IFERROR(__xludf.DUMMYFUNCTION("REGEXREPLACE(F361,$A$7, )"),"Gak bisa daftar  apk error terus")</f>
        <v>Gak bisa daftar  apk error terus</v>
      </c>
      <c r="H361" s="17" t="str">
        <f t="shared" si="1"/>
        <v>gak bisa daftar  apk error terus</v>
      </c>
    </row>
    <row r="362">
      <c r="A362" s="16" t="s">
        <v>357</v>
      </c>
      <c r="B362" s="17" t="str">
        <f>IFERROR(__xludf.DUMMYFUNCTION("REGEXREPLACE(A362,$A$2, )"),"Tidak bisa koneksi ke jaringan")</f>
        <v>Tidak bisa koneksi ke jaringan</v>
      </c>
      <c r="C362" s="17" t="str">
        <f>IFERROR(__xludf.DUMMYFUNCTION("REGEXREPLACE(B362,$A$3, )"),"Tidak bisa koneksi ke jaringan")</f>
        <v>Tidak bisa koneksi ke jaringan</v>
      </c>
      <c r="D362" s="17" t="str">
        <f>IFERROR(__xludf.DUMMYFUNCTION("REGEXREPLACE(C362,$A$4, )"),"Tidak bisa koneksi ke jaringan")</f>
        <v>Tidak bisa koneksi ke jaringan</v>
      </c>
      <c r="E362" s="17" t="str">
        <f>IFERROR(__xludf.DUMMYFUNCTION("REGEXREPLACE(D362,$A$5, )"),"Tidak bisa koneksi ke jaringan")</f>
        <v>Tidak bisa koneksi ke jaringan</v>
      </c>
      <c r="F362" s="17" t="str">
        <f>IFERROR(__xludf.DUMMYFUNCTION("REGEXREPLACE(E362,$A$6, )"),"Tidak bisa koneksi ke jaringan")</f>
        <v>Tidak bisa koneksi ke jaringan</v>
      </c>
      <c r="G362" s="18" t="str">
        <f>IFERROR(__xludf.DUMMYFUNCTION("REGEXREPLACE(F362,$A$7, )"),"Tidak bisa koneksi ke jaringan")</f>
        <v>Tidak bisa koneksi ke jaringan</v>
      </c>
      <c r="H362" s="17" t="str">
        <f t="shared" si="1"/>
        <v>tidak bisa koneksi ke jaringan</v>
      </c>
    </row>
    <row r="363">
      <c r="A363" s="16" t="s">
        <v>358</v>
      </c>
      <c r="B363" s="17" t="str">
        <f>IFERROR(__xludf.DUMMYFUNCTION("REGEXREPLACE(A363,$A$2, )"),"Tolng di perbaiki aplikasinya admin.mau +usulan eror terus aplikasinya")</f>
        <v>Tolng di perbaiki aplikasinya admin.mau +usulan eror terus aplikasinya</v>
      </c>
      <c r="C363" s="17" t="str">
        <f>IFERROR(__xludf.DUMMYFUNCTION("REGEXREPLACE(B363,$A$3, )"),"Tolng di perbaiki aplikasinya admin.mau +usulan eror terus aplikasinya")</f>
        <v>Tolng di perbaiki aplikasinya admin.mau +usulan eror terus aplikasinya</v>
      </c>
      <c r="D363" s="17" t="str">
        <f>IFERROR(__xludf.DUMMYFUNCTION("REGEXREPLACE(C363,$A$4, )"),"Tolng di perbaiki aplikasinya admin.mau +usulan eror terus aplikasinya")</f>
        <v>Tolng di perbaiki aplikasinya admin.mau +usulan eror terus aplikasinya</v>
      </c>
      <c r="E363" s="17" t="str">
        <f>IFERROR(__xludf.DUMMYFUNCTION("REGEXREPLACE(D363,$A$5, )"),"Tolng di perbaiki aplikasinya admin.mau +usulan eror terus aplikasinya")</f>
        <v>Tolng di perbaiki aplikasinya admin.mau +usulan eror terus aplikasinya</v>
      </c>
      <c r="F363" s="17" t="str">
        <f>IFERROR(__xludf.DUMMYFUNCTION("REGEXREPLACE(E363,$A$6, )"),"Tolng di perbaiki aplikasinya adminmau usulan eror terus aplikasinya")</f>
        <v>Tolng di perbaiki aplikasinya adminmau usulan eror terus aplikasinya</v>
      </c>
      <c r="G363" s="18" t="str">
        <f>IFERROR(__xludf.DUMMYFUNCTION("REGEXREPLACE(F363,$A$7, )"),"Tolng di perbaiki aplikasinya adminmau usulan eror terus aplikasinya")</f>
        <v>Tolng di perbaiki aplikasinya adminmau usulan eror terus aplikasinya</v>
      </c>
      <c r="H363" s="17" t="str">
        <f t="shared" si="1"/>
        <v>tolng di perbaiki aplikasinya adminmau usulan eror terus aplikasinya</v>
      </c>
    </row>
    <row r="364">
      <c r="A364" s="16" t="s">
        <v>359</v>
      </c>
      <c r="B364" s="17" t="str">
        <f>IFERROR(__xludf.DUMMYFUNCTION("REGEXREPLACE(A364,$A$2, )"),"Mending di apus saja lbh bagus,gak ada guna sama sekali eror dan eror trs,apl cm buat formalitas")</f>
        <v>Mending di apus saja lbh bagus,gak ada guna sama sekali eror dan eror trs,apl cm buat formalitas</v>
      </c>
      <c r="C364" s="17" t="str">
        <f>IFERROR(__xludf.DUMMYFUNCTION("REGEXREPLACE(B364,$A$3, )"),"Mending di apus saja lbh bagus,gak ada guna sama sekali eror dan eror trs,apl cm buat formalitas")</f>
        <v>Mending di apus saja lbh bagus,gak ada guna sama sekali eror dan eror trs,apl cm buat formalitas</v>
      </c>
      <c r="D364" s="17" t="str">
        <f>IFERROR(__xludf.DUMMYFUNCTION("REGEXREPLACE(C364,$A$4, )"),"Mending di apus saja lbh bagus,gak ada guna sama sekali eror dan eror trs,apl cm buat formalitas")</f>
        <v>Mending di apus saja lbh bagus,gak ada guna sama sekali eror dan eror trs,apl cm buat formalitas</v>
      </c>
      <c r="E364" s="17" t="str">
        <f>IFERROR(__xludf.DUMMYFUNCTION("REGEXREPLACE(D364,$A$5, )"),"Mending di apus saja lbh bagus,gak ada guna sama sekali eror dan eror trs,apl cm buat formalitas")</f>
        <v>Mending di apus saja lbh bagus,gak ada guna sama sekali eror dan eror trs,apl cm buat formalitas</v>
      </c>
      <c r="F364" s="17" t="str">
        <f>IFERROR(__xludf.DUMMYFUNCTION("REGEXREPLACE(E364,$A$6, )"),"Mending di apus saja lbh bagusgak ada guna sama sekali eror dan eror trsapl cm buat formalitas")</f>
        <v>Mending di apus saja lbh bagusgak ada guna sama sekali eror dan eror trsapl cm buat formalitas</v>
      </c>
      <c r="G364" s="18" t="str">
        <f>IFERROR(__xludf.DUMMYFUNCTION("REGEXREPLACE(F364,$A$7, )"),"Mending di apus saja lbh bagusgak ada guna sama sekali eror dan eror trsapl cm buat formalitas")</f>
        <v>Mending di apus saja lbh bagusgak ada guna sama sekali eror dan eror trsapl cm buat formalitas</v>
      </c>
      <c r="H364" s="17" t="str">
        <f t="shared" si="1"/>
        <v>mending di apus saja lbh bagusgak ada guna sama sekali eror dan eror trsapl cm buat formalitas</v>
      </c>
    </row>
    <row r="365">
      <c r="A365" s="16" t="s">
        <v>360</v>
      </c>
      <c r="B365" s="17" t="str">
        <f>IFERROR(__xludf.DUMMYFUNCTION("REGEXREPLACE(A365,$A$2, )"),"Awas Aplikasi Berbahaya soal nya harus memasukan ktp segala dan selfi ktp juga hati hati aja kita jangan terkecoh sama apk yg harus memasukan data pribadi seperti foto ktp")</f>
        <v>Awas Aplikasi Berbahaya soal nya harus memasukan ktp segala dan selfi ktp juga hati hati aja kita jangan terkecoh sama apk yg harus memasukan data pribadi seperti foto ktp</v>
      </c>
      <c r="C365" s="17" t="str">
        <f>IFERROR(__xludf.DUMMYFUNCTION("REGEXREPLACE(B365,$A$3, )"),"Awas Aplikasi Berbahaya soal nya harus memasukan ktp segala dan selfi ktp juga hati hati aja kita jangan terkecoh sama apk yg harus memasukan data pribadi seperti foto ktp")</f>
        <v>Awas Aplikasi Berbahaya soal nya harus memasukan ktp segala dan selfi ktp juga hati hati aja kita jangan terkecoh sama apk yg harus memasukan data pribadi seperti foto ktp</v>
      </c>
      <c r="D365" s="17" t="str">
        <f>IFERROR(__xludf.DUMMYFUNCTION("REGEXREPLACE(C365,$A$4, )"),"Awas Aplikasi Berbahaya soal nya harus memasukan ktp segala dan selfi ktp juga hati hati aja kita jangan terkecoh sama apk yg harus memasukan data pribadi seperti foto ktp")</f>
        <v>Awas Aplikasi Berbahaya soal nya harus memasukan ktp segala dan selfi ktp juga hati hati aja kita jangan terkecoh sama apk yg harus memasukan data pribadi seperti foto ktp</v>
      </c>
      <c r="E365" s="17" t="str">
        <f>IFERROR(__xludf.DUMMYFUNCTION("REGEXREPLACE(D365,$A$5, )"),"Awas Aplikasi Berbahaya soal nya harus memasukan ktp segala dan selfi ktp juga hati hati aja kita jangan terkecoh sama apk yg harus memasukan data pribadi seperti foto ktp")</f>
        <v>Awas Aplikasi Berbahaya soal nya harus memasukan ktp segala dan selfi ktp juga hati hati aja kita jangan terkecoh sama apk yg harus memasukan data pribadi seperti foto ktp</v>
      </c>
      <c r="F365" s="17" t="str">
        <f>IFERROR(__xludf.DUMMYFUNCTION("REGEXREPLACE(E365,$A$6, )"),"Awas Aplikasi Berbahaya soal nya harus memasukan ktp segala dan selfi ktp juga hati hati aja kita jangan terkecoh sama apk yg harus memasukan data pribadi seperti foto ktp")</f>
        <v>Awas Aplikasi Berbahaya soal nya harus memasukan ktp segala dan selfi ktp juga hati hati aja kita jangan terkecoh sama apk yg harus memasukan data pribadi seperti foto ktp</v>
      </c>
      <c r="G365" s="18" t="str">
        <f>IFERROR(__xludf.DUMMYFUNCTION("REGEXREPLACE(F365,$A$7, )"),"Awas Aplikasi Berbahaya soal nya harus memasukan ktp segala dan selfi ktp juga hati hati aja kita jangan terkecoh sama apk yg harus memasukan data pribadi seperti foto ktp")</f>
        <v>Awas Aplikasi Berbahaya soal nya harus memasukan ktp segala dan selfi ktp juga hati hati aja kita jangan terkecoh sama apk yg harus memasukan data pribadi seperti foto ktp</v>
      </c>
      <c r="H365" s="17" t="str">
        <f t="shared" si="1"/>
        <v>awas aplikasi berbahaya soal nya harus memasukan ktp segala dan selfi ktp juga hati hati aja kita jangan terkecoh sama apk yg harus memasukan data pribadi seperti foto ktp</v>
      </c>
    </row>
    <row r="366">
      <c r="A366" s="16" t="s">
        <v>361</v>
      </c>
      <c r="B366" s="17" t="str">
        <f>IFERROR(__xludf.DUMMYFUNCTION("REGEXREPLACE(A366,$A$2, )"),"Aplikasi pemerintah katanya tapi ga bisa di akses. Ga guna")</f>
        <v>Aplikasi pemerintah katanya tapi ga bisa di akses. Ga guna</v>
      </c>
      <c r="C366" s="17" t="str">
        <f>IFERROR(__xludf.DUMMYFUNCTION("REGEXREPLACE(B366,$A$3, )"),"Aplikasi pemerintah katanya tapi ga bisa di akses. Ga guna")</f>
        <v>Aplikasi pemerintah katanya tapi ga bisa di akses. Ga guna</v>
      </c>
      <c r="D366" s="17" t="str">
        <f>IFERROR(__xludf.DUMMYFUNCTION("REGEXREPLACE(C366,$A$4, )"),"Aplikasi pemerintah katanya tapi ga bisa di akses. Ga guna")</f>
        <v>Aplikasi pemerintah katanya tapi ga bisa di akses. Ga guna</v>
      </c>
      <c r="E366" s="17" t="str">
        <f>IFERROR(__xludf.DUMMYFUNCTION("REGEXREPLACE(D366,$A$5, )"),"Aplikasi pemerintah katanya tapi ga bisa di akses. Ga guna")</f>
        <v>Aplikasi pemerintah katanya tapi ga bisa di akses. Ga guna</v>
      </c>
      <c r="F366" s="17" t="str">
        <f>IFERROR(__xludf.DUMMYFUNCTION("REGEXREPLACE(E366,$A$6, )"),"Aplikasi pemerintah katanya tapi ga bisa di akses Ga guna")</f>
        <v>Aplikasi pemerintah katanya tapi ga bisa di akses Ga guna</v>
      </c>
      <c r="G366" s="18" t="str">
        <f>IFERROR(__xludf.DUMMYFUNCTION("REGEXREPLACE(F366,$A$7, )"),"Aplikasi pemerintah katanya tapi ga bisa di akses Ga guna")</f>
        <v>Aplikasi pemerintah katanya tapi ga bisa di akses Ga guna</v>
      </c>
      <c r="H366" s="17" t="str">
        <f t="shared" si="1"/>
        <v>aplikasi pemerintah katanya tapi ga bisa di akses ga guna</v>
      </c>
    </row>
    <row r="367">
      <c r="A367" s="16" t="s">
        <v>362</v>
      </c>
      <c r="B367" s="17" t="str">
        <f>IFERROR(__xludf.DUMMYFUNCTION("REGEXREPLACE(A367,$A$2, )"),"Mau bikin akun aja susahnha ampun ampun... lari kesini mo liat ulasan.. gak ad yg bagus ulasannya emang..duh parah sihhhhhhhhh")</f>
        <v>Mau bikin akun aja susahnha ampun ampun... lari kesini mo liat ulasan.. gak ad yg bagus ulasannya emang..duh parah sihhhhhhhhh</v>
      </c>
      <c r="C367" s="17" t="str">
        <f>IFERROR(__xludf.DUMMYFUNCTION("REGEXREPLACE(B367,$A$3, )"),"Mau bikin akun aja susahnha ampun ampun... lari kesini mo liat ulasan.. gak ad yg bagus ulasannya emang..duh parah sihhhhhhhhh")</f>
        <v>Mau bikin akun aja susahnha ampun ampun... lari kesini mo liat ulasan.. gak ad yg bagus ulasannya emang..duh parah sihhhhhhhhh</v>
      </c>
      <c r="D367" s="17" t="str">
        <f>IFERROR(__xludf.DUMMYFUNCTION("REGEXREPLACE(C367,$A$4, )"),"Mau bikin akun aja susahnha ampun ampun... lari kesini mo liat ulasan.. gak ad yg bagus ulasannya emang..duh parah sihhhhhhhhh")</f>
        <v>Mau bikin akun aja susahnha ampun ampun... lari kesini mo liat ulasan.. gak ad yg bagus ulasannya emang..duh parah sihhhhhhhhh</v>
      </c>
      <c r="E367" s="17" t="str">
        <f>IFERROR(__xludf.DUMMYFUNCTION("REGEXREPLACE(D367,$A$5, )"),"Mau bikin akun aja susahnha ampun ampun... lari kesini mo liat ulasan.. gak ad yg bagus ulasannya emang..duh parah sihhhhhhhhh")</f>
        <v>Mau bikin akun aja susahnha ampun ampun... lari kesini mo liat ulasan.. gak ad yg bagus ulasannya emang..duh parah sihhhhhhhhh</v>
      </c>
      <c r="F367" s="17" t="str">
        <f>IFERROR(__xludf.DUMMYFUNCTION("REGEXREPLACE(E367,$A$6, )"),"Mau bikin akun aja susahnha ampun ampun lari kesini mo liat ulasan gak ad yg bagus ulasannya emangduh parah sihhhhhhhhh")</f>
        <v>Mau bikin akun aja susahnha ampun ampun lari kesini mo liat ulasan gak ad yg bagus ulasannya emangduh parah sihhhhhhhhh</v>
      </c>
      <c r="G367" s="18" t="str">
        <f>IFERROR(__xludf.DUMMYFUNCTION("REGEXREPLACE(F367,$A$7, )"),"Mau bikin akun aja susahnha ampun ampun lari kesini mo liat ulasan gak ad yg bagus ulasannya emangduh parah sihhhhhhhhh")</f>
        <v>Mau bikin akun aja susahnha ampun ampun lari kesini mo liat ulasan gak ad yg bagus ulasannya emangduh parah sihhhhhhhhh</v>
      </c>
      <c r="H367" s="17" t="str">
        <f t="shared" si="1"/>
        <v>mau bikin akun aja susahnha ampun ampun lari kesini mo liat ulasan gak ad yg bagus ulasannya emangduh parah sihhhhhhhhh</v>
      </c>
    </row>
    <row r="368">
      <c r="A368" s="16" t="s">
        <v>363</v>
      </c>
      <c r="B368" s="17" t="str">
        <f>IFERROR(__xludf.DUMMYFUNCTION("REGEXREPLACE(A368,$A$2, )"),"Data semua lenglap tapi ga bisa dibuka")</f>
        <v>Data semua lenglap tapi ga bisa dibuka</v>
      </c>
      <c r="C368" s="17" t="str">
        <f>IFERROR(__xludf.DUMMYFUNCTION("REGEXREPLACE(B368,$A$3, )"),"Data semua lenglap tapi ga bisa dibuka")</f>
        <v>Data semua lenglap tapi ga bisa dibuka</v>
      </c>
      <c r="D368" s="17" t="str">
        <f>IFERROR(__xludf.DUMMYFUNCTION("REGEXREPLACE(C368,$A$4, )"),"Data semua lenglap tapi ga bisa dibuka")</f>
        <v>Data semua lenglap tapi ga bisa dibuka</v>
      </c>
      <c r="E368" s="17" t="str">
        <f>IFERROR(__xludf.DUMMYFUNCTION("REGEXREPLACE(D368,$A$5, )"),"Data semua lenglap tapi ga bisa dibuka")</f>
        <v>Data semua lenglap tapi ga bisa dibuka</v>
      </c>
      <c r="F368" s="17" t="str">
        <f>IFERROR(__xludf.DUMMYFUNCTION("REGEXREPLACE(E368,$A$6, )"),"Data semua lenglap tapi ga bisa dibuka")</f>
        <v>Data semua lenglap tapi ga bisa dibuka</v>
      </c>
      <c r="G368" s="18" t="str">
        <f>IFERROR(__xludf.DUMMYFUNCTION("REGEXREPLACE(F368,$A$7, )"),"Data semua lenglap tapi ga bisa dibuka")</f>
        <v>Data semua lenglap tapi ga bisa dibuka</v>
      </c>
      <c r="H368" s="17" t="str">
        <f t="shared" si="1"/>
        <v>data semua lenglap tapi ga bisa dibuka</v>
      </c>
    </row>
    <row r="369">
      <c r="A369" s="16" t="s">
        <v>364</v>
      </c>
      <c r="B369" s="17" t="str">
        <f>IFERROR(__xludf.DUMMYFUNCTION("REGEXREPLACE(A369,$A$2, )"),"Error json... Mau usul tetangga ne bukan untuk ku... Yang bisa daftar ada kh ne aplikasi belum oke...")</f>
        <v>Error json... Mau usul tetangga ne bukan untuk ku... Yang bisa daftar ada kh ne aplikasi belum oke...</v>
      </c>
      <c r="C369" s="17" t="str">
        <f>IFERROR(__xludf.DUMMYFUNCTION("REGEXREPLACE(B369,$A$3, )"),"Error json... Mau usul tetangga ne bukan untuk ku... Yang bisa daftar ada kh ne aplikasi belum oke...")</f>
        <v>Error json... Mau usul tetangga ne bukan untuk ku... Yang bisa daftar ada kh ne aplikasi belum oke...</v>
      </c>
      <c r="D369" s="17" t="str">
        <f>IFERROR(__xludf.DUMMYFUNCTION("REGEXREPLACE(C369,$A$4, )"),"Error json... Mau usul tetangga ne bukan untuk ku... Yang bisa daftar ada kh ne aplikasi belum oke...")</f>
        <v>Error json... Mau usul tetangga ne bukan untuk ku... Yang bisa daftar ada kh ne aplikasi belum oke...</v>
      </c>
      <c r="E369" s="17" t="str">
        <f>IFERROR(__xludf.DUMMYFUNCTION("REGEXREPLACE(D369,$A$5, )"),"Error json... Mau usul tetangga ne bukan untuk ku... Yang bisa daftar ada kh ne aplikasi belum oke...")</f>
        <v>Error json... Mau usul tetangga ne bukan untuk ku... Yang bisa daftar ada kh ne aplikasi belum oke...</v>
      </c>
      <c r="F369" s="17" t="str">
        <f>IFERROR(__xludf.DUMMYFUNCTION("REGEXREPLACE(E369,$A$6, )"),"Error json Mau usul tetangga ne bukan untuk ku Yang bisa daftar ada kh ne aplikasi belum oke")</f>
        <v>Error json Mau usul tetangga ne bukan untuk ku Yang bisa daftar ada kh ne aplikasi belum oke</v>
      </c>
      <c r="G369" s="18" t="str">
        <f>IFERROR(__xludf.DUMMYFUNCTION("REGEXREPLACE(F369,$A$7, )"),"Error json Mau usul tetangga ne bukan untuk ku Yang bisa daftar ada kh ne aplikasi belum oke")</f>
        <v>Error json Mau usul tetangga ne bukan untuk ku Yang bisa daftar ada kh ne aplikasi belum oke</v>
      </c>
      <c r="H369" s="17" t="str">
        <f t="shared" si="1"/>
        <v>error json mau usul tetangga ne bukan untuk ku yang bisa daftar ada kh ne aplikasi belum oke</v>
      </c>
    </row>
    <row r="370">
      <c r="A370" s="16" t="s">
        <v>365</v>
      </c>
      <c r="B370" s="17" t="str">
        <f>IFERROR(__xludf.DUMMYFUNCTION("REGEXREPLACE(A370,$A$2, )"),"Intinya kalian jangan berharap lebih pada aplikasi ini,,,,yang belum download mending gk usah download... Aplikasi parah,,abal"" servernya,,, dikit"" eror lah ini lah, kalau ada bintang 0 , aq kasih 0 POKOKNYA PARAH BANGET. OTW UNINSTAL !!!!!!!")</f>
        <v>Intinya kalian jangan berharap lebih pada aplikasi ini,,,,yang belum download mending gk usah download... Aplikasi parah,,abal" servernya,,, dikit" eror lah ini lah, kalau ada bintang 0 , aq kasih 0 POKOKNYA PARAH BANGET. OTW UNINSTAL !!!!!!!</v>
      </c>
      <c r="C370" s="17" t="str">
        <f>IFERROR(__xludf.DUMMYFUNCTION("REGEXREPLACE(B370,$A$3, )"),"Intinya kalian jangan berharap lebih pada aplikasi ini,,,,yang belum download mending gk usah download... Aplikasi parah,,abal"" servernya,,, dikit"" eror lah ini lah, kalau ada bintang 0 , aq kasih 0 POKOKNYA PARAH BANGET. OTW UNINSTAL !!!!!!!")</f>
        <v>Intinya kalian jangan berharap lebih pada aplikasi ini,,,,yang belum download mending gk usah download... Aplikasi parah,,abal" servernya,,, dikit" eror lah ini lah, kalau ada bintang 0 , aq kasih 0 POKOKNYA PARAH BANGET. OTW UNINSTAL !!!!!!!</v>
      </c>
      <c r="D370" s="17" t="str">
        <f>IFERROR(__xludf.DUMMYFUNCTION("REGEXREPLACE(C370,$A$4, )"),"Intinya kalian jangan berharap lebih pada aplikasi ini,,,,yang belum download mending gk usah download... Aplikasi parah,,abal"" servernya,,, dikit"" eror lah ini lah, kalau ada bintang 0 , aq kasih 0 POKOKNYA PARAH BANGET. OTW UNINSTAL !!!!!!!")</f>
        <v>Intinya kalian jangan berharap lebih pada aplikasi ini,,,,yang belum download mending gk usah download... Aplikasi parah,,abal" servernya,,, dikit" eror lah ini lah, kalau ada bintang 0 , aq kasih 0 POKOKNYA PARAH BANGET. OTW UNINSTAL !!!!!!!</v>
      </c>
      <c r="E370" s="17" t="str">
        <f>IFERROR(__xludf.DUMMYFUNCTION("REGEXREPLACE(D370,$A$5, )"),"Intinya kalian jangan berharap lebih pada aplikasi ini,,,,yang belum download mending gk usah download... Aplikasi parah,,abal"" servernya,,, dikit"" eror lah ini lah, kalau ada bintang  , aq kasih  POKOKNYA PARAH BANGET. OTW UNINSTAL !!!!!!!")</f>
        <v>Intinya kalian jangan berharap lebih pada aplikasi ini,,,,yang belum download mending gk usah download... Aplikasi parah,,abal" servernya,,, dikit" eror lah ini lah, kalau ada bintang  , aq kasih  POKOKNYA PARAH BANGET. OTW UNINSTAL !!!!!!!</v>
      </c>
      <c r="F370" s="17" t="str">
        <f>IFERROR(__xludf.DUMMYFUNCTION("REGEXREPLACE(E370,$A$6, )"),"Intinya kalian jangan berharap lebih pada aplikasi iniyang belum download mending gk usah download Aplikasi parahabal servernya dikit eror lah ini lah kalau ada bintang   aq kasih  POKOKNYA PARAH BANGET OTW UNINSTAL ")</f>
        <v>Intinya kalian jangan berharap lebih pada aplikasi iniyang belum download mending gk usah download Aplikasi parahabal servernya dikit eror lah ini lah kalau ada bintang   aq kasih  POKOKNYA PARAH BANGET OTW UNINSTAL </v>
      </c>
      <c r="G370" s="18" t="str">
        <f>IFERROR(__xludf.DUMMYFUNCTION("REGEXREPLACE(F370,$A$7, )"),"Intinya kalian jangan berharap lebih pada aplikasi iniyang belum download mending gk usah download Aplikasi parahabal servernya dikit eror lah ini lah kalau ada bintang   aq kasih  POKOKNYA PARAH BANGET OTW UNINSTAL ")</f>
        <v>Intinya kalian jangan berharap lebih pada aplikasi iniyang belum download mending gk usah download Aplikasi parahabal servernya dikit eror lah ini lah kalau ada bintang   aq kasih  POKOKNYA PARAH BANGET OTW UNINSTAL </v>
      </c>
      <c r="H370" s="17" t="str">
        <f t="shared" si="1"/>
        <v>intinya kalian jangan berharap lebih pada aplikasi iniyang belum download mending gk usah download aplikasi parahabal servernya dikit eror lah ini lah kalau ada bintang   aq kasih  pokoknya parah banget otw uninstal </v>
      </c>
    </row>
    <row r="371">
      <c r="A371" s="16" t="s">
        <v>366</v>
      </c>
      <c r="B371" s="17" t="str">
        <f>IFERROR(__xludf.DUMMYFUNCTION("REGEXREPLACE(A371,$A$2, )"),"Error tolong di perbaiki")</f>
        <v>Error tolong di perbaiki</v>
      </c>
      <c r="C371" s="17" t="str">
        <f>IFERROR(__xludf.DUMMYFUNCTION("REGEXREPLACE(B371,$A$3, )"),"Error tolong di perbaiki")</f>
        <v>Error tolong di perbaiki</v>
      </c>
      <c r="D371" s="17" t="str">
        <f>IFERROR(__xludf.DUMMYFUNCTION("REGEXREPLACE(C371,$A$4, )"),"Error tolong di perbaiki")</f>
        <v>Error tolong di perbaiki</v>
      </c>
      <c r="E371" s="17" t="str">
        <f>IFERROR(__xludf.DUMMYFUNCTION("REGEXREPLACE(D371,$A$5, )"),"Error tolong di perbaiki")</f>
        <v>Error tolong di perbaiki</v>
      </c>
      <c r="F371" s="17" t="str">
        <f>IFERROR(__xludf.DUMMYFUNCTION("REGEXREPLACE(E371,$A$6, )"),"Error tolong di perbaiki")</f>
        <v>Error tolong di perbaiki</v>
      </c>
      <c r="G371" s="18" t="str">
        <f>IFERROR(__xludf.DUMMYFUNCTION("REGEXREPLACE(F371,$A$7, )"),"Error tolong di perbaiki")</f>
        <v>Error tolong di perbaiki</v>
      </c>
      <c r="H371" s="17" t="str">
        <f t="shared" si="1"/>
        <v>error tolong di perbaiki</v>
      </c>
    </row>
    <row r="372">
      <c r="A372" s="16" t="s">
        <v>367</v>
      </c>
      <c r="B372" s="17" t="str">
        <f>IFERROR(__xludf.DUMMYFUNCTION("REGEXREPLACE(A372,$A$2, )"),"Bos knpa aplikasi bisa error")</f>
        <v>Bos knpa aplikasi bisa error</v>
      </c>
      <c r="C372" s="17" t="str">
        <f>IFERROR(__xludf.DUMMYFUNCTION("REGEXREPLACE(B372,$A$3, )"),"Bos knpa aplikasi bisa error")</f>
        <v>Bos knpa aplikasi bisa error</v>
      </c>
      <c r="D372" s="17" t="str">
        <f>IFERROR(__xludf.DUMMYFUNCTION("REGEXREPLACE(C372,$A$4, )"),"Bos knpa aplikasi bisa error")</f>
        <v>Bos knpa aplikasi bisa error</v>
      </c>
      <c r="E372" s="17" t="str">
        <f>IFERROR(__xludf.DUMMYFUNCTION("REGEXREPLACE(D372,$A$5, )"),"Bos knpa aplikasi bisa error")</f>
        <v>Bos knpa aplikasi bisa error</v>
      </c>
      <c r="F372" s="17" t="str">
        <f>IFERROR(__xludf.DUMMYFUNCTION("REGEXREPLACE(E372,$A$6, )"),"Bos knpa aplikasi bisa error")</f>
        <v>Bos knpa aplikasi bisa error</v>
      </c>
      <c r="G372" s="18" t="str">
        <f>IFERROR(__xludf.DUMMYFUNCTION("REGEXREPLACE(F372,$A$7, )"),"Bos knpa aplikasi bisa error")</f>
        <v>Bos knpa aplikasi bisa error</v>
      </c>
      <c r="H372" s="17" t="str">
        <f t="shared" si="1"/>
        <v>bos knpa aplikasi bisa error</v>
      </c>
    </row>
    <row r="373">
      <c r="A373" s="16" t="s">
        <v>368</v>
      </c>
      <c r="B373" s="17" t="str">
        <f>IFERROR(__xludf.DUMMYFUNCTION("REGEXREPLACE(A373,$A$2, )"),"Ko pas login sllu kluar belum diaktivasi. Bantuan ny dong")</f>
        <v>Ko pas login sllu kluar belum diaktivasi. Bantuan ny dong</v>
      </c>
      <c r="C373" s="17" t="str">
        <f>IFERROR(__xludf.DUMMYFUNCTION("REGEXREPLACE(B373,$A$3, )"),"Ko pas login sllu kluar belum diaktivasi. Bantuan ny dong")</f>
        <v>Ko pas login sllu kluar belum diaktivasi. Bantuan ny dong</v>
      </c>
      <c r="D373" s="17" t="str">
        <f>IFERROR(__xludf.DUMMYFUNCTION("REGEXREPLACE(C373,$A$4, )"),"Ko pas login sllu kluar belum diaktivasi. Bantuan ny dong")</f>
        <v>Ko pas login sllu kluar belum diaktivasi. Bantuan ny dong</v>
      </c>
      <c r="E373" s="17" t="str">
        <f>IFERROR(__xludf.DUMMYFUNCTION("REGEXREPLACE(D373,$A$5, )"),"Ko pas login sllu kluar belum diaktivasi. Bantuan ny dong")</f>
        <v>Ko pas login sllu kluar belum diaktivasi. Bantuan ny dong</v>
      </c>
      <c r="F373" s="17" t="str">
        <f>IFERROR(__xludf.DUMMYFUNCTION("REGEXREPLACE(E373,$A$6, )"),"Ko pas login sllu kluar belum diaktivasi Bantuan ny dong")</f>
        <v>Ko pas login sllu kluar belum diaktivasi Bantuan ny dong</v>
      </c>
      <c r="G373" s="18" t="str">
        <f>IFERROR(__xludf.DUMMYFUNCTION("REGEXREPLACE(F373,$A$7, )"),"Ko pas login sllu kluar belum diaktivasi Bantuan ny dong")</f>
        <v>Ko pas login sllu kluar belum diaktivasi Bantuan ny dong</v>
      </c>
      <c r="H373" s="17" t="str">
        <f t="shared" si="1"/>
        <v>ko pas login sllu kluar belum diaktivasi bantuan ny dong</v>
      </c>
    </row>
    <row r="374">
      <c r="A374" s="16" t="s">
        <v>369</v>
      </c>
      <c r="B374" s="17" t="str">
        <f>IFERROR(__xludf.DUMMYFUNCTION("REGEXREPLACE(A374,$A$2, )"),"kenapa saat daftar akun tidak bisa ya,, loding terus")</f>
        <v>kenapa saat daftar akun tidak bisa ya,, loding terus</v>
      </c>
      <c r="C374" s="17" t="str">
        <f>IFERROR(__xludf.DUMMYFUNCTION("REGEXREPLACE(B374,$A$3, )"),"kenapa saat daftar akun tidak bisa ya,, loding terus")</f>
        <v>kenapa saat daftar akun tidak bisa ya,, loding terus</v>
      </c>
      <c r="D374" s="17" t="str">
        <f>IFERROR(__xludf.DUMMYFUNCTION("REGEXREPLACE(C374,$A$4, )"),"kenapa saat daftar akun tidak bisa ya,, loding terus")</f>
        <v>kenapa saat daftar akun tidak bisa ya,, loding terus</v>
      </c>
      <c r="E374" s="17" t="str">
        <f>IFERROR(__xludf.DUMMYFUNCTION("REGEXREPLACE(D374,$A$5, )"),"kenapa saat daftar akun tidak bisa ya,, loding terus")</f>
        <v>kenapa saat daftar akun tidak bisa ya,, loding terus</v>
      </c>
      <c r="F374" s="17" t="str">
        <f>IFERROR(__xludf.DUMMYFUNCTION("REGEXREPLACE(E374,$A$6, )"),"kenapa saat daftar akun tidak bisa ya loding terus")</f>
        <v>kenapa saat daftar akun tidak bisa ya loding terus</v>
      </c>
      <c r="G374" s="18" t="str">
        <f>IFERROR(__xludf.DUMMYFUNCTION("REGEXREPLACE(F374,$A$7, )"),"kenapa saat daftar akun tidak bisa ya loding terus")</f>
        <v>kenapa saat daftar akun tidak bisa ya loding terus</v>
      </c>
      <c r="H374" s="17" t="str">
        <f t="shared" si="1"/>
        <v>kenapa saat daftar akun tidak bisa ya loding terus</v>
      </c>
    </row>
    <row r="375">
      <c r="A375" s="16" t="s">
        <v>370</v>
      </c>
      <c r="B375" s="17" t="str">
        <f>IFERROR(__xludf.DUMMYFUNCTION("REGEXREPLACE(A375,$A$2, )"),"ga bisa login, aplikasi sdg eror")</f>
        <v>ga bisa login, aplikasi sdg eror</v>
      </c>
      <c r="C375" s="17" t="str">
        <f>IFERROR(__xludf.DUMMYFUNCTION("REGEXREPLACE(B375,$A$3, )"),"ga bisa login, aplikasi sdg eror")</f>
        <v>ga bisa login, aplikasi sdg eror</v>
      </c>
      <c r="D375" s="17" t="str">
        <f>IFERROR(__xludf.DUMMYFUNCTION("REGEXREPLACE(C375,$A$4, )"),"ga bisa login, aplikasi sdg eror")</f>
        <v>ga bisa login, aplikasi sdg eror</v>
      </c>
      <c r="E375" s="17" t="str">
        <f>IFERROR(__xludf.DUMMYFUNCTION("REGEXREPLACE(D375,$A$5, )"),"ga bisa login, aplikasi sdg eror")</f>
        <v>ga bisa login, aplikasi sdg eror</v>
      </c>
      <c r="F375" s="17" t="str">
        <f>IFERROR(__xludf.DUMMYFUNCTION("REGEXREPLACE(E375,$A$6, )"),"ga bisa login aplikasi sdg eror")</f>
        <v>ga bisa login aplikasi sdg eror</v>
      </c>
      <c r="G375" s="18" t="str">
        <f>IFERROR(__xludf.DUMMYFUNCTION("REGEXREPLACE(F375,$A$7, )"),"ga bisa login aplikasi sdg eror")</f>
        <v>ga bisa login aplikasi sdg eror</v>
      </c>
      <c r="H375" s="17" t="str">
        <f t="shared" si="1"/>
        <v>ga bisa login aplikasi sdg eror</v>
      </c>
    </row>
    <row r="376">
      <c r="A376" s="16" t="s">
        <v>371</v>
      </c>
      <c r="B376" s="17" t="str">
        <f>IFERROR(__xludf.DUMMYFUNCTION("REGEXREPLACE(A376,$A$2, )"),"Mau daftar buat login tapi gak bisa eror terussssss")</f>
        <v>Mau daftar buat login tapi gak bisa eror terussssss</v>
      </c>
      <c r="C376" s="17" t="str">
        <f>IFERROR(__xludf.DUMMYFUNCTION("REGEXREPLACE(B376,$A$3, )"),"Mau daftar buat login tapi gak bisa eror terussssss")</f>
        <v>Mau daftar buat login tapi gak bisa eror terussssss</v>
      </c>
      <c r="D376" s="17" t="str">
        <f>IFERROR(__xludf.DUMMYFUNCTION("REGEXREPLACE(C376,$A$4, )"),"Mau daftar buat login tapi gak bisa eror terussssss")</f>
        <v>Mau daftar buat login tapi gak bisa eror terussssss</v>
      </c>
      <c r="E376" s="17" t="str">
        <f>IFERROR(__xludf.DUMMYFUNCTION("REGEXREPLACE(D376,$A$5, )"),"Mau daftar buat login tapi gak bisa eror terussssss")</f>
        <v>Mau daftar buat login tapi gak bisa eror terussssss</v>
      </c>
      <c r="F376" s="17" t="str">
        <f>IFERROR(__xludf.DUMMYFUNCTION("REGEXREPLACE(E376,$A$6, )"),"Mau daftar buat login tapi gak bisa eror terussssss")</f>
        <v>Mau daftar buat login tapi gak bisa eror terussssss</v>
      </c>
      <c r="G376" s="18" t="str">
        <f>IFERROR(__xludf.DUMMYFUNCTION("REGEXREPLACE(F376,$A$7, )"),"Mau daftar buat login tapi gak bisa eror terussssss")</f>
        <v>Mau daftar buat login tapi gak bisa eror terussssss</v>
      </c>
      <c r="H376" s="17" t="str">
        <f t="shared" si="1"/>
        <v>mau daftar buat login tapi gak bisa eror terussssss</v>
      </c>
    </row>
    <row r="377">
      <c r="A377" s="16" t="s">
        <v>372</v>
      </c>
      <c r="B377" s="17" t="str">
        <f>IFERROR(__xludf.DUMMYFUNCTION("REGEXREPLACE(A377,$A$2, )"),"Eror.. aktivasi lama Sampek sekarang belum juga aktif..")</f>
        <v>Eror.. aktivasi lama Sampek sekarang belum juga aktif..</v>
      </c>
      <c r="C377" s="17" t="str">
        <f>IFERROR(__xludf.DUMMYFUNCTION("REGEXREPLACE(B377,$A$3, )"),"Eror.. aktivasi lama Sampek sekarang belum juga aktif..")</f>
        <v>Eror.. aktivasi lama Sampek sekarang belum juga aktif..</v>
      </c>
      <c r="D377" s="17" t="str">
        <f>IFERROR(__xludf.DUMMYFUNCTION("REGEXREPLACE(C377,$A$4, )"),"Eror.. aktivasi lama Sampek sekarang belum juga aktif..")</f>
        <v>Eror.. aktivasi lama Sampek sekarang belum juga aktif..</v>
      </c>
      <c r="E377" s="17" t="str">
        <f>IFERROR(__xludf.DUMMYFUNCTION("REGEXREPLACE(D377,$A$5, )"),"Eror.. aktivasi lama Sampek sekarang belum juga aktif..")</f>
        <v>Eror.. aktivasi lama Sampek sekarang belum juga aktif..</v>
      </c>
      <c r="F377" s="17" t="str">
        <f>IFERROR(__xludf.DUMMYFUNCTION("REGEXREPLACE(E377,$A$6, )"),"Eror aktivasi lama Sampek sekarang belum juga aktif")</f>
        <v>Eror aktivasi lama Sampek sekarang belum juga aktif</v>
      </c>
      <c r="G377" s="18" t="str">
        <f>IFERROR(__xludf.DUMMYFUNCTION("REGEXREPLACE(F377,$A$7, )"),"Eror aktivasi lama Sampek sekarang belum juga aktif")</f>
        <v>Eror aktivasi lama Sampek sekarang belum juga aktif</v>
      </c>
      <c r="H377" s="17" t="str">
        <f t="shared" si="1"/>
        <v>eror aktivasi lama sampek sekarang belum juga aktif</v>
      </c>
    </row>
    <row r="378">
      <c r="A378" s="16" t="s">
        <v>373</v>
      </c>
      <c r="B378" s="17" t="str">
        <f>IFERROR(__xludf.DUMMYFUNCTION("REGEXREPLACE(A378,$A$2, )"),"Aplikasinya di buka error teruss")</f>
        <v>Aplikasinya di buka error teruss</v>
      </c>
      <c r="C378" s="17" t="str">
        <f>IFERROR(__xludf.DUMMYFUNCTION("REGEXREPLACE(B378,$A$3, )"),"Aplikasinya di buka error teruss")</f>
        <v>Aplikasinya di buka error teruss</v>
      </c>
      <c r="D378" s="17" t="str">
        <f>IFERROR(__xludf.DUMMYFUNCTION("REGEXREPLACE(C378,$A$4, )"),"Aplikasinya di buka error teruss")</f>
        <v>Aplikasinya di buka error teruss</v>
      </c>
      <c r="E378" s="17" t="str">
        <f>IFERROR(__xludf.DUMMYFUNCTION("REGEXREPLACE(D378,$A$5, )"),"Aplikasinya di buka error teruss")</f>
        <v>Aplikasinya di buka error teruss</v>
      </c>
      <c r="F378" s="17" t="str">
        <f>IFERROR(__xludf.DUMMYFUNCTION("REGEXREPLACE(E378,$A$6, )"),"Aplikasinya di buka error teruss")</f>
        <v>Aplikasinya di buka error teruss</v>
      </c>
      <c r="G378" s="18" t="str">
        <f>IFERROR(__xludf.DUMMYFUNCTION("REGEXREPLACE(F378,$A$7, )"),"Aplikasinya di buka error teruss")</f>
        <v>Aplikasinya di buka error teruss</v>
      </c>
      <c r="H378" s="17" t="str">
        <f t="shared" si="1"/>
        <v>aplikasinya di buka error teruss</v>
      </c>
    </row>
    <row r="379">
      <c r="A379" s="16" t="s">
        <v>374</v>
      </c>
      <c r="B379" s="17" t="str">
        <f>IFERROR(__xludf.DUMMYFUNCTION("REGEXREPLACE(A379,$A$2, )"),"Padahal uda di install tapi tetap gak bisa masuk")</f>
        <v>Padahal uda di install tapi tetap gak bisa masuk</v>
      </c>
      <c r="C379" s="17" t="str">
        <f>IFERROR(__xludf.DUMMYFUNCTION("REGEXREPLACE(B379,$A$3, )"),"Padahal uda di install tapi tetap gak bisa masuk")</f>
        <v>Padahal uda di install tapi tetap gak bisa masuk</v>
      </c>
      <c r="D379" s="17" t="str">
        <f>IFERROR(__xludf.DUMMYFUNCTION("REGEXREPLACE(C379,$A$4, )"),"Padahal uda di install tapi tetap gak bisa masuk")</f>
        <v>Padahal uda di install tapi tetap gak bisa masuk</v>
      </c>
      <c r="E379" s="17" t="str">
        <f>IFERROR(__xludf.DUMMYFUNCTION("REGEXREPLACE(D379,$A$5, )"),"Padahal uda di install tapi tetap gak bisa masuk")</f>
        <v>Padahal uda di install tapi tetap gak bisa masuk</v>
      </c>
      <c r="F379" s="17" t="str">
        <f>IFERROR(__xludf.DUMMYFUNCTION("REGEXREPLACE(E379,$A$6, )"),"Padahal uda di install tapi tetap gak bisa masuk")</f>
        <v>Padahal uda di install tapi tetap gak bisa masuk</v>
      </c>
      <c r="G379" s="18" t="str">
        <f>IFERROR(__xludf.DUMMYFUNCTION("REGEXREPLACE(F379,$A$7, )"),"Padahal uda di install tapi tetap gak bisa masuk")</f>
        <v>Padahal uda di install tapi tetap gak bisa masuk</v>
      </c>
      <c r="H379" s="17" t="str">
        <f t="shared" si="1"/>
        <v>padahal uda di install tapi tetap gak bisa masuk</v>
      </c>
    </row>
    <row r="380">
      <c r="A380" s="16" t="s">
        <v>375</v>
      </c>
      <c r="B380" s="17" t="str">
        <f>IFERROR(__xludf.DUMMYFUNCTION("REGEXREPLACE(A380,$A$2, )"),"Saat daftar selalu error")</f>
        <v>Saat daftar selalu error</v>
      </c>
      <c r="C380" s="17" t="str">
        <f>IFERROR(__xludf.DUMMYFUNCTION("REGEXREPLACE(B380,$A$3, )"),"Saat daftar selalu error")</f>
        <v>Saat daftar selalu error</v>
      </c>
      <c r="D380" s="17" t="str">
        <f>IFERROR(__xludf.DUMMYFUNCTION("REGEXREPLACE(C380,$A$4, )"),"Saat daftar selalu error")</f>
        <v>Saat daftar selalu error</v>
      </c>
      <c r="E380" s="17" t="str">
        <f>IFERROR(__xludf.DUMMYFUNCTION("REGEXREPLACE(D380,$A$5, )"),"Saat daftar selalu error")</f>
        <v>Saat daftar selalu error</v>
      </c>
      <c r="F380" s="17" t="str">
        <f>IFERROR(__xludf.DUMMYFUNCTION("REGEXREPLACE(E380,$A$6, )"),"Saat daftar selalu error")</f>
        <v>Saat daftar selalu error</v>
      </c>
      <c r="G380" s="18" t="str">
        <f>IFERROR(__xludf.DUMMYFUNCTION("REGEXREPLACE(F380,$A$7, )"),"Saat daftar selalu error")</f>
        <v>Saat daftar selalu error</v>
      </c>
      <c r="H380" s="17" t="str">
        <f t="shared" si="1"/>
        <v>saat daftar selalu error</v>
      </c>
    </row>
    <row r="381">
      <c r="A381" s="16" t="s">
        <v>376</v>
      </c>
      <c r="B381" s="17" t="str">
        <f>IFERROR(__xludf.DUMMYFUNCTION("REGEXREPLACE(A381,$A$2, )"),"Aplikasi nya kok bisa eror ya Mau login tapi eror")</f>
        <v>Aplikasi nya kok bisa eror ya Mau login tapi eror</v>
      </c>
      <c r="C381" s="17" t="str">
        <f>IFERROR(__xludf.DUMMYFUNCTION("REGEXREPLACE(B381,$A$3, )"),"Aplikasi nya kok bisa eror ya Mau login tapi eror")</f>
        <v>Aplikasi nya kok bisa eror ya Mau login tapi eror</v>
      </c>
      <c r="D381" s="17" t="str">
        <f>IFERROR(__xludf.DUMMYFUNCTION("REGEXREPLACE(C381,$A$4, )"),"Aplikasi nya kok bisa eror ya Mau login tapi eror")</f>
        <v>Aplikasi nya kok bisa eror ya Mau login tapi eror</v>
      </c>
      <c r="E381" s="17" t="str">
        <f>IFERROR(__xludf.DUMMYFUNCTION("REGEXREPLACE(D381,$A$5, )"),"Aplikasi nya kok bisa eror ya Mau login tapi eror")</f>
        <v>Aplikasi nya kok bisa eror ya Mau login tapi eror</v>
      </c>
      <c r="F381" s="17" t="str">
        <f>IFERROR(__xludf.DUMMYFUNCTION("REGEXREPLACE(E381,$A$6, )"),"Aplikasi nya kok bisa eror ya Mau login tapi eror")</f>
        <v>Aplikasi nya kok bisa eror ya Mau login tapi eror</v>
      </c>
      <c r="G381" s="18" t="str">
        <f>IFERROR(__xludf.DUMMYFUNCTION("REGEXREPLACE(F381,$A$7, )"),"Aplikasi nya kok bisa eror ya Mau login tapi eror")</f>
        <v>Aplikasi nya kok bisa eror ya Mau login tapi eror</v>
      </c>
      <c r="H381" s="17" t="str">
        <f t="shared" si="1"/>
        <v>aplikasi nya kok bisa eror ya mau login tapi eror</v>
      </c>
    </row>
    <row r="382">
      <c r="A382" s="16" t="s">
        <v>377</v>
      </c>
      <c r="B382" s="17" t="str">
        <f>IFERROR(__xludf.DUMMYFUNCTION("REGEXREPLACE(A382,$A$2, )"),"Aplikasi bagus cuman tida bisa masuk elor terus")</f>
        <v>Aplikasi bagus cuman tida bisa masuk elor terus</v>
      </c>
      <c r="C382" s="17" t="str">
        <f>IFERROR(__xludf.DUMMYFUNCTION("REGEXREPLACE(B382,$A$3, )"),"Aplikasi bagus cuman tida bisa masuk elor terus")</f>
        <v>Aplikasi bagus cuman tida bisa masuk elor terus</v>
      </c>
      <c r="D382" s="17" t="str">
        <f>IFERROR(__xludf.DUMMYFUNCTION("REGEXREPLACE(C382,$A$4, )"),"Aplikasi bagus cuman tida bisa masuk elor terus")</f>
        <v>Aplikasi bagus cuman tida bisa masuk elor terus</v>
      </c>
      <c r="E382" s="17" t="str">
        <f>IFERROR(__xludf.DUMMYFUNCTION("REGEXREPLACE(D382,$A$5, )"),"Aplikasi bagus cuman tida bisa masuk elor terus")</f>
        <v>Aplikasi bagus cuman tida bisa masuk elor terus</v>
      </c>
      <c r="F382" s="17" t="str">
        <f>IFERROR(__xludf.DUMMYFUNCTION("REGEXREPLACE(E382,$A$6, )"),"Aplikasi bagus cuman tida bisa masuk elor terus")</f>
        <v>Aplikasi bagus cuman tida bisa masuk elor terus</v>
      </c>
      <c r="G382" s="18" t="str">
        <f>IFERROR(__xludf.DUMMYFUNCTION("REGEXREPLACE(F382,$A$7, )"),"Aplikasi bagus cuman tida bisa masuk elor terus")</f>
        <v>Aplikasi bagus cuman tida bisa masuk elor terus</v>
      </c>
      <c r="H382" s="17" t="str">
        <f t="shared" si="1"/>
        <v>aplikasi bagus cuman tida bisa masuk elor terus</v>
      </c>
    </row>
    <row r="383">
      <c r="A383" s="16" t="s">
        <v>378</v>
      </c>
      <c r="B383" s="17" t="str">
        <f>IFERROR(__xludf.DUMMYFUNCTION("REGEXREPLACE(A383,$A$2, )"),"Kenapa saya ngak bisa daftar aplikasi orror kecewa banget")</f>
        <v>Kenapa saya ngak bisa daftar aplikasi orror kecewa banget</v>
      </c>
      <c r="C383" s="17" t="str">
        <f>IFERROR(__xludf.DUMMYFUNCTION("REGEXREPLACE(B383,$A$3, )"),"Kenapa saya ngak bisa daftar aplikasi orror kecewa banget")</f>
        <v>Kenapa saya ngak bisa daftar aplikasi orror kecewa banget</v>
      </c>
      <c r="D383" s="17" t="str">
        <f>IFERROR(__xludf.DUMMYFUNCTION("REGEXREPLACE(C383,$A$4, )"),"Kenapa saya ngak bisa daftar aplikasi orror kecewa banget")</f>
        <v>Kenapa saya ngak bisa daftar aplikasi orror kecewa banget</v>
      </c>
      <c r="E383" s="17" t="str">
        <f>IFERROR(__xludf.DUMMYFUNCTION("REGEXREPLACE(D383,$A$5, )"),"Kenapa saya ngak bisa daftar aplikasi orror kecewa banget")</f>
        <v>Kenapa saya ngak bisa daftar aplikasi orror kecewa banget</v>
      </c>
      <c r="F383" s="17" t="str">
        <f>IFERROR(__xludf.DUMMYFUNCTION("REGEXREPLACE(E383,$A$6, )"),"Kenapa saya ngak bisa daftar aplikasi orror kecewa banget")</f>
        <v>Kenapa saya ngak bisa daftar aplikasi orror kecewa banget</v>
      </c>
      <c r="G383" s="18" t="str">
        <f>IFERROR(__xludf.DUMMYFUNCTION("REGEXREPLACE(F383,$A$7, )"),"Kenapa saya ngak bisa daftar aplikasi orror kecewa banget")</f>
        <v>Kenapa saya ngak bisa daftar aplikasi orror kecewa banget</v>
      </c>
      <c r="H383" s="17" t="str">
        <f t="shared" si="1"/>
        <v>kenapa saya ngak bisa daftar aplikasi orror kecewa banget</v>
      </c>
    </row>
    <row r="384">
      <c r="A384" s="16" t="s">
        <v>379</v>
      </c>
      <c r="B384" s="17" t="str">
        <f>IFERROR(__xludf.DUMMYFUNCTION("REGEXREPLACE(A384,$A$2, )"),"Aplikasi nggak guna...udah semua di isi pendaftaran nya...katanya eror nggak jelas")</f>
        <v>Aplikasi nggak guna...udah semua di isi pendaftaran nya...katanya eror nggak jelas</v>
      </c>
      <c r="C384" s="17" t="str">
        <f>IFERROR(__xludf.DUMMYFUNCTION("REGEXREPLACE(B384,$A$3, )"),"Aplikasi nggak guna...udah semua di isi pendaftaran nya...katanya eror nggak jelas")</f>
        <v>Aplikasi nggak guna...udah semua di isi pendaftaran nya...katanya eror nggak jelas</v>
      </c>
      <c r="D384" s="17" t="str">
        <f>IFERROR(__xludf.DUMMYFUNCTION("REGEXREPLACE(C384,$A$4, )"),"Aplikasi nggak guna...udah semua di isi pendaftaran nya...katanya eror nggak jelas")</f>
        <v>Aplikasi nggak guna...udah semua di isi pendaftaran nya...katanya eror nggak jelas</v>
      </c>
      <c r="E384" s="17" t="str">
        <f>IFERROR(__xludf.DUMMYFUNCTION("REGEXREPLACE(D384,$A$5, )"),"Aplikasi nggak guna...udah semua di isi pendaftaran nya...katanya eror nggak jelas")</f>
        <v>Aplikasi nggak guna...udah semua di isi pendaftaran nya...katanya eror nggak jelas</v>
      </c>
      <c r="F384" s="17" t="str">
        <f>IFERROR(__xludf.DUMMYFUNCTION("REGEXREPLACE(E384,$A$6, )"),"Aplikasi nggak gunaudah semua di isi pendaftaran nyakatanya eror nggak jelas")</f>
        <v>Aplikasi nggak gunaudah semua di isi pendaftaran nyakatanya eror nggak jelas</v>
      </c>
      <c r="G384" s="18" t="str">
        <f>IFERROR(__xludf.DUMMYFUNCTION("REGEXREPLACE(F384,$A$7, )"),"Aplikasi nggak gunaudah semua di isi pendaftaran nyakatanya eror nggak jelas")</f>
        <v>Aplikasi nggak gunaudah semua di isi pendaftaran nyakatanya eror nggak jelas</v>
      </c>
      <c r="H384" s="17" t="str">
        <f t="shared" si="1"/>
        <v>aplikasi nggak gunaudah semua di isi pendaftaran nyakatanya eror nggak jelas</v>
      </c>
    </row>
    <row r="385">
      <c r="A385" s="16" t="s">
        <v>380</v>
      </c>
      <c r="B385" s="17" t="str">
        <f>IFERROR(__xludf.DUMMYFUNCTION("REGEXREPLACE(A385,$A$2, )"),"Susah daftar akun baru gagal terus mohon diperbaiki")</f>
        <v>Susah daftar akun baru gagal terus mohon diperbaiki</v>
      </c>
      <c r="C385" s="17" t="str">
        <f>IFERROR(__xludf.DUMMYFUNCTION("REGEXREPLACE(B385,$A$3, )"),"Susah daftar akun baru gagal terus mohon diperbaiki")</f>
        <v>Susah daftar akun baru gagal terus mohon diperbaiki</v>
      </c>
      <c r="D385" s="17" t="str">
        <f>IFERROR(__xludf.DUMMYFUNCTION("REGEXREPLACE(C385,$A$4, )"),"Susah daftar akun baru gagal terus mohon diperbaiki")</f>
        <v>Susah daftar akun baru gagal terus mohon diperbaiki</v>
      </c>
      <c r="E385" s="17" t="str">
        <f>IFERROR(__xludf.DUMMYFUNCTION("REGEXREPLACE(D385,$A$5, )"),"Susah daftar akun baru gagal terus mohon diperbaiki")</f>
        <v>Susah daftar akun baru gagal terus mohon diperbaiki</v>
      </c>
      <c r="F385" s="17" t="str">
        <f>IFERROR(__xludf.DUMMYFUNCTION("REGEXREPLACE(E385,$A$6, )"),"Susah daftar akun baru gagal terus mohon diperbaiki")</f>
        <v>Susah daftar akun baru gagal terus mohon diperbaiki</v>
      </c>
      <c r="G385" s="18" t="str">
        <f>IFERROR(__xludf.DUMMYFUNCTION("REGEXREPLACE(F385,$A$7, )"),"Susah daftar akun baru gagal terus mohon diperbaiki")</f>
        <v>Susah daftar akun baru gagal terus mohon diperbaiki</v>
      </c>
      <c r="H385" s="17" t="str">
        <f t="shared" si="1"/>
        <v>susah daftar akun baru gagal terus mohon diperbaiki</v>
      </c>
    </row>
    <row r="386">
      <c r="A386" s="16" t="s">
        <v>381</v>
      </c>
      <c r="B386" s="17" t="str">
        <f>IFERROR(__xludf.DUMMYFUNCTION("REGEXREPLACE(A386,$A$2, )"),"engga bisa digunakan sama sekali. eror terus")</f>
        <v>engga bisa digunakan sama sekali. eror terus</v>
      </c>
      <c r="C386" s="17" t="str">
        <f>IFERROR(__xludf.DUMMYFUNCTION("REGEXREPLACE(B386,$A$3, )"),"engga bisa digunakan sama sekali. eror terus")</f>
        <v>engga bisa digunakan sama sekali. eror terus</v>
      </c>
      <c r="D386" s="17" t="str">
        <f>IFERROR(__xludf.DUMMYFUNCTION("REGEXREPLACE(C386,$A$4, )"),"engga bisa digunakan sama sekali. eror terus")</f>
        <v>engga bisa digunakan sama sekali. eror terus</v>
      </c>
      <c r="E386" s="17" t="str">
        <f>IFERROR(__xludf.DUMMYFUNCTION("REGEXREPLACE(D386,$A$5, )"),"engga bisa digunakan sama sekali. eror terus")</f>
        <v>engga bisa digunakan sama sekali. eror terus</v>
      </c>
      <c r="F386" s="17" t="str">
        <f>IFERROR(__xludf.DUMMYFUNCTION("REGEXREPLACE(E386,$A$6, )"),"engga bisa digunakan sama sekali eror terus")</f>
        <v>engga bisa digunakan sama sekali eror terus</v>
      </c>
      <c r="G386" s="18" t="str">
        <f>IFERROR(__xludf.DUMMYFUNCTION("REGEXREPLACE(F386,$A$7, )"),"engga bisa digunakan sama sekali eror terus")</f>
        <v>engga bisa digunakan sama sekali eror terus</v>
      </c>
      <c r="H386" s="17" t="str">
        <f t="shared" si="1"/>
        <v>engga bisa digunakan sama sekali eror terus</v>
      </c>
    </row>
    <row r="387">
      <c r="A387" s="16" t="s">
        <v>382</v>
      </c>
      <c r="B387" s="17" t="str">
        <f>IFERROR(__xludf.DUMMYFUNCTION("REGEXREPLACE(A387,$A$2, )"),"Ternyata gk saya sendiri yang mengalami error Json parse ya, Niat nya mau bantu masyarakat atau gimana sih min Tolong dong diperbaiki Saya ingin daftar kan ibu saya yang berpuluh² tahun gk pernah dapat bantuan apa pun dan dari siapa pun Padahal kami hanya"&amp;" orang susah min Tolong dong, kami sangat butuh🙏")</f>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c r="C387" s="17" t="str">
        <f>IFERROR(__xludf.DUMMYFUNCTION("REGEXREPLACE(B387,$A$3, )"),"Ternyata gk saya sendiri yang mengalami error Json parse ya, Niat nya mau bantu masyarakat atau gimana sih min Tolong dong diperbaiki Saya ingin daftar kan ibu saya yang berpuluh² tahun gk pernah dapat bantuan apa pun dan dari siapa pun Padahal kami hanya"&amp;" orang susah min Tolong dong, kami sangat butuh🙏")</f>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c r="D387" s="17" t="str">
        <f>IFERROR(__xludf.DUMMYFUNCTION("REGEXREPLACE(C387,$A$4, )"),"Ternyata gk saya sendiri yang mengalami error Json parse ya, Niat nya mau bantu masyarakat atau gimana sih min Tolong dong diperbaiki Saya ingin daftar kan ibu saya yang berpuluh² tahun gk pernah dapat bantuan apa pun dan dari siapa pun Padahal kami hanya"&amp;" orang susah min Tolong dong, kami sangat butuh🙏")</f>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c r="E387" s="17" t="str">
        <f>IFERROR(__xludf.DUMMYFUNCTION("REGEXREPLACE(D387,$A$5, )"),"Ternyata gk saya sendiri yang mengalami error Json parse ya, Niat nya mau bantu masyarakat atau gimana sih min Tolong dong diperbaiki Saya ingin daftar kan ibu saya yang berpuluh² tahun gk pernah dapat bantuan apa pun dan dari siapa pun Padahal kami hanya"&amp;" orang susah min Tolong dong, kami sangat butuh🙏")</f>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c r="F387" s="17" t="str">
        <f>IFERROR(__xludf.DUMMYFUNCTION("REGEXREPLACE(E387,$A$6, )"),"Ternyata gk saya sendiri yang mengalami error Json parse ya Niat nya mau bantu masyarakat atau gimana sih min Tolong dong diperbaiki Saya ingin daftar kan ibu saya yang berpuluh² tahun gk pernah dapat bantuan apa pun dan dari siapa pun Padahal kami hanya "&amp;"orang susah min Tolong dong kami sangat butuh🙏")</f>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c r="G387" s="18" t="str">
        <f>IFERROR(__xludf.DUMMYFUNCTION("REGEXREPLACE(F387,$A$7, )"),"Ternyata gk saya sendiri yang mengalami error Json parse ya Niat nya mau bantu masyarakat atau gimana sih min Tolong dong diperbaiki Saya ingin daftar kan ibu saya yang berpuluh² tahun gk pernah dapat bantuan apa pun dan dari siapa pun Padahal kami hanya "&amp;"orang susah min Tolong dong kami sangat butuh")</f>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c r="H387" s="17" t="str">
        <f t="shared" si="1"/>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row>
    <row r="388">
      <c r="A388" s="16" t="s">
        <v>383</v>
      </c>
      <c r="B388" s="17" t="str">
        <f>IFERROR(__xludf.DUMMYFUNCTION("REGEXREPLACE(A388,$A$2, )"),"Kk aplikasi y eror y kk...ngk bisa daftar dan ngk bisa masuk...mohon solusi ny kk")</f>
        <v>Kk aplikasi y eror y kk...ngk bisa daftar dan ngk bisa masuk...mohon solusi ny kk</v>
      </c>
      <c r="C388" s="17" t="str">
        <f>IFERROR(__xludf.DUMMYFUNCTION("REGEXREPLACE(B388,$A$3, )"),"Kk aplikasi y eror y kk...ngk bisa daftar dan ngk bisa masuk...mohon solusi ny kk")</f>
        <v>Kk aplikasi y eror y kk...ngk bisa daftar dan ngk bisa masuk...mohon solusi ny kk</v>
      </c>
      <c r="D388" s="17" t="str">
        <f>IFERROR(__xludf.DUMMYFUNCTION("REGEXREPLACE(C388,$A$4, )"),"Kk aplikasi y eror y kk...ngk bisa daftar dan ngk bisa masuk...mohon solusi ny kk")</f>
        <v>Kk aplikasi y eror y kk...ngk bisa daftar dan ngk bisa masuk...mohon solusi ny kk</v>
      </c>
      <c r="E388" s="17" t="str">
        <f>IFERROR(__xludf.DUMMYFUNCTION("REGEXREPLACE(D388,$A$5, )"),"Kk aplikasi y eror y kk...ngk bisa daftar dan ngk bisa masuk...mohon solusi ny kk")</f>
        <v>Kk aplikasi y eror y kk...ngk bisa daftar dan ngk bisa masuk...mohon solusi ny kk</v>
      </c>
      <c r="F388" s="17" t="str">
        <f>IFERROR(__xludf.DUMMYFUNCTION("REGEXREPLACE(E388,$A$6, )"),"Kk aplikasi y eror y kkngk bisa daftar dan ngk bisa masukmohon solusi ny kk")</f>
        <v>Kk aplikasi y eror y kkngk bisa daftar dan ngk bisa masukmohon solusi ny kk</v>
      </c>
      <c r="G388" s="18" t="str">
        <f>IFERROR(__xludf.DUMMYFUNCTION("REGEXREPLACE(F388,$A$7, )"),"Kk aplikasi y eror y kkngk bisa daftar dan ngk bisa masukmohon solusi ny kk")</f>
        <v>Kk aplikasi y eror y kkngk bisa daftar dan ngk bisa masukmohon solusi ny kk</v>
      </c>
      <c r="H388" s="17" t="str">
        <f t="shared" si="1"/>
        <v>kk aplikasi y eror y kkngk bisa daftar dan ngk bisa masukmohon solusi ny kk</v>
      </c>
    </row>
    <row r="389">
      <c r="A389" s="16" t="s">
        <v>384</v>
      </c>
      <c r="B389" s="17" t="str">
        <f>IFERROR(__xludf.DUMMYFUNCTION("REGEXREPLACE(A389,$A$2, )"),"bagus tapi seing error utk nambah usulan penerima bantuan tidak bisa")</f>
        <v>bagus tapi seing error utk nambah usulan penerima bantuan tidak bisa</v>
      </c>
      <c r="C389" s="17" t="str">
        <f>IFERROR(__xludf.DUMMYFUNCTION("REGEXREPLACE(B389,$A$3, )"),"bagus tapi seing error utk nambah usulan penerima bantuan tidak bisa")</f>
        <v>bagus tapi seing error utk nambah usulan penerima bantuan tidak bisa</v>
      </c>
      <c r="D389" s="17" t="str">
        <f>IFERROR(__xludf.DUMMYFUNCTION("REGEXREPLACE(C389,$A$4, )"),"bagus tapi seing error utk nambah usulan penerima bantuan tidak bisa")</f>
        <v>bagus tapi seing error utk nambah usulan penerima bantuan tidak bisa</v>
      </c>
      <c r="E389" s="17" t="str">
        <f>IFERROR(__xludf.DUMMYFUNCTION("REGEXREPLACE(D389,$A$5, )"),"bagus tapi seing error utk nambah usulan penerima bantuan tidak bisa")</f>
        <v>bagus tapi seing error utk nambah usulan penerima bantuan tidak bisa</v>
      </c>
      <c r="F389" s="17" t="str">
        <f>IFERROR(__xludf.DUMMYFUNCTION("REGEXREPLACE(E389,$A$6, )"),"bagus tapi seing error utk nambah usulan penerima bantuan tidak bisa")</f>
        <v>bagus tapi seing error utk nambah usulan penerima bantuan tidak bisa</v>
      </c>
      <c r="G389" s="18" t="str">
        <f>IFERROR(__xludf.DUMMYFUNCTION("REGEXREPLACE(F389,$A$7, )"),"bagus tapi seing error utk nambah usulan penerima bantuan tidak bisa")</f>
        <v>bagus tapi seing error utk nambah usulan penerima bantuan tidak bisa</v>
      </c>
      <c r="H389" s="17" t="str">
        <f t="shared" si="1"/>
        <v>bagus tapi seing error utk nambah usulan penerima bantuan tidak bisa</v>
      </c>
    </row>
    <row r="390">
      <c r="A390" s="16" t="s">
        <v>385</v>
      </c>
      <c r="B390" s="17" t="str">
        <f>IFERROR(__xludf.DUMMYFUNCTION("REGEXREPLACE(A390,$A$2, )"),"Kuwota mepet.ga pernah dpt bantuan.pengen daftar,setelah dowdlod notif maaf ada perbaikan sistem😃")</f>
        <v>Kuwota mepet.ga pernah dpt bantuan.pengen daftar,setelah dowdlod notif maaf ada perbaikan sistem😃</v>
      </c>
      <c r="C390" s="17" t="str">
        <f>IFERROR(__xludf.DUMMYFUNCTION("REGEXREPLACE(B390,$A$3, )"),"Kuwota mepet.ga pernah dpt bantuan.pengen daftar,setelah dowdlod notif maaf ada perbaikan sistem😃")</f>
        <v>Kuwota mepet.ga pernah dpt bantuan.pengen daftar,setelah dowdlod notif maaf ada perbaikan sistem😃</v>
      </c>
      <c r="D390" s="17" t="str">
        <f>IFERROR(__xludf.DUMMYFUNCTION("REGEXREPLACE(C390,$A$4, )"),"Kuwota mepet.ga pernah dpt bantuan.pengen daftar,setelah dowdlod notif maaf ada perbaikan sistem😃")</f>
        <v>Kuwota mepet.ga pernah dpt bantuan.pengen daftar,setelah dowdlod notif maaf ada perbaikan sistem😃</v>
      </c>
      <c r="E390" s="17" t="str">
        <f>IFERROR(__xludf.DUMMYFUNCTION("REGEXREPLACE(D390,$A$5, )"),"Kuwota mepet.ga pernah dpt bantuan.pengen daftar,setelah dowdlod notif maaf ada perbaikan sistem😃")</f>
        <v>Kuwota mepet.ga pernah dpt bantuan.pengen daftar,setelah dowdlod notif maaf ada perbaikan sistem😃</v>
      </c>
      <c r="F390" s="17" t="str">
        <f>IFERROR(__xludf.DUMMYFUNCTION("REGEXREPLACE(E390,$A$6, )"),"Kuwota mepetga pernah dpt bantuanpengen daftarsetelah dowdlod notif maaf ada perbaikan sistem😃")</f>
        <v>Kuwota mepetga pernah dpt bantuanpengen daftarsetelah dowdlod notif maaf ada perbaikan sistem😃</v>
      </c>
      <c r="G390" s="18" t="str">
        <f>IFERROR(__xludf.DUMMYFUNCTION("REGEXREPLACE(F390,$A$7, )"),"Kuwota mepetga pernah dpt bantuanpengen daftarsetelah dowdlod notif maaf ada perbaikan sistem")</f>
        <v>Kuwota mepetga pernah dpt bantuanpengen daftarsetelah dowdlod notif maaf ada perbaikan sistem</v>
      </c>
      <c r="H390" s="17" t="str">
        <f t="shared" si="1"/>
        <v>kuwota mepetga pernah dpt bantuanpengen daftarsetelah dowdlod notif maaf ada perbaikan sistem</v>
      </c>
    </row>
    <row r="391">
      <c r="A391" s="16" t="s">
        <v>386</v>
      </c>
      <c r="B391" s="17" t="str">
        <f>IFERROR(__xludf.DUMMYFUNCTION("REGEXREPLACE(A391,$A$2, )"),"Aplikasi nya error tak bisa dibuka kenapa ya.")</f>
        <v>Aplikasi nya error tak bisa dibuka kenapa ya.</v>
      </c>
      <c r="C391" s="17" t="str">
        <f>IFERROR(__xludf.DUMMYFUNCTION("REGEXREPLACE(B391,$A$3, )"),"Aplikasi nya error tak bisa dibuka kenapa ya.")</f>
        <v>Aplikasi nya error tak bisa dibuka kenapa ya.</v>
      </c>
      <c r="D391" s="17" t="str">
        <f>IFERROR(__xludf.DUMMYFUNCTION("REGEXREPLACE(C391,$A$4, )"),"Aplikasi nya error tak bisa dibuka kenapa ya.")</f>
        <v>Aplikasi nya error tak bisa dibuka kenapa ya.</v>
      </c>
      <c r="E391" s="17" t="str">
        <f>IFERROR(__xludf.DUMMYFUNCTION("REGEXREPLACE(D391,$A$5, )"),"Aplikasi nya error tak bisa dibuka kenapa ya.")</f>
        <v>Aplikasi nya error tak bisa dibuka kenapa ya.</v>
      </c>
      <c r="F391" s="17" t="str">
        <f>IFERROR(__xludf.DUMMYFUNCTION("REGEXREPLACE(E391,$A$6, )"),"Aplikasi nya error tak bisa dibuka kenapa ya")</f>
        <v>Aplikasi nya error tak bisa dibuka kenapa ya</v>
      </c>
      <c r="G391" s="18" t="str">
        <f>IFERROR(__xludf.DUMMYFUNCTION("REGEXREPLACE(F391,$A$7, )"),"Aplikasi nya error tak bisa dibuka kenapa ya")</f>
        <v>Aplikasi nya error tak bisa dibuka kenapa ya</v>
      </c>
      <c r="H391" s="17" t="str">
        <f t="shared" si="1"/>
        <v>aplikasi nya error tak bisa dibuka kenapa ya</v>
      </c>
    </row>
    <row r="392">
      <c r="A392" s="16" t="s">
        <v>387</v>
      </c>
      <c r="B392" s="17" t="str">
        <f>IFERROR(__xludf.DUMMYFUNCTION("REGEXREPLACE(A392,$A$2, )"),"Baru mau daftar langsung error knp ya mohon bantuan nya")</f>
        <v>Baru mau daftar langsung error knp ya mohon bantuan nya</v>
      </c>
      <c r="C392" s="17" t="str">
        <f>IFERROR(__xludf.DUMMYFUNCTION("REGEXREPLACE(B392,$A$3, )"),"Baru mau daftar langsung error knp ya mohon bantuan nya")</f>
        <v>Baru mau daftar langsung error knp ya mohon bantuan nya</v>
      </c>
      <c r="D392" s="17" t="str">
        <f>IFERROR(__xludf.DUMMYFUNCTION("REGEXREPLACE(C392,$A$4, )"),"Baru mau daftar langsung error knp ya mohon bantuan nya")</f>
        <v>Baru mau daftar langsung error knp ya mohon bantuan nya</v>
      </c>
      <c r="E392" s="17" t="str">
        <f>IFERROR(__xludf.DUMMYFUNCTION("REGEXREPLACE(D392,$A$5, )"),"Baru mau daftar langsung error knp ya mohon bantuan nya")</f>
        <v>Baru mau daftar langsung error knp ya mohon bantuan nya</v>
      </c>
      <c r="F392" s="17" t="str">
        <f>IFERROR(__xludf.DUMMYFUNCTION("REGEXREPLACE(E392,$A$6, )"),"Baru mau daftar langsung error knp ya mohon bantuan nya")</f>
        <v>Baru mau daftar langsung error knp ya mohon bantuan nya</v>
      </c>
      <c r="G392" s="18" t="str">
        <f>IFERROR(__xludf.DUMMYFUNCTION("REGEXREPLACE(F392,$A$7, )"),"Baru mau daftar langsung error knp ya mohon bantuan nya")</f>
        <v>Baru mau daftar langsung error knp ya mohon bantuan nya</v>
      </c>
      <c r="H392" s="17" t="str">
        <f t="shared" si="1"/>
        <v>baru mau daftar langsung error knp ya mohon bantuan nya</v>
      </c>
    </row>
    <row r="393">
      <c r="A393" s="16" t="s">
        <v>388</v>
      </c>
      <c r="B393" s="17" t="str">
        <f>IFERROR(__xludf.DUMMYFUNCTION("REGEXREPLACE(A393,$A$2, )"),"Sangat membantu,,,,, admin tolong kasih petunjuk keluarga saya ada yang kepencet bukan keluarga bgai mana untuk kemblikan nya lagi terimksh,,,")</f>
        <v>Sangat membantu,,,,, admin tolong kasih petunjuk keluarga saya ada yang kepencet bukan keluarga bgai mana untuk kemblikan nya lagi terimksh,,,</v>
      </c>
      <c r="C393" s="17" t="str">
        <f>IFERROR(__xludf.DUMMYFUNCTION("REGEXREPLACE(B393,$A$3, )"),"Sangat membantu,,,,, admin tolong kasih petunjuk keluarga saya ada yang kepencet bukan keluarga bgai mana untuk kemblikan nya lagi terimksh,,,")</f>
        <v>Sangat membantu,,,,, admin tolong kasih petunjuk keluarga saya ada yang kepencet bukan keluarga bgai mana untuk kemblikan nya lagi terimksh,,,</v>
      </c>
      <c r="D393" s="17" t="str">
        <f>IFERROR(__xludf.DUMMYFUNCTION("REGEXREPLACE(C393,$A$4, )"),"Sangat membantu,,,,, admin tolong kasih petunjuk keluarga saya ada yang kepencet bukan keluarga bgai mana untuk kemblikan nya lagi terimksh,,,")</f>
        <v>Sangat membantu,,,,, admin tolong kasih petunjuk keluarga saya ada yang kepencet bukan keluarga bgai mana untuk kemblikan nya lagi terimksh,,,</v>
      </c>
      <c r="E393" s="17" t="str">
        <f>IFERROR(__xludf.DUMMYFUNCTION("REGEXREPLACE(D393,$A$5, )"),"Sangat membantu,,,,, admin tolong kasih petunjuk keluarga saya ada yang kepencet bukan keluarga bgai mana untuk kemblikan nya lagi terimksh,,,")</f>
        <v>Sangat membantu,,,,, admin tolong kasih petunjuk keluarga saya ada yang kepencet bukan keluarga bgai mana untuk kemblikan nya lagi terimksh,,,</v>
      </c>
      <c r="F393" s="17" t="str">
        <f>IFERROR(__xludf.DUMMYFUNCTION("REGEXREPLACE(E393,$A$6, )"),"Sangat membantu admin tolong kasih petunjuk keluarga saya ada yang kepencet bukan keluarga bgai mana untuk kemblikan nya lagi terimksh")</f>
        <v>Sangat membantu admin tolong kasih petunjuk keluarga saya ada yang kepencet bukan keluarga bgai mana untuk kemblikan nya lagi terimksh</v>
      </c>
      <c r="G393" s="18" t="str">
        <f>IFERROR(__xludf.DUMMYFUNCTION("REGEXREPLACE(F393,$A$7, )"),"Sangat membantu admin tolong kasih petunjuk keluarga saya ada yang kepencet bukan keluarga bgai mana untuk kemblikan nya lagi terimksh")</f>
        <v>Sangat membantu admin tolong kasih petunjuk keluarga saya ada yang kepencet bukan keluarga bgai mana untuk kemblikan nya lagi terimksh</v>
      </c>
      <c r="H393" s="17" t="str">
        <f t="shared" si="1"/>
        <v>sangat membantu admin tolong kasih petunjuk keluarga saya ada yang kepencet bukan keluarga bgai mana untuk kemblikan nya lagi terimksh</v>
      </c>
    </row>
    <row r="394">
      <c r="A394" s="16" t="s">
        <v>389</v>
      </c>
      <c r="B394" s="17" t="str">
        <f>IFERROR(__xludf.DUMMYFUNCTION("REGEXREPLACE(A394,$A$2, )"),"Aplikasi kurang bermutu.. kebanyakan eror..hapus jaa deh gk bermanfaat")</f>
        <v>Aplikasi kurang bermutu.. kebanyakan eror..hapus jaa deh gk bermanfaat</v>
      </c>
      <c r="C394" s="17" t="str">
        <f>IFERROR(__xludf.DUMMYFUNCTION("REGEXREPLACE(B394,$A$3, )"),"Aplikasi kurang bermutu.. kebanyakan eror..hapus jaa deh gk bermanfaat")</f>
        <v>Aplikasi kurang bermutu.. kebanyakan eror..hapus jaa deh gk bermanfaat</v>
      </c>
      <c r="D394" s="17" t="str">
        <f>IFERROR(__xludf.DUMMYFUNCTION("REGEXREPLACE(C394,$A$4, )"),"Aplikasi kurang bermutu.. kebanyakan eror..hapus jaa deh gk bermanfaat")</f>
        <v>Aplikasi kurang bermutu.. kebanyakan eror..hapus jaa deh gk bermanfaat</v>
      </c>
      <c r="E394" s="17" t="str">
        <f>IFERROR(__xludf.DUMMYFUNCTION("REGEXREPLACE(D394,$A$5, )"),"Aplikasi kurang bermutu.. kebanyakan eror..hapus jaa deh gk bermanfaat")</f>
        <v>Aplikasi kurang bermutu.. kebanyakan eror..hapus jaa deh gk bermanfaat</v>
      </c>
      <c r="F394" s="17" t="str">
        <f>IFERROR(__xludf.DUMMYFUNCTION("REGEXREPLACE(E394,$A$6, )"),"Aplikasi kurang bermutu kebanyakan erorhapus jaa deh gk bermanfaat")</f>
        <v>Aplikasi kurang bermutu kebanyakan erorhapus jaa deh gk bermanfaat</v>
      </c>
      <c r="G394" s="18" t="str">
        <f>IFERROR(__xludf.DUMMYFUNCTION("REGEXREPLACE(F394,$A$7, )"),"Aplikasi kurang bermutu kebanyakan erorhapus jaa deh gk bermanfaat")</f>
        <v>Aplikasi kurang bermutu kebanyakan erorhapus jaa deh gk bermanfaat</v>
      </c>
      <c r="H394" s="17" t="str">
        <f t="shared" si="1"/>
        <v>aplikasi kurang bermutu kebanyakan erorhapus jaa deh gk bermanfaat</v>
      </c>
    </row>
    <row r="395">
      <c r="A395" s="16" t="s">
        <v>390</v>
      </c>
      <c r="B395" s="17" t="str">
        <f>IFERROR(__xludf.DUMMYFUNCTION("REGEXREPLACE(A395,$A$2, )"),"Cara log in nya gimana ya?? aplikasi ini sebenernya dari dinsos resmi atau bukan,atau hanya orang iseng yang buat?dari sekian banyak pertanyaan tidak ada yang direspon sama sekali! tolonglah hidup di negara ini sudah sulit jangan lagi dipersulit dengan ha"&amp;"rapan harapan yang tidak pasti seperti ini,tolong untuk bapak/ibu kementrian sosial cobalah cek kebenaran data data penerima bantuan itu,kebanyakan dari mereka itu orang orang mampu 🙏")</f>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c r="C395" s="17" t="str">
        <f>IFERROR(__xludf.DUMMYFUNCTION("REGEXREPLACE(B395,$A$3, )"),"Cara log in nya gimana ya?? aplikasi ini sebenernya dari dinsos resmi atau bukan,atau hanya orang iseng yang buat?dari sekian banyak pertanyaan tidak ada yang direspon sama sekali! tolonglah hidup di negara ini sudah sulit jangan lagi dipersulit dengan ha"&amp;"rapan harapan yang tidak pasti seperti ini,tolong untuk bapak/ibu kementrian sosial cobalah cek kebenaran data data penerima bantuan itu,kebanyakan dari mereka itu orang orang mampu 🙏")</f>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c r="D395" s="17" t="str">
        <f>IFERROR(__xludf.DUMMYFUNCTION("REGEXREPLACE(C395,$A$4, )"),"Cara log in nya gimana ya?? aplikasi ini sebenernya dari dinsos resmi atau bukan,atau hanya orang iseng yang buat?dari sekian banyak pertanyaan tidak ada yang direspon sama sekali! tolonglah hidup di negara ini sudah sulit jangan lagi dipersulit dengan ha"&amp;"rapan harapan yang tidak pasti seperti ini,tolong untuk bapak/ibu kementrian sosial cobalah cek kebenaran data data penerima bantuan itu,kebanyakan dari mereka itu orang orang mampu 🙏")</f>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c r="E395" s="17" t="str">
        <f>IFERROR(__xludf.DUMMYFUNCTION("REGEXREPLACE(D395,$A$5, )"),"Cara log in nya gimana ya?? aplikasi ini sebenernya dari dinsos resmi atau bukan,atau hanya orang iseng yang buat?dari sekian banyak pertanyaan tidak ada yang direspon sama sekali! tolonglah hidup di negara ini sudah sulit jangan lagi dipersulit dengan ha"&amp;"rapan harapan yang tidak pasti seperti ini,tolong untuk bapak/ibu kementrian sosial cobalah cek kebenaran data data penerima bantuan itu,kebanyakan dari mereka itu orang orang mampu 🙏")</f>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c r="F395" s="17" t="str">
        <f>IFERROR(__xludf.DUMMYFUNCTION("REGEXREPLACE(E395,$A$6, )"),"Cara log in nya gimana ya aplikasi ini sebenernya dari dinsos resmi atau bukanatau hanya orang iseng yang buatdari sekian banyak pertanyaan tidak ada yang direspon sama sekali tolonglah hidup di negara ini sudah sulit jangan lagi dipersulit dengan harapan"&amp;" harapan yang tidak pasti seperti initolong untuk bapakibu kementrian sosial cobalah cek kebenaran data data penerima bantuan itukebanyakan dari mereka itu orang orang mampu 🙏")</f>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c r="G395" s="18" t="str">
        <f>IFERROR(__xludf.DUMMYFUNCTION("REGEXREPLACE(F395,$A$7, )"),"Cara log in nya gimana ya aplikasi ini sebenernya dari dinsos resmi atau bukanatau hanya orang iseng yang buatdari sekian banyak pertanyaan tidak ada yang direspon sama sekali tolonglah hidup di negara ini sudah sulit jangan lagi dipersulit dengan harapan"&amp;" harapan yang tidak pasti seperti initolong untuk bapakibu kementrian sosial cobalah cek kebenaran data data penerima bantuan itukebanyakan dari mereka itu orang orang mampu ")</f>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c r="H395" s="17" t="str">
        <f t="shared" si="1"/>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row>
    <row r="396">
      <c r="A396" s="16" t="s">
        <v>391</v>
      </c>
      <c r="B396" s="17" t="str">
        <f>IFERROR(__xludf.DUMMYFUNCTION("REGEXREPLACE(A396,$A$2, )"),"minta bantuan nya gabisa login terus")</f>
        <v>minta bantuan nya gabisa login terus</v>
      </c>
      <c r="C396" s="17" t="str">
        <f>IFERROR(__xludf.DUMMYFUNCTION("REGEXREPLACE(B396,$A$3, )"),"minta bantuan nya gabisa login terus")</f>
        <v>minta bantuan nya gabisa login terus</v>
      </c>
      <c r="D396" s="17" t="str">
        <f>IFERROR(__xludf.DUMMYFUNCTION("REGEXREPLACE(C396,$A$4, )"),"minta bantuan nya gabisa login terus")</f>
        <v>minta bantuan nya gabisa login terus</v>
      </c>
      <c r="E396" s="17" t="str">
        <f>IFERROR(__xludf.DUMMYFUNCTION("REGEXREPLACE(D396,$A$5, )"),"minta bantuan nya gabisa login terus")</f>
        <v>minta bantuan nya gabisa login terus</v>
      </c>
      <c r="F396" s="17" t="str">
        <f>IFERROR(__xludf.DUMMYFUNCTION("REGEXREPLACE(E396,$A$6, )"),"minta bantuan nya gabisa login terus")</f>
        <v>minta bantuan nya gabisa login terus</v>
      </c>
      <c r="G396" s="18" t="str">
        <f>IFERROR(__xludf.DUMMYFUNCTION("REGEXREPLACE(F396,$A$7, )"),"minta bantuan nya gabisa login terus")</f>
        <v>minta bantuan nya gabisa login terus</v>
      </c>
      <c r="H396" s="17" t="str">
        <f t="shared" si="1"/>
        <v>minta bantuan nya gabisa login terus</v>
      </c>
    </row>
    <row r="397">
      <c r="A397" s="16" t="s">
        <v>392</v>
      </c>
      <c r="B397" s="17" t="str">
        <f>IFERROR(__xludf.DUMMYFUNCTION("REGEXREPLACE(A397,$A$2, )"),"Tidak bisa daftar di aplikasinya")</f>
        <v>Tidak bisa daftar di aplikasinya</v>
      </c>
      <c r="C397" s="17" t="str">
        <f>IFERROR(__xludf.DUMMYFUNCTION("REGEXREPLACE(B397,$A$3, )"),"Tidak bisa daftar di aplikasinya")</f>
        <v>Tidak bisa daftar di aplikasinya</v>
      </c>
      <c r="D397" s="17" t="str">
        <f>IFERROR(__xludf.DUMMYFUNCTION("REGEXREPLACE(C397,$A$4, )"),"Tidak bisa daftar di aplikasinya")</f>
        <v>Tidak bisa daftar di aplikasinya</v>
      </c>
      <c r="E397" s="17" t="str">
        <f>IFERROR(__xludf.DUMMYFUNCTION("REGEXREPLACE(D397,$A$5, )"),"Tidak bisa daftar di aplikasinya")</f>
        <v>Tidak bisa daftar di aplikasinya</v>
      </c>
      <c r="F397" s="17" t="str">
        <f>IFERROR(__xludf.DUMMYFUNCTION("REGEXREPLACE(E397,$A$6, )"),"Tidak bisa daftar di aplikasinya")</f>
        <v>Tidak bisa daftar di aplikasinya</v>
      </c>
      <c r="G397" s="18" t="str">
        <f>IFERROR(__xludf.DUMMYFUNCTION("REGEXREPLACE(F397,$A$7, )"),"Tidak bisa daftar di aplikasinya")</f>
        <v>Tidak bisa daftar di aplikasinya</v>
      </c>
      <c r="H397" s="17" t="str">
        <f t="shared" si="1"/>
        <v>tidak bisa daftar di aplikasinya</v>
      </c>
    </row>
    <row r="398">
      <c r="A398" s="16" t="s">
        <v>393</v>
      </c>
      <c r="B398" s="17" t="str">
        <f>IFERROR(__xludf.DUMMYFUNCTION("REGEXREPLACE(A398,$A$2, )"),"Sudah diaktifasi ,tapi login kagak bisa,.")</f>
        <v>Sudah diaktifasi ,tapi login kagak bisa,.</v>
      </c>
      <c r="C398" s="17" t="str">
        <f>IFERROR(__xludf.DUMMYFUNCTION("REGEXREPLACE(B398,$A$3, )"),"Sudah diaktifasi ,tapi login kagak bisa,.")</f>
        <v>Sudah diaktifasi ,tapi login kagak bisa,.</v>
      </c>
      <c r="D398" s="17" t="str">
        <f>IFERROR(__xludf.DUMMYFUNCTION("REGEXREPLACE(C398,$A$4, )"),"Sudah diaktifasi ,tapi login kagak bisa,.")</f>
        <v>Sudah diaktifasi ,tapi login kagak bisa,.</v>
      </c>
      <c r="E398" s="17" t="str">
        <f>IFERROR(__xludf.DUMMYFUNCTION("REGEXREPLACE(D398,$A$5, )"),"Sudah diaktifasi ,tapi login kagak bisa,.")</f>
        <v>Sudah diaktifasi ,tapi login kagak bisa,.</v>
      </c>
      <c r="F398" s="17" t="str">
        <f>IFERROR(__xludf.DUMMYFUNCTION("REGEXREPLACE(E398,$A$6, )"),"Sudah diaktifasi tapi login kagak bisa")</f>
        <v>Sudah diaktifasi tapi login kagak bisa</v>
      </c>
      <c r="G398" s="18" t="str">
        <f>IFERROR(__xludf.DUMMYFUNCTION("REGEXREPLACE(F398,$A$7, )"),"Sudah diaktifasi tapi login kagak bisa")</f>
        <v>Sudah diaktifasi tapi login kagak bisa</v>
      </c>
      <c r="H398" s="17" t="str">
        <f t="shared" si="1"/>
        <v>sudah diaktifasi tapi login kagak bisa</v>
      </c>
    </row>
    <row r="399">
      <c r="A399" s="16" t="s">
        <v>394</v>
      </c>
      <c r="B399" s="17" t="str">
        <f>IFERROR(__xludf.DUMMYFUNCTION("REGEXREPLACE(A399,$A$2, )"),"Tolong di pebaiki buat login gk bisa pdahal pendaftaran udah di proses")</f>
        <v>Tolong di pebaiki buat login gk bisa pdahal pendaftaran udah di proses</v>
      </c>
      <c r="C399" s="17" t="str">
        <f>IFERROR(__xludf.DUMMYFUNCTION("REGEXREPLACE(B399,$A$3, )"),"Tolong di pebaiki buat login gk bisa pdahal pendaftaran udah di proses")</f>
        <v>Tolong di pebaiki buat login gk bisa pdahal pendaftaran udah di proses</v>
      </c>
      <c r="D399" s="17" t="str">
        <f>IFERROR(__xludf.DUMMYFUNCTION("REGEXREPLACE(C399,$A$4, )"),"Tolong di pebaiki buat login gk bisa pdahal pendaftaran udah di proses")</f>
        <v>Tolong di pebaiki buat login gk bisa pdahal pendaftaran udah di proses</v>
      </c>
      <c r="E399" s="17" t="str">
        <f>IFERROR(__xludf.DUMMYFUNCTION("REGEXREPLACE(D399,$A$5, )"),"Tolong di pebaiki buat login gk bisa pdahal pendaftaran udah di proses")</f>
        <v>Tolong di pebaiki buat login gk bisa pdahal pendaftaran udah di proses</v>
      </c>
      <c r="F399" s="17" t="str">
        <f>IFERROR(__xludf.DUMMYFUNCTION("REGEXREPLACE(E399,$A$6, )"),"Tolong di pebaiki buat login gk bisa pdahal pendaftaran udah di proses")</f>
        <v>Tolong di pebaiki buat login gk bisa pdahal pendaftaran udah di proses</v>
      </c>
      <c r="G399" s="18" t="str">
        <f>IFERROR(__xludf.DUMMYFUNCTION("REGEXREPLACE(F399,$A$7, )"),"Tolong di pebaiki buat login gk bisa pdahal pendaftaran udah di proses")</f>
        <v>Tolong di pebaiki buat login gk bisa pdahal pendaftaran udah di proses</v>
      </c>
      <c r="H399" s="17" t="str">
        <f t="shared" si="1"/>
        <v>tolong di pebaiki buat login gk bisa pdahal pendaftaran udah di proses</v>
      </c>
    </row>
    <row r="400">
      <c r="A400" s="16" t="s">
        <v>395</v>
      </c>
      <c r="B400" s="17" t="str">
        <f>IFERROR(__xludf.DUMMYFUNCTION("REGEXREPLACE(A400,$A$2, )"),"Tidak bisa daftar aplikasi error")</f>
        <v>Tidak bisa daftar aplikasi error</v>
      </c>
      <c r="C400" s="17" t="str">
        <f>IFERROR(__xludf.DUMMYFUNCTION("REGEXREPLACE(B400,$A$3, )"),"Tidak bisa daftar aplikasi error")</f>
        <v>Tidak bisa daftar aplikasi error</v>
      </c>
      <c r="D400" s="17" t="str">
        <f>IFERROR(__xludf.DUMMYFUNCTION("REGEXREPLACE(C400,$A$4, )"),"Tidak bisa daftar aplikasi error")</f>
        <v>Tidak bisa daftar aplikasi error</v>
      </c>
      <c r="E400" s="17" t="str">
        <f>IFERROR(__xludf.DUMMYFUNCTION("REGEXREPLACE(D400,$A$5, )"),"Tidak bisa daftar aplikasi error")</f>
        <v>Tidak bisa daftar aplikasi error</v>
      </c>
      <c r="F400" s="17" t="str">
        <f>IFERROR(__xludf.DUMMYFUNCTION("REGEXREPLACE(E400,$A$6, )"),"Tidak bisa daftar aplikasi error")</f>
        <v>Tidak bisa daftar aplikasi error</v>
      </c>
      <c r="G400" s="18" t="str">
        <f>IFERROR(__xludf.DUMMYFUNCTION("REGEXREPLACE(F400,$A$7, )"),"Tidak bisa daftar aplikasi error")</f>
        <v>Tidak bisa daftar aplikasi error</v>
      </c>
      <c r="H400" s="17" t="str">
        <f t="shared" si="1"/>
        <v>tidak bisa daftar aplikasi error</v>
      </c>
    </row>
    <row r="401">
      <c r="A401" s="16" t="s">
        <v>396</v>
      </c>
      <c r="B401" s="17" t="str">
        <f>IFERROR(__xludf.DUMMYFUNCTION("REGEXREPLACE(A401,$A$2, )"),"Sudah berkali-kali daftar dan GAGAL selalu ada tulisan ""apk error hubungi admin"" boleh tau adminya yg mana biar saya hubungi terimakasih")</f>
        <v>Sudah berkali-kali daftar dan GAGAL selalu ada tulisan "apk error hubungi admin" boleh tau adminya yg mana biar saya hubungi terimakasih</v>
      </c>
      <c r="C401" s="17" t="str">
        <f>IFERROR(__xludf.DUMMYFUNCTION("REGEXREPLACE(B401,$A$3, )"),"Sudah berkali-kali daftar dan GAGAL selalu ada tulisan ""apk error hubungi admin"" boleh tau adminya yg mana biar saya hubungi terimakasih")</f>
        <v>Sudah berkali-kali daftar dan GAGAL selalu ada tulisan "apk error hubungi admin" boleh tau adminya yg mana biar saya hubungi terimakasih</v>
      </c>
      <c r="D401" s="17" t="str">
        <f>IFERROR(__xludf.DUMMYFUNCTION("REGEXREPLACE(C401,$A$4, )"),"Sudah berkali-kali daftar dan GAGAL selalu ada tulisan ""apk error hubungi admin"" boleh tau adminya yg mana biar saya hubungi terimakasih")</f>
        <v>Sudah berkali-kali daftar dan GAGAL selalu ada tulisan "apk error hubungi admin" boleh tau adminya yg mana biar saya hubungi terimakasih</v>
      </c>
      <c r="E401" s="17" t="str">
        <f>IFERROR(__xludf.DUMMYFUNCTION("REGEXREPLACE(D401,$A$5, )"),"Sudah berkali-kali daftar dan GAGAL selalu ada tulisan ""apk error hubungi admin"" boleh tau adminya yg mana biar saya hubungi terimakasih")</f>
        <v>Sudah berkali-kali daftar dan GAGAL selalu ada tulisan "apk error hubungi admin" boleh tau adminya yg mana biar saya hubungi terimakasih</v>
      </c>
      <c r="F401" s="17" t="str">
        <f>IFERROR(__xludf.DUMMYFUNCTION("REGEXREPLACE(E401,$A$6, )"),"Sudah berkalikali daftar dan GAGAL selalu ada tulisan apk error hubungi admin boleh tau adminya yg mana biar saya hubungi terimakasih")</f>
        <v>Sudah berkalikali daftar dan GAGAL selalu ada tulisan apk error hubungi admin boleh tau adminya yg mana biar saya hubungi terimakasih</v>
      </c>
      <c r="G401" s="18" t="str">
        <f>IFERROR(__xludf.DUMMYFUNCTION("REGEXREPLACE(F401,$A$7, )"),"Sudah berkalikali daftar dan GAGAL selalu ada tulisan apk error hubungi admin boleh tau adminya yg mana biar saya hubungi terimakasih")</f>
        <v>Sudah berkalikali daftar dan GAGAL selalu ada tulisan apk error hubungi admin boleh tau adminya yg mana biar saya hubungi terimakasih</v>
      </c>
      <c r="H401" s="17" t="str">
        <f t="shared" si="1"/>
        <v>sudah berkalikali daftar dan gagal selalu ada tulisan apk error hubungi admin boleh tau adminya yg mana biar saya hubungi terimakasih</v>
      </c>
    </row>
    <row r="402">
      <c r="A402" s="16" t="s">
        <v>397</v>
      </c>
      <c r="B402" s="17" t="str">
        <f>IFERROR(__xludf.DUMMYFUNCTION("REGEXREPLACE(A402,$A$2, )"),"Nggak bisa daftar. Error terus, harus hubungi admin. ADMINNNN MANA ADMIIINNN 🤪")</f>
        <v>Nggak bisa daftar. Error terus, harus hubungi admin. ADMINNNN MANA ADMIIINNN 🤪</v>
      </c>
      <c r="C402" s="17" t="str">
        <f>IFERROR(__xludf.DUMMYFUNCTION("REGEXREPLACE(B402,$A$3, )"),"Nggak bisa daftar. Error terus, harus hubungi admin. ADMINNNN MANA ADMIIINNN 🤪")</f>
        <v>Nggak bisa daftar. Error terus, harus hubungi admin. ADMINNNN MANA ADMIIINNN 🤪</v>
      </c>
      <c r="D402" s="17" t="str">
        <f>IFERROR(__xludf.DUMMYFUNCTION("REGEXREPLACE(C402,$A$4, )"),"Nggak bisa daftar. Error terus, harus hubungi admin. ADMINNNN MANA ADMIIINNN 🤪")</f>
        <v>Nggak bisa daftar. Error terus, harus hubungi admin. ADMINNNN MANA ADMIIINNN 🤪</v>
      </c>
      <c r="E402" s="17" t="str">
        <f>IFERROR(__xludf.DUMMYFUNCTION("REGEXREPLACE(D402,$A$5, )"),"Nggak bisa daftar. Error terus, harus hubungi admin. ADMINNNN MANA ADMIIINNN 🤪")</f>
        <v>Nggak bisa daftar. Error terus, harus hubungi admin. ADMINNNN MANA ADMIIINNN 🤪</v>
      </c>
      <c r="F402" s="17" t="str">
        <f>IFERROR(__xludf.DUMMYFUNCTION("REGEXREPLACE(E402,$A$6, )"),"Nggak bisa daftar Error terus harus hubungi admin ADMINNNN MANA ADMIIINNN 🤪")</f>
        <v>Nggak bisa daftar Error terus harus hubungi admin ADMINNNN MANA ADMIIINNN 🤪</v>
      </c>
      <c r="G402" s="18" t="str">
        <f>IFERROR(__xludf.DUMMYFUNCTION("REGEXREPLACE(F402,$A$7, )"),"Nggak bisa daftar Error terus harus hubungi admin ADMINNNN MANA ADMIIINNN ")</f>
        <v>Nggak bisa daftar Error terus harus hubungi admin ADMINNNN MANA ADMIIINNN </v>
      </c>
      <c r="H402" s="17" t="str">
        <f t="shared" si="1"/>
        <v>nggak bisa daftar error terus harus hubungi admin adminnnn mana admiiinnn </v>
      </c>
    </row>
    <row r="403">
      <c r="A403" s="16" t="s">
        <v>398</v>
      </c>
      <c r="B403" s="17" t="str">
        <f>IFERROR(__xludf.DUMMYFUNCTION("REGEXREPLACE(A403,$A$2, )"),"ga jelas ga bisa daftar eror mulu")</f>
        <v>ga jelas ga bisa daftar eror mulu</v>
      </c>
      <c r="C403" s="17" t="str">
        <f>IFERROR(__xludf.DUMMYFUNCTION("REGEXREPLACE(B403,$A$3, )"),"ga jelas ga bisa daftar eror mulu")</f>
        <v>ga jelas ga bisa daftar eror mulu</v>
      </c>
      <c r="D403" s="17" t="str">
        <f>IFERROR(__xludf.DUMMYFUNCTION("REGEXREPLACE(C403,$A$4, )"),"ga jelas ga bisa daftar eror mulu")</f>
        <v>ga jelas ga bisa daftar eror mulu</v>
      </c>
      <c r="E403" s="17" t="str">
        <f>IFERROR(__xludf.DUMMYFUNCTION("REGEXREPLACE(D403,$A$5, )"),"ga jelas ga bisa daftar eror mulu")</f>
        <v>ga jelas ga bisa daftar eror mulu</v>
      </c>
      <c r="F403" s="17" t="str">
        <f>IFERROR(__xludf.DUMMYFUNCTION("REGEXREPLACE(E403,$A$6, )"),"ga jelas ga bisa daftar eror mulu")</f>
        <v>ga jelas ga bisa daftar eror mulu</v>
      </c>
      <c r="G403" s="18" t="str">
        <f>IFERROR(__xludf.DUMMYFUNCTION("REGEXREPLACE(F403,$A$7, )"),"ga jelas ga bisa daftar eror mulu")</f>
        <v>ga jelas ga bisa daftar eror mulu</v>
      </c>
      <c r="H403" s="17" t="str">
        <f t="shared" si="1"/>
        <v>ga jelas ga bisa daftar eror mulu</v>
      </c>
    </row>
    <row r="404">
      <c r="A404" s="16" t="s">
        <v>399</v>
      </c>
      <c r="B404" s="17" t="str">
        <f>IFERROR(__xludf.DUMMYFUNCTION("REGEXREPLACE(A404,$A$2, )"),"Pliss lah aku mau daftar aja susah Tolong perbaikilah")</f>
        <v>Pliss lah aku mau daftar aja susah Tolong perbaikilah</v>
      </c>
      <c r="C404" s="17" t="str">
        <f>IFERROR(__xludf.DUMMYFUNCTION("REGEXREPLACE(B404,$A$3, )"),"Pliss lah aku mau daftar aja susah Tolong perbaikilah")</f>
        <v>Pliss lah aku mau daftar aja susah Tolong perbaikilah</v>
      </c>
      <c r="D404" s="17" t="str">
        <f>IFERROR(__xludf.DUMMYFUNCTION("REGEXREPLACE(C404,$A$4, )"),"Pliss lah aku mau daftar aja susah Tolong perbaikilah")</f>
        <v>Pliss lah aku mau daftar aja susah Tolong perbaikilah</v>
      </c>
      <c r="E404" s="17" t="str">
        <f>IFERROR(__xludf.DUMMYFUNCTION("REGEXREPLACE(D404,$A$5, )"),"Pliss lah aku mau daftar aja susah Tolong perbaikilah")</f>
        <v>Pliss lah aku mau daftar aja susah Tolong perbaikilah</v>
      </c>
      <c r="F404" s="17" t="str">
        <f>IFERROR(__xludf.DUMMYFUNCTION("REGEXREPLACE(E404,$A$6, )"),"Pliss lah aku mau daftar aja susah Tolong perbaikilah")</f>
        <v>Pliss lah aku mau daftar aja susah Tolong perbaikilah</v>
      </c>
      <c r="G404" s="18" t="str">
        <f>IFERROR(__xludf.DUMMYFUNCTION("REGEXREPLACE(F404,$A$7, )"),"Pliss lah aku mau daftar aja susah Tolong perbaikilah")</f>
        <v>Pliss lah aku mau daftar aja susah Tolong perbaikilah</v>
      </c>
      <c r="H404" s="17" t="str">
        <f t="shared" si="1"/>
        <v>pliss lah aku mau daftar aja susah tolong perbaikilah</v>
      </c>
    </row>
    <row r="405">
      <c r="A405" s="16" t="s">
        <v>400</v>
      </c>
      <c r="B405" s="17" t="str">
        <f>IFERROR(__xludf.DUMMYFUNCTION("REGEXREPLACE(A405,$A$2, )"),"Ga bisa login gagal .kurang bagus")</f>
        <v>Ga bisa login gagal .kurang bagus</v>
      </c>
      <c r="C405" s="17" t="str">
        <f>IFERROR(__xludf.DUMMYFUNCTION("REGEXREPLACE(B405,$A$3, )"),"Ga bisa login gagal .kurang bagus")</f>
        <v>Ga bisa login gagal .kurang bagus</v>
      </c>
      <c r="D405" s="17" t="str">
        <f>IFERROR(__xludf.DUMMYFUNCTION("REGEXREPLACE(C405,$A$4, )"),"Ga bisa login gagal .kurang bagus")</f>
        <v>Ga bisa login gagal .kurang bagus</v>
      </c>
      <c r="E405" s="17" t="str">
        <f>IFERROR(__xludf.DUMMYFUNCTION("REGEXREPLACE(D405,$A$5, )"),"Ga bisa login gagal .kurang bagus")</f>
        <v>Ga bisa login gagal .kurang bagus</v>
      </c>
      <c r="F405" s="17" t="str">
        <f>IFERROR(__xludf.DUMMYFUNCTION("REGEXREPLACE(E405,$A$6, )"),"Ga bisa login gagal kurang bagus")</f>
        <v>Ga bisa login gagal kurang bagus</v>
      </c>
      <c r="G405" s="18" t="str">
        <f>IFERROR(__xludf.DUMMYFUNCTION("REGEXREPLACE(F405,$A$7, )"),"Ga bisa login gagal kurang bagus")</f>
        <v>Ga bisa login gagal kurang bagus</v>
      </c>
      <c r="H405" s="17" t="str">
        <f t="shared" si="1"/>
        <v>ga bisa login gagal kurang bagus</v>
      </c>
    </row>
    <row r="406">
      <c r="A406" s="16" t="s">
        <v>401</v>
      </c>
      <c r="B406" s="17" t="str">
        <f>IFERROR(__xludf.DUMMYFUNCTION("REGEXREPLACE(A406,$A$2, )"),"kenapa di buat daftar gagal terus")</f>
        <v>kenapa di buat daftar gagal terus</v>
      </c>
      <c r="C406" s="17" t="str">
        <f>IFERROR(__xludf.DUMMYFUNCTION("REGEXREPLACE(B406,$A$3, )"),"kenapa di buat daftar gagal terus")</f>
        <v>kenapa di buat daftar gagal terus</v>
      </c>
      <c r="D406" s="17" t="str">
        <f>IFERROR(__xludf.DUMMYFUNCTION("REGEXREPLACE(C406,$A$4, )"),"kenapa di buat daftar gagal terus")</f>
        <v>kenapa di buat daftar gagal terus</v>
      </c>
      <c r="E406" s="17" t="str">
        <f>IFERROR(__xludf.DUMMYFUNCTION("REGEXREPLACE(D406,$A$5, )"),"kenapa di buat daftar gagal terus")</f>
        <v>kenapa di buat daftar gagal terus</v>
      </c>
      <c r="F406" s="17" t="str">
        <f>IFERROR(__xludf.DUMMYFUNCTION("REGEXREPLACE(E406,$A$6, )"),"kenapa di buat daftar gagal terus")</f>
        <v>kenapa di buat daftar gagal terus</v>
      </c>
      <c r="G406" s="18" t="str">
        <f>IFERROR(__xludf.DUMMYFUNCTION("REGEXREPLACE(F406,$A$7, )"),"kenapa di buat daftar gagal terus")</f>
        <v>kenapa di buat daftar gagal terus</v>
      </c>
      <c r="H406" s="17" t="str">
        <f t="shared" si="1"/>
        <v>kenapa di buat daftar gagal terus</v>
      </c>
    </row>
    <row r="407">
      <c r="A407" s="16" t="s">
        <v>402</v>
      </c>
      <c r="B407" s="17" t="str">
        <f>IFERROR(__xludf.DUMMYFUNCTION("REGEXREPLACE(A407,$A$2, )"),"Kasih dua dulu kenapa uda daftar malah tertera aplikasih eror semoga di perbaiki lagi biar mudah buat masahrakat yang belom dapet bansos bbm terimah kasih")</f>
        <v>Kasih dua dulu kenapa uda daftar malah tertera aplikasih eror semoga di perbaiki lagi biar mudah buat masahrakat yang belom dapet bansos bbm terimah kasih</v>
      </c>
      <c r="C407" s="17" t="str">
        <f>IFERROR(__xludf.DUMMYFUNCTION("REGEXREPLACE(B407,$A$3, )"),"Kasih dua dulu kenapa uda daftar malah tertera aplikasih eror semoga di perbaiki lagi biar mudah buat masahrakat yang belom dapet bansos bbm terimah kasih")</f>
        <v>Kasih dua dulu kenapa uda daftar malah tertera aplikasih eror semoga di perbaiki lagi biar mudah buat masahrakat yang belom dapet bansos bbm terimah kasih</v>
      </c>
      <c r="D407" s="17" t="str">
        <f>IFERROR(__xludf.DUMMYFUNCTION("REGEXREPLACE(C407,$A$4, )"),"Kasih dua dulu kenapa uda daftar malah tertera aplikasih eror semoga di perbaiki lagi biar mudah buat masahrakat yang belom dapet bansos bbm terimah kasih")</f>
        <v>Kasih dua dulu kenapa uda daftar malah tertera aplikasih eror semoga di perbaiki lagi biar mudah buat masahrakat yang belom dapet bansos bbm terimah kasih</v>
      </c>
      <c r="E407" s="17" t="str">
        <f>IFERROR(__xludf.DUMMYFUNCTION("REGEXREPLACE(D407,$A$5, )"),"Kasih dua dulu kenapa uda daftar malah tertera aplikasih eror semoga di perbaiki lagi biar mudah buat masahrakat yang belom dapet bansos bbm terimah kasih")</f>
        <v>Kasih dua dulu kenapa uda daftar malah tertera aplikasih eror semoga di perbaiki lagi biar mudah buat masahrakat yang belom dapet bansos bbm terimah kasih</v>
      </c>
      <c r="F407" s="17" t="str">
        <f>IFERROR(__xludf.DUMMYFUNCTION("REGEXREPLACE(E407,$A$6, )"),"Kasih dua dulu kenapa uda daftar malah tertera aplikasih eror semoga di perbaiki lagi biar mudah buat masahrakat yang belom dapet bansos bbm terimah kasih")</f>
        <v>Kasih dua dulu kenapa uda daftar malah tertera aplikasih eror semoga di perbaiki lagi biar mudah buat masahrakat yang belom dapet bansos bbm terimah kasih</v>
      </c>
      <c r="G407" s="18" t="str">
        <f>IFERROR(__xludf.DUMMYFUNCTION("REGEXREPLACE(F407,$A$7, )"),"Kasih dua dulu kenapa uda daftar malah tertera aplikasih eror semoga di perbaiki lagi biar mudah buat masahrakat yang belom dapet bansos bbm terimah kasih")</f>
        <v>Kasih dua dulu kenapa uda daftar malah tertera aplikasih eror semoga di perbaiki lagi biar mudah buat masahrakat yang belom dapet bansos bbm terimah kasih</v>
      </c>
      <c r="H407" s="17" t="str">
        <f t="shared" si="1"/>
        <v>kasih dua dulu kenapa uda daftar malah tertera aplikasih eror semoga di perbaiki lagi biar mudah buat masahrakat yang belom dapet bansos bbm terimah kasih</v>
      </c>
    </row>
    <row r="408">
      <c r="A408" s="16" t="s">
        <v>403</v>
      </c>
      <c r="B408" s="17" t="str">
        <f>IFERROR(__xludf.DUMMYFUNCTION("REGEXREPLACE(A408,$A$2, )"),"Aplikasi kurang baik tolong di perbaiki")</f>
        <v>Aplikasi kurang baik tolong di perbaiki</v>
      </c>
      <c r="C408" s="17" t="str">
        <f>IFERROR(__xludf.DUMMYFUNCTION("REGEXREPLACE(B408,$A$3, )"),"Aplikasi kurang baik tolong di perbaiki")</f>
        <v>Aplikasi kurang baik tolong di perbaiki</v>
      </c>
      <c r="D408" s="17" t="str">
        <f>IFERROR(__xludf.DUMMYFUNCTION("REGEXREPLACE(C408,$A$4, )"),"Aplikasi kurang baik tolong di perbaiki")</f>
        <v>Aplikasi kurang baik tolong di perbaiki</v>
      </c>
      <c r="E408" s="17" t="str">
        <f>IFERROR(__xludf.DUMMYFUNCTION("REGEXREPLACE(D408,$A$5, )"),"Aplikasi kurang baik tolong di perbaiki")</f>
        <v>Aplikasi kurang baik tolong di perbaiki</v>
      </c>
      <c r="F408" s="17" t="str">
        <f>IFERROR(__xludf.DUMMYFUNCTION("REGEXREPLACE(E408,$A$6, )"),"Aplikasi kurang baik tolong di perbaiki")</f>
        <v>Aplikasi kurang baik tolong di perbaiki</v>
      </c>
      <c r="G408" s="18" t="str">
        <f>IFERROR(__xludf.DUMMYFUNCTION("REGEXREPLACE(F408,$A$7, )"),"Aplikasi kurang baik tolong di perbaiki")</f>
        <v>Aplikasi kurang baik tolong di perbaiki</v>
      </c>
      <c r="H408" s="17" t="str">
        <f t="shared" si="1"/>
        <v>aplikasi kurang baik tolong di perbaiki</v>
      </c>
    </row>
    <row r="409">
      <c r="A409" s="16" t="s">
        <v>404</v>
      </c>
      <c r="B409" s="17" t="str">
        <f>IFERROR(__xludf.DUMMYFUNCTION("REGEXREPLACE(A409,$A$2, )"),"Ga bisa daftar error semoga maju")</f>
        <v>Ga bisa daftar error semoga maju</v>
      </c>
      <c r="C409" s="17" t="str">
        <f>IFERROR(__xludf.DUMMYFUNCTION("REGEXREPLACE(B409,$A$3, )"),"Ga bisa daftar error semoga maju")</f>
        <v>Ga bisa daftar error semoga maju</v>
      </c>
      <c r="D409" s="17" t="str">
        <f>IFERROR(__xludf.DUMMYFUNCTION("REGEXREPLACE(C409,$A$4, )"),"Ga bisa daftar error semoga maju")</f>
        <v>Ga bisa daftar error semoga maju</v>
      </c>
      <c r="E409" s="17" t="str">
        <f>IFERROR(__xludf.DUMMYFUNCTION("REGEXREPLACE(D409,$A$5, )"),"Ga bisa daftar error semoga maju")</f>
        <v>Ga bisa daftar error semoga maju</v>
      </c>
      <c r="F409" s="17" t="str">
        <f>IFERROR(__xludf.DUMMYFUNCTION("REGEXREPLACE(E409,$A$6, )"),"Ga bisa daftar error semoga maju")</f>
        <v>Ga bisa daftar error semoga maju</v>
      </c>
      <c r="G409" s="18" t="str">
        <f>IFERROR(__xludf.DUMMYFUNCTION("REGEXREPLACE(F409,$A$7, )"),"Ga bisa daftar error semoga maju")</f>
        <v>Ga bisa daftar error semoga maju</v>
      </c>
      <c r="H409" s="17" t="str">
        <f t="shared" si="1"/>
        <v>ga bisa daftar error semoga maju</v>
      </c>
    </row>
    <row r="410">
      <c r="A410" s="16" t="s">
        <v>405</v>
      </c>
      <c r="B410" s="17" t="str">
        <f>IFERROR(__xludf.DUMMYFUNCTION("REGEXREPLACE(A410,$A$2, )"),"Pendaftaran akun baru error terus")</f>
        <v>Pendaftaran akun baru error terus</v>
      </c>
      <c r="C410" s="17" t="str">
        <f>IFERROR(__xludf.DUMMYFUNCTION("REGEXREPLACE(B410,$A$3, )"),"Pendaftaran akun baru error terus")</f>
        <v>Pendaftaran akun baru error terus</v>
      </c>
      <c r="D410" s="17" t="str">
        <f>IFERROR(__xludf.DUMMYFUNCTION("REGEXREPLACE(C410,$A$4, )"),"Pendaftaran akun baru error terus")</f>
        <v>Pendaftaran akun baru error terus</v>
      </c>
      <c r="E410" s="17" t="str">
        <f>IFERROR(__xludf.DUMMYFUNCTION("REGEXREPLACE(D410,$A$5, )"),"Pendaftaran akun baru error terus")</f>
        <v>Pendaftaran akun baru error terus</v>
      </c>
      <c r="F410" s="17" t="str">
        <f>IFERROR(__xludf.DUMMYFUNCTION("REGEXREPLACE(E410,$A$6, )"),"Pendaftaran akun baru error terus")</f>
        <v>Pendaftaran akun baru error terus</v>
      </c>
      <c r="G410" s="18" t="str">
        <f>IFERROR(__xludf.DUMMYFUNCTION("REGEXREPLACE(F410,$A$7, )"),"Pendaftaran akun baru error terus")</f>
        <v>Pendaftaran akun baru error terus</v>
      </c>
      <c r="H410" s="17" t="str">
        <f t="shared" si="1"/>
        <v>pendaftaran akun baru error terus</v>
      </c>
    </row>
    <row r="411">
      <c r="A411" s="16" t="s">
        <v>406</v>
      </c>
      <c r="B411" s="17" t="str">
        <f>IFERROR(__xludf.DUMMYFUNCTION("REGEXREPLACE(A411,$A$2, )"),"App babi padahal udah berhasil di daftarkan....Ehh setelah mau login...user name/password tidak terdaftar....gak ngotak babi app gini wajib di kenakan sangsi pidana karna bisa di sebut pencurian data dan ipormasi pribadi orang....bisa² sala guna.!!!")</f>
        <v>App babi padahal udah berhasil di daftarkan....Ehh setelah mau login...user name/password tidak terdaftar....gak ngotak babi app gini wajib di kenakan sangsi pidana karna bisa di sebut pencurian data dan ipormasi pribadi orang....bisa² sala guna.!!!</v>
      </c>
      <c r="C411" s="17" t="str">
        <f>IFERROR(__xludf.DUMMYFUNCTION("REGEXREPLACE(B411,$A$3, )"),"App babi padahal udah berhasil di daftarkan....Ehh setelah mau login...user name/password tidak terdaftar....gak ngotak babi app gini wajib di kenakan sangsi pidana karna bisa di sebut pencurian data dan ipormasi pribadi orang....bisa² sala guna.!!!")</f>
        <v>App babi padahal udah berhasil di daftarkan....Ehh setelah mau login...user name/password tidak terdaftar....gak ngotak babi app gini wajib di kenakan sangsi pidana karna bisa di sebut pencurian data dan ipormasi pribadi orang....bisa² sala guna.!!!</v>
      </c>
      <c r="D411" s="17" t="str">
        <f>IFERROR(__xludf.DUMMYFUNCTION("REGEXREPLACE(C411,$A$4, )"),"App babi padahal udah berhasil di daftarkan....Ehh setelah mau login...user name/password tidak terdaftar....gak ngotak babi app gini wajib di kenakan sangsi pidana karna bisa di sebut pencurian data dan ipormasi pribadi orang....bisa² sala guna.!!!")</f>
        <v>App babi padahal udah berhasil di daftarkan....Ehh setelah mau login...user name/password tidak terdaftar....gak ngotak babi app gini wajib di kenakan sangsi pidana karna bisa di sebut pencurian data dan ipormasi pribadi orang....bisa² sala guna.!!!</v>
      </c>
      <c r="E411" s="17" t="str">
        <f>IFERROR(__xludf.DUMMYFUNCTION("REGEXREPLACE(D411,$A$5, )"),"App babi padahal udah berhasil di daftarkan....Ehh setelah mau login...user name/password tidak terdaftar....gak ngotak babi app gini wajib di kenakan sangsi pidana karna bisa di sebut pencurian data dan ipormasi pribadi orang....bisa² sala guna.!!!")</f>
        <v>App babi padahal udah berhasil di daftarkan....Ehh setelah mau login...user name/password tidak terdaftar....gak ngotak babi app gini wajib di kenakan sangsi pidana karna bisa di sebut pencurian data dan ipormasi pribadi orang....bisa² sala guna.!!!</v>
      </c>
      <c r="F411" s="17" t="str">
        <f>IFERROR(__xludf.DUMMYFUNCTION("REGEXREPLACE(E411,$A$6, )"),"App babi padahal udah berhasil di daftarkanEhh setelah mau loginuser namepassword tidak terdaftargak ngotak babi app gini wajib di kenakan sangsi pidana karna bisa di sebut pencurian data dan ipormasi pribadi orangbisa² sala guna")</f>
        <v>App babi padahal udah berhasil di daftarkanEhh setelah mau loginuser namepassword tidak terdaftargak ngotak babi app gini wajib di kenakan sangsi pidana karna bisa di sebut pencurian data dan ipormasi pribadi orangbisa² sala guna</v>
      </c>
      <c r="G411" s="18" t="str">
        <f>IFERROR(__xludf.DUMMYFUNCTION("REGEXREPLACE(F411,$A$7, )"),"App babi padahal udah berhasil di daftarkanEhh setelah mau loginuser namepassword tidak terdaftargak ngotak babi app gini wajib di kenakan sangsi pidana karna bisa di sebut pencurian data dan ipormasi pribadi orangbisa² sala guna")</f>
        <v>App babi padahal udah berhasil di daftarkanEhh setelah mau loginuser namepassword tidak terdaftargak ngotak babi app gini wajib di kenakan sangsi pidana karna bisa di sebut pencurian data dan ipormasi pribadi orangbisa² sala guna</v>
      </c>
      <c r="H411" s="17" t="str">
        <f t="shared" si="1"/>
        <v>app babi padahal udah berhasil di daftarkanehh setelah mau loginuser namepassword tidak terdaftargak ngotak babi app gini wajib di kenakan sangsi pidana karna bisa di sebut pencurian data dan ipormasi pribadi orangbisa² sala guna</v>
      </c>
    </row>
    <row r="412">
      <c r="A412" s="16" t="s">
        <v>407</v>
      </c>
      <c r="B412" s="17" t="str">
        <f>IFERROR(__xludf.DUMMYFUNCTION("REGEXREPLACE(A412,$A$2, )"),"Kenapa aflikasih GK berpungsi, padahal saya ingin mendaftar selama ini saya belum pernah dapet, kenapa yg dapat orang"" yg berada terus, apa emang seperti itu peraturan y????")</f>
        <v>Kenapa aflikasih GK berpungsi, padahal saya ingin mendaftar selama ini saya belum pernah dapet, kenapa yg dapat orang" yg berada terus, apa emang seperti itu peraturan y????</v>
      </c>
      <c r="C412" s="17" t="str">
        <f>IFERROR(__xludf.DUMMYFUNCTION("REGEXREPLACE(B412,$A$3, )"),"Kenapa aflikasih GK berpungsi, padahal saya ingin mendaftar selama ini saya belum pernah dapet, kenapa yg dapat orang"" yg berada terus, apa emang seperti itu peraturan y????")</f>
        <v>Kenapa aflikasih GK berpungsi, padahal saya ingin mendaftar selama ini saya belum pernah dapet, kenapa yg dapat orang" yg berada terus, apa emang seperti itu peraturan y????</v>
      </c>
      <c r="D412" s="17" t="str">
        <f>IFERROR(__xludf.DUMMYFUNCTION("REGEXREPLACE(C412,$A$4, )"),"Kenapa aflikasih GK berpungsi, padahal saya ingin mendaftar selama ini saya belum pernah dapet, kenapa yg dapat orang"" yg berada terus, apa emang seperti itu peraturan y????")</f>
        <v>Kenapa aflikasih GK berpungsi, padahal saya ingin mendaftar selama ini saya belum pernah dapet, kenapa yg dapat orang" yg berada terus, apa emang seperti itu peraturan y????</v>
      </c>
      <c r="E412" s="17" t="str">
        <f>IFERROR(__xludf.DUMMYFUNCTION("REGEXREPLACE(D412,$A$5, )"),"Kenapa aflikasih GK berpungsi, padahal saya ingin mendaftar selama ini saya belum pernah dapet, kenapa yg dapat orang"" yg berada terus, apa emang seperti itu peraturan y????")</f>
        <v>Kenapa aflikasih GK berpungsi, padahal saya ingin mendaftar selama ini saya belum pernah dapet, kenapa yg dapat orang" yg berada terus, apa emang seperti itu peraturan y????</v>
      </c>
      <c r="F412" s="17" t="str">
        <f>IFERROR(__xludf.DUMMYFUNCTION("REGEXREPLACE(E412,$A$6, )"),"Kenapa aflikasih GK berpungsi padahal saya ingin mendaftar selama ini saya belum pernah dapet kenapa yg dapat orang yg berada terus apa emang seperti itu peraturan y")</f>
        <v>Kenapa aflikasih GK berpungsi padahal saya ingin mendaftar selama ini saya belum pernah dapet kenapa yg dapat orang yg berada terus apa emang seperti itu peraturan y</v>
      </c>
      <c r="G412" s="18" t="str">
        <f>IFERROR(__xludf.DUMMYFUNCTION("REGEXREPLACE(F412,$A$7, )"),"Kenapa aflikasih GK berpungsi padahal saya ingin mendaftar selama ini saya belum pernah dapet kenapa yg dapat orang yg berada terus apa emang seperti itu peraturan y")</f>
        <v>Kenapa aflikasih GK berpungsi padahal saya ingin mendaftar selama ini saya belum pernah dapet kenapa yg dapat orang yg berada terus apa emang seperti itu peraturan y</v>
      </c>
      <c r="H412" s="17" t="str">
        <f t="shared" si="1"/>
        <v>kenapa aflikasih gk berpungsi padahal saya ingin mendaftar selama ini saya belum pernah dapet kenapa yg dapat orang yg berada terus apa emang seperti itu peraturan y</v>
      </c>
    </row>
    <row r="413">
      <c r="A413" s="16" t="s">
        <v>408</v>
      </c>
      <c r="B413" s="17" t="str">
        <f>IFERROR(__xludf.DUMMYFUNCTION("REGEXREPLACE(A413,$A$2, )"),"Kagak guna apk nya gagal terus setiap daftar")</f>
        <v>Kagak guna apk nya gagal terus setiap daftar</v>
      </c>
      <c r="C413" s="17" t="str">
        <f>IFERROR(__xludf.DUMMYFUNCTION("REGEXREPLACE(B413,$A$3, )"),"Kagak guna apk nya gagal terus setiap daftar")</f>
        <v>Kagak guna apk nya gagal terus setiap daftar</v>
      </c>
      <c r="D413" s="17" t="str">
        <f>IFERROR(__xludf.DUMMYFUNCTION("REGEXREPLACE(C413,$A$4, )"),"Kagak guna apk nya gagal terus setiap daftar")</f>
        <v>Kagak guna apk nya gagal terus setiap daftar</v>
      </c>
      <c r="E413" s="17" t="str">
        <f>IFERROR(__xludf.DUMMYFUNCTION("REGEXREPLACE(D413,$A$5, )"),"Kagak guna apk nya gagal terus setiap daftar")</f>
        <v>Kagak guna apk nya gagal terus setiap daftar</v>
      </c>
      <c r="F413" s="17" t="str">
        <f>IFERROR(__xludf.DUMMYFUNCTION("REGEXREPLACE(E413,$A$6, )"),"Kagak guna apk nya gagal terus setiap daftar")</f>
        <v>Kagak guna apk nya gagal terus setiap daftar</v>
      </c>
      <c r="G413" s="18" t="str">
        <f>IFERROR(__xludf.DUMMYFUNCTION("REGEXREPLACE(F413,$A$7, )"),"Kagak guna apk nya gagal terus setiap daftar")</f>
        <v>Kagak guna apk nya gagal terus setiap daftar</v>
      </c>
      <c r="H413" s="17" t="str">
        <f t="shared" si="1"/>
        <v>kagak guna apk nya gagal terus setiap daftar</v>
      </c>
    </row>
    <row r="414">
      <c r="A414" s="16" t="s">
        <v>409</v>
      </c>
      <c r="B414" s="17" t="str">
        <f>IFERROR(__xludf.DUMMYFUNCTION("REGEXREPLACE(A414,$A$2, )"),"aplikasi bohong saat masuk gk bs trs pdhl username udah bnr udah di Verikasi di imel,gk jelas")</f>
        <v>aplikasi bohong saat masuk gk bs trs pdhl username udah bnr udah di Verikasi di imel,gk jelas</v>
      </c>
      <c r="C414" s="17" t="str">
        <f>IFERROR(__xludf.DUMMYFUNCTION("REGEXREPLACE(B414,$A$3, )"),"aplikasi bohong saat masuk gk bs trs pdhl username udah bnr udah di Verikasi di imel,gk jelas")</f>
        <v>aplikasi bohong saat masuk gk bs trs pdhl username udah bnr udah di Verikasi di imel,gk jelas</v>
      </c>
      <c r="D414" s="17" t="str">
        <f>IFERROR(__xludf.DUMMYFUNCTION("REGEXREPLACE(C414,$A$4, )"),"aplikasi bohong saat masuk gk bs trs pdhl username udah bnr udah di Verikasi di imel,gk jelas")</f>
        <v>aplikasi bohong saat masuk gk bs trs pdhl username udah bnr udah di Verikasi di imel,gk jelas</v>
      </c>
      <c r="E414" s="17" t="str">
        <f>IFERROR(__xludf.DUMMYFUNCTION("REGEXREPLACE(D414,$A$5, )"),"aplikasi bohong saat masuk gk bs trs pdhl username udah bnr udah di Verikasi di imel,gk jelas")</f>
        <v>aplikasi bohong saat masuk gk bs trs pdhl username udah bnr udah di Verikasi di imel,gk jelas</v>
      </c>
      <c r="F414" s="17" t="str">
        <f>IFERROR(__xludf.DUMMYFUNCTION("REGEXREPLACE(E414,$A$6, )"),"aplikasi bohong saat masuk gk bs trs pdhl username udah bnr udah di Verikasi di imelgk jelas")</f>
        <v>aplikasi bohong saat masuk gk bs trs pdhl username udah bnr udah di Verikasi di imelgk jelas</v>
      </c>
      <c r="G414" s="18" t="str">
        <f>IFERROR(__xludf.DUMMYFUNCTION("REGEXREPLACE(F414,$A$7, )"),"aplikasi bohong saat masuk gk bs trs pdhl username udah bnr udah di Verikasi di imelgk jelas")</f>
        <v>aplikasi bohong saat masuk gk bs trs pdhl username udah bnr udah di Verikasi di imelgk jelas</v>
      </c>
      <c r="H414" s="17" t="str">
        <f t="shared" si="1"/>
        <v>aplikasi bohong saat masuk gk bs trs pdhl username udah bnr udah di verikasi di imelgk jelas</v>
      </c>
    </row>
    <row r="415">
      <c r="A415" s="16" t="s">
        <v>410</v>
      </c>
      <c r="B415" s="17" t="str">
        <f>IFERROR(__xludf.DUMMYFUNCTION("REGEXREPLACE(A415,$A$2, )"),"Tidak bisa login. Error aplikasi")</f>
        <v>Tidak bisa login. Error aplikasi</v>
      </c>
      <c r="C415" s="17" t="str">
        <f>IFERROR(__xludf.DUMMYFUNCTION("REGEXREPLACE(B415,$A$3, )"),"Tidak bisa login. Error aplikasi")</f>
        <v>Tidak bisa login. Error aplikasi</v>
      </c>
      <c r="D415" s="17" t="str">
        <f>IFERROR(__xludf.DUMMYFUNCTION("REGEXREPLACE(C415,$A$4, )"),"Tidak bisa login. Error aplikasi")</f>
        <v>Tidak bisa login. Error aplikasi</v>
      </c>
      <c r="E415" s="17" t="str">
        <f>IFERROR(__xludf.DUMMYFUNCTION("REGEXREPLACE(D415,$A$5, )"),"Tidak bisa login. Error aplikasi")</f>
        <v>Tidak bisa login. Error aplikasi</v>
      </c>
      <c r="F415" s="17" t="str">
        <f>IFERROR(__xludf.DUMMYFUNCTION("REGEXREPLACE(E415,$A$6, )"),"Tidak bisa login Error aplikasi")</f>
        <v>Tidak bisa login Error aplikasi</v>
      </c>
      <c r="G415" s="18" t="str">
        <f>IFERROR(__xludf.DUMMYFUNCTION("REGEXREPLACE(F415,$A$7, )"),"Tidak bisa login Error aplikasi")</f>
        <v>Tidak bisa login Error aplikasi</v>
      </c>
      <c r="H415" s="17" t="str">
        <f t="shared" si="1"/>
        <v>tidak bisa login error aplikasi</v>
      </c>
    </row>
    <row r="416">
      <c r="A416" s="16" t="s">
        <v>411</v>
      </c>
      <c r="B416" s="17" t="str">
        <f>IFERROR(__xludf.DUMMYFUNCTION("REGEXREPLACE(A416,$A$2, )"),"Ga bisa login.. Dan ganti pasword., linknya ga bisa dibuka")</f>
        <v>Ga bisa login.. Dan ganti pasword., linknya ga bisa dibuka</v>
      </c>
      <c r="C416" s="17" t="str">
        <f>IFERROR(__xludf.DUMMYFUNCTION("REGEXREPLACE(B416,$A$3, )"),"Ga bisa login.. Dan ganti pasword., linknya ga bisa dibuka")</f>
        <v>Ga bisa login.. Dan ganti pasword., linknya ga bisa dibuka</v>
      </c>
      <c r="D416" s="17" t="str">
        <f>IFERROR(__xludf.DUMMYFUNCTION("REGEXREPLACE(C416,$A$4, )"),"Ga bisa login.. Dan ganti pasword., linknya ga bisa dibuka")</f>
        <v>Ga bisa login.. Dan ganti pasword., linknya ga bisa dibuka</v>
      </c>
      <c r="E416" s="17" t="str">
        <f>IFERROR(__xludf.DUMMYFUNCTION("REGEXREPLACE(D416,$A$5, )"),"Ga bisa login.. Dan ganti pasword., linknya ga bisa dibuka")</f>
        <v>Ga bisa login.. Dan ganti pasword., linknya ga bisa dibuka</v>
      </c>
      <c r="F416" s="17" t="str">
        <f>IFERROR(__xludf.DUMMYFUNCTION("REGEXREPLACE(E416,$A$6, )"),"Ga bisa login Dan ganti pasword linknya ga bisa dibuka")</f>
        <v>Ga bisa login Dan ganti pasword linknya ga bisa dibuka</v>
      </c>
      <c r="G416" s="18" t="str">
        <f>IFERROR(__xludf.DUMMYFUNCTION("REGEXREPLACE(F416,$A$7, )"),"Ga bisa login Dan ganti pasword linknya ga bisa dibuka")</f>
        <v>Ga bisa login Dan ganti pasword linknya ga bisa dibuka</v>
      </c>
      <c r="H416" s="17" t="str">
        <f t="shared" si="1"/>
        <v>ga bisa login dan ganti pasword linknya ga bisa dibuka</v>
      </c>
    </row>
    <row r="417">
      <c r="A417" s="16" t="s">
        <v>412</v>
      </c>
      <c r="B417" s="17" t="str">
        <f>IFERROR(__xludf.DUMMYFUNCTION("REGEXREPLACE(A417,$A$2, )"),"Aplikasi hoak kaya aplikasi game penghasil receh ga bisa dibuka Un install aja deh😋😋😋")</f>
        <v>Aplikasi hoak kaya aplikasi game penghasil receh ga bisa dibuka Un install aja deh😋😋😋</v>
      </c>
      <c r="C417" s="17" t="str">
        <f>IFERROR(__xludf.DUMMYFUNCTION("REGEXREPLACE(B417,$A$3, )"),"Aplikasi hoak kaya aplikasi game penghasil receh ga bisa dibuka Un install aja deh😋😋😋")</f>
        <v>Aplikasi hoak kaya aplikasi game penghasil receh ga bisa dibuka Un install aja deh😋😋😋</v>
      </c>
      <c r="D417" s="17" t="str">
        <f>IFERROR(__xludf.DUMMYFUNCTION("REGEXREPLACE(C417,$A$4, )"),"Aplikasi hoak kaya aplikasi game penghasil receh ga bisa dibuka Un install aja deh😋😋😋")</f>
        <v>Aplikasi hoak kaya aplikasi game penghasil receh ga bisa dibuka Un install aja deh😋😋😋</v>
      </c>
      <c r="E417" s="17" t="str">
        <f>IFERROR(__xludf.DUMMYFUNCTION("REGEXREPLACE(D417,$A$5, )"),"Aplikasi hoak kaya aplikasi game penghasil receh ga bisa dibuka Un install aja deh😋😋😋")</f>
        <v>Aplikasi hoak kaya aplikasi game penghasil receh ga bisa dibuka Un install aja deh😋😋😋</v>
      </c>
      <c r="F417" s="17" t="str">
        <f>IFERROR(__xludf.DUMMYFUNCTION("REGEXREPLACE(E417,$A$6, )"),"Aplikasi hoak kaya aplikasi game penghasil receh ga bisa dibuka Un install aja deh😋😋😋")</f>
        <v>Aplikasi hoak kaya aplikasi game penghasil receh ga bisa dibuka Un install aja deh😋😋😋</v>
      </c>
      <c r="G417" s="18" t="str">
        <f>IFERROR(__xludf.DUMMYFUNCTION("REGEXREPLACE(F417,$A$7, )"),"Aplikasi hoak kaya aplikasi game penghasil receh ga bisa dibuka Un install aja deh")</f>
        <v>Aplikasi hoak kaya aplikasi game penghasil receh ga bisa dibuka Un install aja deh</v>
      </c>
      <c r="H417" s="17" t="str">
        <f t="shared" si="1"/>
        <v>aplikasi hoak kaya aplikasi game penghasil receh ga bisa dibuka un install aja deh</v>
      </c>
    </row>
    <row r="418">
      <c r="A418" s="16" t="s">
        <v>413</v>
      </c>
      <c r="B418" s="17" t="str">
        <f>IFERROR(__xludf.DUMMYFUNCTION("REGEXREPLACE(A418,$A$2, )"),"tidak bisa log in/daftar..")</f>
        <v>tidak bisa log in/daftar..</v>
      </c>
      <c r="C418" s="17" t="str">
        <f>IFERROR(__xludf.DUMMYFUNCTION("REGEXREPLACE(B418,$A$3, )"),"tidak bisa log in/daftar..")</f>
        <v>tidak bisa log in/daftar..</v>
      </c>
      <c r="D418" s="17" t="str">
        <f>IFERROR(__xludf.DUMMYFUNCTION("REGEXREPLACE(C418,$A$4, )"),"tidak bisa log in/daftar..")</f>
        <v>tidak bisa log in/daftar..</v>
      </c>
      <c r="E418" s="17" t="str">
        <f>IFERROR(__xludf.DUMMYFUNCTION("REGEXREPLACE(D418,$A$5, )"),"tidak bisa log in/daftar..")</f>
        <v>tidak bisa log in/daftar..</v>
      </c>
      <c r="F418" s="17" t="str">
        <f>IFERROR(__xludf.DUMMYFUNCTION("REGEXREPLACE(E418,$A$6, )"),"tidak bisa log indaftar")</f>
        <v>tidak bisa log indaftar</v>
      </c>
      <c r="G418" s="18" t="str">
        <f>IFERROR(__xludf.DUMMYFUNCTION("REGEXREPLACE(F418,$A$7, )"),"tidak bisa log indaftar")</f>
        <v>tidak bisa log indaftar</v>
      </c>
      <c r="H418" s="17" t="str">
        <f t="shared" si="1"/>
        <v>tidak bisa log indaftar</v>
      </c>
    </row>
    <row r="419">
      <c r="A419" s="16" t="s">
        <v>414</v>
      </c>
      <c r="B419" s="17" t="str">
        <f>IFERROR(__xludf.DUMMYFUNCTION("REGEXREPLACE(A419,$A$2, )"),"Kenapa apk nya eror ya ketika saya mau daftar ?atau login?")</f>
        <v>Kenapa apk nya eror ya ketika saya mau daftar ?atau login?</v>
      </c>
      <c r="C419" s="17" t="str">
        <f>IFERROR(__xludf.DUMMYFUNCTION("REGEXREPLACE(B419,$A$3, )"),"Kenapa apk nya eror ya ketika saya mau daftar ?atau login?")</f>
        <v>Kenapa apk nya eror ya ketika saya mau daftar ?atau login?</v>
      </c>
      <c r="D419" s="17" t="str">
        <f>IFERROR(__xludf.DUMMYFUNCTION("REGEXREPLACE(C419,$A$4, )"),"Kenapa apk nya eror ya ketika saya mau daftar ?atau login?")</f>
        <v>Kenapa apk nya eror ya ketika saya mau daftar ?atau login?</v>
      </c>
      <c r="E419" s="17" t="str">
        <f>IFERROR(__xludf.DUMMYFUNCTION("REGEXREPLACE(D419,$A$5, )"),"Kenapa apk nya eror ya ketika saya mau daftar ?atau login?")</f>
        <v>Kenapa apk nya eror ya ketika saya mau daftar ?atau login?</v>
      </c>
      <c r="F419" s="17" t="str">
        <f>IFERROR(__xludf.DUMMYFUNCTION("REGEXREPLACE(E419,$A$6, )"),"Kenapa apk nya eror ya ketika saya mau daftar atau login")</f>
        <v>Kenapa apk nya eror ya ketika saya mau daftar atau login</v>
      </c>
      <c r="G419" s="18" t="str">
        <f>IFERROR(__xludf.DUMMYFUNCTION("REGEXREPLACE(F419,$A$7, )"),"Kenapa apk nya eror ya ketika saya mau daftar atau login")</f>
        <v>Kenapa apk nya eror ya ketika saya mau daftar atau login</v>
      </c>
      <c r="H419" s="17" t="str">
        <f t="shared" si="1"/>
        <v>kenapa apk nya eror ya ketika saya mau daftar atau login</v>
      </c>
    </row>
    <row r="420">
      <c r="A420" s="16" t="s">
        <v>415</v>
      </c>
      <c r="B420" s="17" t="str">
        <f>IFERROR(__xludf.DUMMYFUNCTION("REGEXREPLACE(A420,$A$2, )"),"kenapa gak bisa tambah usulan error terus")</f>
        <v>kenapa gak bisa tambah usulan error terus</v>
      </c>
      <c r="C420" s="17" t="str">
        <f>IFERROR(__xludf.DUMMYFUNCTION("REGEXREPLACE(B420,$A$3, )"),"kenapa gak bisa tambah usulan error terus")</f>
        <v>kenapa gak bisa tambah usulan error terus</v>
      </c>
      <c r="D420" s="17" t="str">
        <f>IFERROR(__xludf.DUMMYFUNCTION("REGEXREPLACE(C420,$A$4, )"),"kenapa gak bisa tambah usulan error terus")</f>
        <v>kenapa gak bisa tambah usulan error terus</v>
      </c>
      <c r="E420" s="17" t="str">
        <f>IFERROR(__xludf.DUMMYFUNCTION("REGEXREPLACE(D420,$A$5, )"),"kenapa gak bisa tambah usulan error terus")</f>
        <v>kenapa gak bisa tambah usulan error terus</v>
      </c>
      <c r="F420" s="17" t="str">
        <f>IFERROR(__xludf.DUMMYFUNCTION("REGEXREPLACE(E420,$A$6, )"),"kenapa gak bisa tambah usulan error terus")</f>
        <v>kenapa gak bisa tambah usulan error terus</v>
      </c>
      <c r="G420" s="18" t="str">
        <f>IFERROR(__xludf.DUMMYFUNCTION("REGEXREPLACE(F420,$A$7, )"),"kenapa gak bisa tambah usulan error terus")</f>
        <v>kenapa gak bisa tambah usulan error terus</v>
      </c>
      <c r="H420" s="17" t="str">
        <f t="shared" si="1"/>
        <v>kenapa gak bisa tambah usulan error terus</v>
      </c>
    </row>
    <row r="421">
      <c r="A421" s="16" t="s">
        <v>416</v>
      </c>
      <c r="B421" s="17" t="str">
        <f>IFERROR(__xludf.DUMMYFUNCTION("REGEXREPLACE(A421,$A$2, )"),"Pengelolaan manajemen aplikasinya buruk untuk sekelas aplikasi nasional")</f>
        <v>Pengelolaan manajemen aplikasinya buruk untuk sekelas aplikasi nasional</v>
      </c>
      <c r="C421" s="17" t="str">
        <f>IFERROR(__xludf.DUMMYFUNCTION("REGEXREPLACE(B421,$A$3, )"),"Pengelolaan manajemen aplikasinya buruk untuk sekelas aplikasi nasional")</f>
        <v>Pengelolaan manajemen aplikasinya buruk untuk sekelas aplikasi nasional</v>
      </c>
      <c r="D421" s="17" t="str">
        <f>IFERROR(__xludf.DUMMYFUNCTION("REGEXREPLACE(C421,$A$4, )"),"Pengelolaan manajemen aplikasinya buruk untuk sekelas aplikasi nasional")</f>
        <v>Pengelolaan manajemen aplikasinya buruk untuk sekelas aplikasi nasional</v>
      </c>
      <c r="E421" s="17" t="str">
        <f>IFERROR(__xludf.DUMMYFUNCTION("REGEXREPLACE(D421,$A$5, )"),"Pengelolaan manajemen aplikasinya buruk untuk sekelas aplikasi nasional")</f>
        <v>Pengelolaan manajemen aplikasinya buruk untuk sekelas aplikasi nasional</v>
      </c>
      <c r="F421" s="17" t="str">
        <f>IFERROR(__xludf.DUMMYFUNCTION("REGEXREPLACE(E421,$A$6, )"),"Pengelolaan manajemen aplikasinya buruk untuk sekelas aplikasi nasional")</f>
        <v>Pengelolaan manajemen aplikasinya buruk untuk sekelas aplikasi nasional</v>
      </c>
      <c r="G421" s="18" t="str">
        <f>IFERROR(__xludf.DUMMYFUNCTION("REGEXREPLACE(F421,$A$7, )"),"Pengelolaan manajemen aplikasinya buruk untuk sekelas aplikasi nasional")</f>
        <v>Pengelolaan manajemen aplikasinya buruk untuk sekelas aplikasi nasional</v>
      </c>
      <c r="H421" s="17" t="str">
        <f t="shared" si="1"/>
        <v>pengelolaan manajemen aplikasinya buruk untuk sekelas aplikasi nasional</v>
      </c>
    </row>
    <row r="422">
      <c r="A422" s="16" t="s">
        <v>417</v>
      </c>
      <c r="B422" s="17" t="str">
        <f>IFERROR(__xludf.DUMMYFUNCTION("REGEXREPLACE(A422,$A$2, )"),"Kenapa saya tidak bisa login selalu error'")</f>
        <v>Kenapa saya tidak bisa login selalu error'</v>
      </c>
      <c r="C422" s="17" t="str">
        <f>IFERROR(__xludf.DUMMYFUNCTION("REGEXREPLACE(B422,$A$3, )"),"Kenapa saya tidak bisa login selalu error'")</f>
        <v>Kenapa saya tidak bisa login selalu error'</v>
      </c>
      <c r="D422" s="17" t="str">
        <f>IFERROR(__xludf.DUMMYFUNCTION("REGEXREPLACE(C422,$A$4, )"),"Kenapa saya tidak bisa login selalu error'")</f>
        <v>Kenapa saya tidak bisa login selalu error'</v>
      </c>
      <c r="E422" s="17" t="str">
        <f>IFERROR(__xludf.DUMMYFUNCTION("REGEXREPLACE(D422,$A$5, )"),"Kenapa saya tidak bisa login selalu error'")</f>
        <v>Kenapa saya tidak bisa login selalu error'</v>
      </c>
      <c r="F422" s="17" t="str">
        <f>IFERROR(__xludf.DUMMYFUNCTION("REGEXREPLACE(E422,$A$6, )"),"Kenapa saya tidak bisa login selalu error")</f>
        <v>Kenapa saya tidak bisa login selalu error</v>
      </c>
      <c r="G422" s="18" t="str">
        <f>IFERROR(__xludf.DUMMYFUNCTION("REGEXREPLACE(F422,$A$7, )"),"Kenapa saya tidak bisa login selalu error")</f>
        <v>Kenapa saya tidak bisa login selalu error</v>
      </c>
      <c r="H422" s="17" t="str">
        <f t="shared" si="1"/>
        <v>kenapa saya tidak bisa login selalu error</v>
      </c>
    </row>
    <row r="423">
      <c r="A423" s="16" t="s">
        <v>418</v>
      </c>
      <c r="B423" s="17" t="str">
        <f>IFERROR(__xludf.DUMMYFUNCTION("REGEXREPLACE(A423,$A$2, )"),"Sangat amat buruk daftar aja ga bisa bisa")</f>
        <v>Sangat amat buruk daftar aja ga bisa bisa</v>
      </c>
      <c r="C423" s="17" t="str">
        <f>IFERROR(__xludf.DUMMYFUNCTION("REGEXREPLACE(B423,$A$3, )"),"Sangat amat buruk daftar aja ga bisa bisa")</f>
        <v>Sangat amat buruk daftar aja ga bisa bisa</v>
      </c>
      <c r="D423" s="17" t="str">
        <f>IFERROR(__xludf.DUMMYFUNCTION("REGEXREPLACE(C423,$A$4, )"),"Sangat amat buruk daftar aja ga bisa bisa")</f>
        <v>Sangat amat buruk daftar aja ga bisa bisa</v>
      </c>
      <c r="E423" s="17" t="str">
        <f>IFERROR(__xludf.DUMMYFUNCTION("REGEXREPLACE(D423,$A$5, )"),"Sangat amat buruk daftar aja ga bisa bisa")</f>
        <v>Sangat amat buruk daftar aja ga bisa bisa</v>
      </c>
      <c r="F423" s="17" t="str">
        <f>IFERROR(__xludf.DUMMYFUNCTION("REGEXREPLACE(E423,$A$6, )"),"Sangat amat buruk daftar aja ga bisa bisa")</f>
        <v>Sangat amat buruk daftar aja ga bisa bisa</v>
      </c>
      <c r="G423" s="18" t="str">
        <f>IFERROR(__xludf.DUMMYFUNCTION("REGEXREPLACE(F423,$A$7, )"),"Sangat amat buruk daftar aja ga bisa bisa")</f>
        <v>Sangat amat buruk daftar aja ga bisa bisa</v>
      </c>
      <c r="H423" s="17" t="str">
        <f t="shared" si="1"/>
        <v>sangat amat buruk daftar aja ga bisa bisa</v>
      </c>
    </row>
    <row r="424">
      <c r="A424" s="16" t="s">
        <v>419</v>
      </c>
      <c r="B424" s="17" t="str">
        <f>IFERROR(__xludf.DUMMYFUNCTION("REGEXREPLACE(A424,$A$2, )"),"Capek capek poto isi data ss stelah siap jaringan eror aplikasi gk serius ni🤦‍♂️")</f>
        <v>Capek capek poto isi data ss stelah siap jaringan eror aplikasi gk serius ni🤦‍♂️</v>
      </c>
      <c r="C424" s="17" t="str">
        <f>IFERROR(__xludf.DUMMYFUNCTION("REGEXREPLACE(B424,$A$3, )"),"Capek capek poto isi data ss stelah siap jaringan eror aplikasi gk serius ni🤦‍♂️")</f>
        <v>Capek capek poto isi data ss stelah siap jaringan eror aplikasi gk serius ni🤦‍♂️</v>
      </c>
      <c r="D424" s="17" t="str">
        <f>IFERROR(__xludf.DUMMYFUNCTION("REGEXREPLACE(C424,$A$4, )"),"Capek capek poto isi data ss stelah siap jaringan eror aplikasi gk serius ni🤦‍♂️")</f>
        <v>Capek capek poto isi data ss stelah siap jaringan eror aplikasi gk serius ni🤦‍♂️</v>
      </c>
      <c r="E424" s="17" t="str">
        <f>IFERROR(__xludf.DUMMYFUNCTION("REGEXREPLACE(D424,$A$5, )"),"Capek capek poto isi data ss stelah siap jaringan eror aplikasi gk serius ni🤦‍♂️")</f>
        <v>Capek capek poto isi data ss stelah siap jaringan eror aplikasi gk serius ni🤦‍♂️</v>
      </c>
      <c r="F424" s="17" t="str">
        <f>IFERROR(__xludf.DUMMYFUNCTION("REGEXREPLACE(E424,$A$6, )"),"Capek capek poto isi data ss stelah siap jaringan eror aplikasi gk serius ni🤦‍♂️")</f>
        <v>Capek capek poto isi data ss stelah siap jaringan eror aplikasi gk serius ni🤦‍♂️</v>
      </c>
      <c r="G424" s="18" t="str">
        <f>IFERROR(__xludf.DUMMYFUNCTION("REGEXREPLACE(F424,$A$7, )"),"Capek capek poto isi data ss stelah siap jaringan eror aplikasi gk serius ni‍")</f>
        <v>Capek capek poto isi data ss stelah siap jaringan eror aplikasi gk serius ni‍</v>
      </c>
      <c r="H424" s="17" t="str">
        <f t="shared" si="1"/>
        <v>capek capek poto isi data ss stelah siap jaringan eror aplikasi gk serius ni‍</v>
      </c>
    </row>
    <row r="425">
      <c r="A425" s="16" t="s">
        <v>420</v>
      </c>
      <c r="B425" s="17" t="str">
        <f>IFERROR(__xludf.DUMMYFUNCTION("REGEXREPLACE(A425,$A$2, )"),"Aplikasi ga jelas mau usulan mandiri error terus")</f>
        <v>Aplikasi ga jelas mau usulan mandiri error terus</v>
      </c>
      <c r="C425" s="17" t="str">
        <f>IFERROR(__xludf.DUMMYFUNCTION("REGEXREPLACE(B425,$A$3, )"),"Aplikasi ga jelas mau usulan mandiri error terus")</f>
        <v>Aplikasi ga jelas mau usulan mandiri error terus</v>
      </c>
      <c r="D425" s="17" t="str">
        <f>IFERROR(__xludf.DUMMYFUNCTION("REGEXREPLACE(C425,$A$4, )"),"Aplikasi ga jelas mau usulan mandiri error terus")</f>
        <v>Aplikasi ga jelas mau usulan mandiri error terus</v>
      </c>
      <c r="E425" s="17" t="str">
        <f>IFERROR(__xludf.DUMMYFUNCTION("REGEXREPLACE(D425,$A$5, )"),"Aplikasi ga jelas mau usulan mandiri error terus")</f>
        <v>Aplikasi ga jelas mau usulan mandiri error terus</v>
      </c>
      <c r="F425" s="17" t="str">
        <f>IFERROR(__xludf.DUMMYFUNCTION("REGEXREPLACE(E425,$A$6, )"),"Aplikasi ga jelas mau usulan mandiri error terus")</f>
        <v>Aplikasi ga jelas mau usulan mandiri error terus</v>
      </c>
      <c r="G425" s="18" t="str">
        <f>IFERROR(__xludf.DUMMYFUNCTION("REGEXREPLACE(F425,$A$7, )"),"Aplikasi ga jelas mau usulan mandiri error terus")</f>
        <v>Aplikasi ga jelas mau usulan mandiri error terus</v>
      </c>
      <c r="H425" s="17" t="str">
        <f t="shared" si="1"/>
        <v>aplikasi ga jelas mau usulan mandiri error terus</v>
      </c>
    </row>
    <row r="426">
      <c r="A426" s="16" t="s">
        <v>421</v>
      </c>
      <c r="B426" s="17" t="str">
        <f>IFERROR(__xludf.DUMMYFUNCTION("REGEXREPLACE(A426,$A$2, )"),"Apk apa ini sudah daftar tapi gak bisa log in")</f>
        <v>Apk apa ini sudah daftar tapi gak bisa log in</v>
      </c>
      <c r="C426" s="17" t="str">
        <f>IFERROR(__xludf.DUMMYFUNCTION("REGEXREPLACE(B426,$A$3, )"),"Apk apa ini sudah daftar tapi gak bisa log in")</f>
        <v>Apk apa ini sudah daftar tapi gak bisa log in</v>
      </c>
      <c r="D426" s="17" t="str">
        <f>IFERROR(__xludf.DUMMYFUNCTION("REGEXREPLACE(C426,$A$4, )"),"Apk apa ini sudah daftar tapi gak bisa log in")</f>
        <v>Apk apa ini sudah daftar tapi gak bisa log in</v>
      </c>
      <c r="E426" s="17" t="str">
        <f>IFERROR(__xludf.DUMMYFUNCTION("REGEXREPLACE(D426,$A$5, )"),"Apk apa ini sudah daftar tapi gak bisa log in")</f>
        <v>Apk apa ini sudah daftar tapi gak bisa log in</v>
      </c>
      <c r="F426" s="17" t="str">
        <f>IFERROR(__xludf.DUMMYFUNCTION("REGEXREPLACE(E426,$A$6, )"),"Apk apa ini sudah daftar tapi gak bisa log in")</f>
        <v>Apk apa ini sudah daftar tapi gak bisa log in</v>
      </c>
      <c r="G426" s="18" t="str">
        <f>IFERROR(__xludf.DUMMYFUNCTION("REGEXREPLACE(F426,$A$7, )"),"Apk apa ini sudah daftar tapi gak bisa log in")</f>
        <v>Apk apa ini sudah daftar tapi gak bisa log in</v>
      </c>
      <c r="H426" s="17" t="str">
        <f t="shared" si="1"/>
        <v>apk apa ini sudah daftar tapi gak bisa log in</v>
      </c>
    </row>
    <row r="427">
      <c r="A427" s="16" t="s">
        <v>422</v>
      </c>
      <c r="B427" s="17" t="str">
        <f>IFERROR(__xludf.DUMMYFUNCTION("REGEXREPLACE(A427,$A$2, )"),"Aplikasi bikin darah tinggi...selalu gagal dan gagal...jgn php deh")</f>
        <v>Aplikasi bikin darah tinggi...selalu gagal dan gagal...jgn php deh</v>
      </c>
      <c r="C427" s="17" t="str">
        <f>IFERROR(__xludf.DUMMYFUNCTION("REGEXREPLACE(B427,$A$3, )"),"Aplikasi bikin darah tinggi...selalu gagal dan gagal...jgn php deh")</f>
        <v>Aplikasi bikin darah tinggi...selalu gagal dan gagal...jgn php deh</v>
      </c>
      <c r="D427" s="17" t="str">
        <f>IFERROR(__xludf.DUMMYFUNCTION("REGEXREPLACE(C427,$A$4, )"),"Aplikasi bikin darah tinggi...selalu gagal dan gagal...jgn php deh")</f>
        <v>Aplikasi bikin darah tinggi...selalu gagal dan gagal...jgn php deh</v>
      </c>
      <c r="E427" s="17" t="str">
        <f>IFERROR(__xludf.DUMMYFUNCTION("REGEXREPLACE(D427,$A$5, )"),"Aplikasi bikin darah tinggi...selalu gagal dan gagal...jgn php deh")</f>
        <v>Aplikasi bikin darah tinggi...selalu gagal dan gagal...jgn php deh</v>
      </c>
      <c r="F427" s="17" t="str">
        <f>IFERROR(__xludf.DUMMYFUNCTION("REGEXREPLACE(E427,$A$6, )"),"Aplikasi bikin darah tinggiselalu gagal dan gagaljgn php deh")</f>
        <v>Aplikasi bikin darah tinggiselalu gagal dan gagaljgn php deh</v>
      </c>
      <c r="G427" s="18" t="str">
        <f>IFERROR(__xludf.DUMMYFUNCTION("REGEXREPLACE(F427,$A$7, )"),"Aplikasi bikin darah tinggiselalu gagal dan gagaljgn php deh")</f>
        <v>Aplikasi bikin darah tinggiselalu gagal dan gagaljgn php deh</v>
      </c>
      <c r="H427" s="17" t="str">
        <f t="shared" si="1"/>
        <v>aplikasi bikin darah tinggiselalu gagal dan gagaljgn php deh</v>
      </c>
    </row>
    <row r="428">
      <c r="A428" s="16" t="s">
        <v>423</v>
      </c>
      <c r="B428" s="17" t="str">
        <f>IFERROR(__xludf.DUMMYFUNCTION("REGEXREPLACE(A428,$A$2, )"),"Mau cek susah ga bisa login login")</f>
        <v>Mau cek susah ga bisa login login</v>
      </c>
      <c r="C428" s="17" t="str">
        <f>IFERROR(__xludf.DUMMYFUNCTION("REGEXREPLACE(B428,$A$3, )"),"Mau cek susah ga bisa login login")</f>
        <v>Mau cek susah ga bisa login login</v>
      </c>
      <c r="D428" s="17" t="str">
        <f>IFERROR(__xludf.DUMMYFUNCTION("REGEXREPLACE(C428,$A$4, )"),"Mau cek susah ga bisa login login")</f>
        <v>Mau cek susah ga bisa login login</v>
      </c>
      <c r="E428" s="17" t="str">
        <f>IFERROR(__xludf.DUMMYFUNCTION("REGEXREPLACE(D428,$A$5, )"),"Mau cek susah ga bisa login login")</f>
        <v>Mau cek susah ga bisa login login</v>
      </c>
      <c r="F428" s="17" t="str">
        <f>IFERROR(__xludf.DUMMYFUNCTION("REGEXREPLACE(E428,$A$6, )"),"Mau cek susah ga bisa login login")</f>
        <v>Mau cek susah ga bisa login login</v>
      </c>
      <c r="G428" s="18" t="str">
        <f>IFERROR(__xludf.DUMMYFUNCTION("REGEXREPLACE(F428,$A$7, )"),"Mau cek susah ga bisa login login")</f>
        <v>Mau cek susah ga bisa login login</v>
      </c>
      <c r="H428" s="17" t="str">
        <f t="shared" si="1"/>
        <v>mau cek susah ga bisa login login</v>
      </c>
    </row>
    <row r="429">
      <c r="A429" s="16" t="s">
        <v>424</v>
      </c>
      <c r="B429" s="17" t="str">
        <f>IFERROR(__xludf.DUMMYFUNCTION("REGEXREPLACE(A429,$A$2, )"),"Gak bisa daftar udah dicoba tiap hari gak bisa daftar buat akun")</f>
        <v>Gak bisa daftar udah dicoba tiap hari gak bisa daftar buat akun</v>
      </c>
      <c r="C429" s="17" t="str">
        <f>IFERROR(__xludf.DUMMYFUNCTION("REGEXREPLACE(B429,$A$3, )"),"Gak bisa daftar udah dicoba tiap hari gak bisa daftar buat akun")</f>
        <v>Gak bisa daftar udah dicoba tiap hari gak bisa daftar buat akun</v>
      </c>
      <c r="D429" s="17" t="str">
        <f>IFERROR(__xludf.DUMMYFUNCTION("REGEXREPLACE(C429,$A$4, )"),"Gak bisa daftar udah dicoba tiap hari gak bisa daftar buat akun")</f>
        <v>Gak bisa daftar udah dicoba tiap hari gak bisa daftar buat akun</v>
      </c>
      <c r="E429" s="17" t="str">
        <f>IFERROR(__xludf.DUMMYFUNCTION("REGEXREPLACE(D429,$A$5, )"),"Gak bisa daftar udah dicoba tiap hari gak bisa daftar buat akun")</f>
        <v>Gak bisa daftar udah dicoba tiap hari gak bisa daftar buat akun</v>
      </c>
      <c r="F429" s="17" t="str">
        <f>IFERROR(__xludf.DUMMYFUNCTION("REGEXREPLACE(E429,$A$6, )"),"Gak bisa daftar udah dicoba tiap hari gak bisa daftar buat akun")</f>
        <v>Gak bisa daftar udah dicoba tiap hari gak bisa daftar buat akun</v>
      </c>
      <c r="G429" s="18" t="str">
        <f>IFERROR(__xludf.DUMMYFUNCTION("REGEXREPLACE(F429,$A$7, )"),"Gak bisa daftar udah dicoba tiap hari gak bisa daftar buat akun")</f>
        <v>Gak bisa daftar udah dicoba tiap hari gak bisa daftar buat akun</v>
      </c>
      <c r="H429" s="17" t="str">
        <f t="shared" si="1"/>
        <v>gak bisa daftar udah dicoba tiap hari gak bisa daftar buat akun</v>
      </c>
    </row>
    <row r="430">
      <c r="A430" s="16" t="s">
        <v>425</v>
      </c>
      <c r="B430" s="17" t="str">
        <f>IFERROR(__xludf.DUMMYFUNCTION("REGEXREPLACE(A430,$A$2, )"),"Akun udh berhasil di buat ga bisa buat login")</f>
        <v>Akun udh berhasil di buat ga bisa buat login</v>
      </c>
      <c r="C430" s="17" t="str">
        <f>IFERROR(__xludf.DUMMYFUNCTION("REGEXREPLACE(B430,$A$3, )"),"Akun udh berhasil di buat ga bisa buat login")</f>
        <v>Akun udh berhasil di buat ga bisa buat login</v>
      </c>
      <c r="D430" s="17" t="str">
        <f>IFERROR(__xludf.DUMMYFUNCTION("REGEXREPLACE(C430,$A$4, )"),"Akun udh berhasil di buat ga bisa buat login")</f>
        <v>Akun udh berhasil di buat ga bisa buat login</v>
      </c>
      <c r="E430" s="17" t="str">
        <f>IFERROR(__xludf.DUMMYFUNCTION("REGEXREPLACE(D430,$A$5, )"),"Akun udh berhasil di buat ga bisa buat login")</f>
        <v>Akun udh berhasil di buat ga bisa buat login</v>
      </c>
      <c r="F430" s="17" t="str">
        <f>IFERROR(__xludf.DUMMYFUNCTION("REGEXREPLACE(E430,$A$6, )"),"Akun udh berhasil di buat ga bisa buat login")</f>
        <v>Akun udh berhasil di buat ga bisa buat login</v>
      </c>
      <c r="G430" s="18" t="str">
        <f>IFERROR(__xludf.DUMMYFUNCTION("REGEXREPLACE(F430,$A$7, )"),"Akun udh berhasil di buat ga bisa buat login")</f>
        <v>Akun udh berhasil di buat ga bisa buat login</v>
      </c>
      <c r="H430" s="17" t="str">
        <f t="shared" si="1"/>
        <v>akun udh berhasil di buat ga bisa buat login</v>
      </c>
    </row>
    <row r="431">
      <c r="A431" s="16" t="s">
        <v>426</v>
      </c>
      <c r="B431" s="17" t="str">
        <f>IFERROR(__xludf.DUMMYFUNCTION("REGEXREPLACE(A431,$A$2, )"),"Cuma mau bilang pembagian BANSOS ini tidak pernah adil dan ternyata aplikasinya juga asal bikin.....error mulu.")</f>
        <v>Cuma mau bilang pembagian BANSOS ini tidak pernah adil dan ternyata aplikasinya juga asal bikin.....error mulu.</v>
      </c>
      <c r="C431" s="17" t="str">
        <f>IFERROR(__xludf.DUMMYFUNCTION("REGEXREPLACE(B431,$A$3, )"),"Cuma mau bilang pembagian BANSOS ini tidak pernah adil dan ternyata aplikasinya juga asal bikin.....error mulu.")</f>
        <v>Cuma mau bilang pembagian BANSOS ini tidak pernah adil dan ternyata aplikasinya juga asal bikin.....error mulu.</v>
      </c>
      <c r="D431" s="17" t="str">
        <f>IFERROR(__xludf.DUMMYFUNCTION("REGEXREPLACE(C431,$A$4, )"),"Cuma mau bilang pembagian BANSOS ini tidak pernah adil dan ternyata aplikasinya juga asal bikin.....error mulu.")</f>
        <v>Cuma mau bilang pembagian BANSOS ini tidak pernah adil dan ternyata aplikasinya juga asal bikin.....error mulu.</v>
      </c>
      <c r="E431" s="17" t="str">
        <f>IFERROR(__xludf.DUMMYFUNCTION("REGEXREPLACE(D431,$A$5, )"),"Cuma mau bilang pembagian BANSOS ini tidak pernah adil dan ternyata aplikasinya juga asal bikin.....error mulu.")</f>
        <v>Cuma mau bilang pembagian BANSOS ini tidak pernah adil dan ternyata aplikasinya juga asal bikin.....error mulu.</v>
      </c>
      <c r="F431" s="17" t="str">
        <f>IFERROR(__xludf.DUMMYFUNCTION("REGEXREPLACE(E431,$A$6, )"),"Cuma mau bilang pembagian BANSOS ini tidak pernah adil dan ternyata aplikasinya juga asal bikinerror mulu")</f>
        <v>Cuma mau bilang pembagian BANSOS ini tidak pernah adil dan ternyata aplikasinya juga asal bikinerror mulu</v>
      </c>
      <c r="G431" s="18" t="str">
        <f>IFERROR(__xludf.DUMMYFUNCTION("REGEXREPLACE(F431,$A$7, )"),"Cuma mau bilang pembagian BANSOS ini tidak pernah adil dan ternyata aplikasinya juga asal bikinerror mulu")</f>
        <v>Cuma mau bilang pembagian BANSOS ini tidak pernah adil dan ternyata aplikasinya juga asal bikinerror mulu</v>
      </c>
      <c r="H431" s="17" t="str">
        <f t="shared" si="1"/>
        <v>cuma mau bilang pembagian bansos ini tidak pernah adil dan ternyata aplikasinya juga asal bikinerror mulu</v>
      </c>
    </row>
    <row r="432">
      <c r="A432" s="16" t="s">
        <v>427</v>
      </c>
      <c r="B432" s="17" t="str">
        <f>IFERROR(__xludf.DUMMYFUNCTION("REGEXREPLACE(A432,$A$2, )"),"Aplikasi cuman buat formalitas ajakah?, Yg penting buat gembar gembor, tp tidak diurus🤦, Miris")</f>
        <v>Aplikasi cuman buat formalitas ajakah?, Yg penting buat gembar gembor, tp tidak diurus🤦, Miris</v>
      </c>
      <c r="C432" s="17" t="str">
        <f>IFERROR(__xludf.DUMMYFUNCTION("REGEXREPLACE(B432,$A$3, )"),"Aplikasi cuman buat formalitas ajakah?, Yg penting buat gembar gembor, tp tidak diurus🤦, Miris")</f>
        <v>Aplikasi cuman buat formalitas ajakah?, Yg penting buat gembar gembor, tp tidak diurus🤦, Miris</v>
      </c>
      <c r="D432" s="17" t="str">
        <f>IFERROR(__xludf.DUMMYFUNCTION("REGEXREPLACE(C432,$A$4, )"),"Aplikasi cuman buat formalitas ajakah?, Yg penting buat gembar gembor, tp tidak diurus🤦, Miris")</f>
        <v>Aplikasi cuman buat formalitas ajakah?, Yg penting buat gembar gembor, tp tidak diurus🤦, Miris</v>
      </c>
      <c r="E432" s="17" t="str">
        <f>IFERROR(__xludf.DUMMYFUNCTION("REGEXREPLACE(D432,$A$5, )"),"Aplikasi cuman buat formalitas ajakah?, Yg penting buat gembar gembor, tp tidak diurus🤦, Miris")</f>
        <v>Aplikasi cuman buat formalitas ajakah?, Yg penting buat gembar gembor, tp tidak diurus🤦, Miris</v>
      </c>
      <c r="F432" s="17" t="str">
        <f>IFERROR(__xludf.DUMMYFUNCTION("REGEXREPLACE(E432,$A$6, )"),"Aplikasi cuman buat formalitas ajakah Yg penting buat gembar gembor tp tidak diurus🤦 Miris")</f>
        <v>Aplikasi cuman buat formalitas ajakah Yg penting buat gembar gembor tp tidak diurus🤦 Miris</v>
      </c>
      <c r="G432" s="18" t="str">
        <f>IFERROR(__xludf.DUMMYFUNCTION("REGEXREPLACE(F432,$A$7, )"),"Aplikasi cuman buat formalitas ajakah Yg penting buat gembar gembor tp tidak diurus Miris")</f>
        <v>Aplikasi cuman buat formalitas ajakah Yg penting buat gembar gembor tp tidak diurus Miris</v>
      </c>
      <c r="H432" s="17" t="str">
        <f t="shared" si="1"/>
        <v>aplikasi cuman buat formalitas ajakah yg penting buat gembar gembor tp tidak diurus miris</v>
      </c>
    </row>
    <row r="433">
      <c r="A433" s="16" t="s">
        <v>428</v>
      </c>
      <c r="B433" s="17" t="str">
        <f>IFERROR(__xludf.DUMMYFUNCTION("REGEXREPLACE(A433,$A$2, )"),"Giliran data udah lengkap login gak bisa")</f>
        <v>Giliran data udah lengkap login gak bisa</v>
      </c>
      <c r="C433" s="17" t="str">
        <f>IFERROR(__xludf.DUMMYFUNCTION("REGEXREPLACE(B433,$A$3, )"),"Giliran data udah lengkap login gak bisa")</f>
        <v>Giliran data udah lengkap login gak bisa</v>
      </c>
      <c r="D433" s="17" t="str">
        <f>IFERROR(__xludf.DUMMYFUNCTION("REGEXREPLACE(C433,$A$4, )"),"Giliran data udah lengkap login gak bisa")</f>
        <v>Giliran data udah lengkap login gak bisa</v>
      </c>
      <c r="E433" s="17" t="str">
        <f>IFERROR(__xludf.DUMMYFUNCTION("REGEXREPLACE(D433,$A$5, )"),"Giliran data udah lengkap login gak bisa")</f>
        <v>Giliran data udah lengkap login gak bisa</v>
      </c>
      <c r="F433" s="17" t="str">
        <f>IFERROR(__xludf.DUMMYFUNCTION("REGEXREPLACE(E433,$A$6, )"),"Giliran data udah lengkap login gak bisa")</f>
        <v>Giliran data udah lengkap login gak bisa</v>
      </c>
      <c r="G433" s="18" t="str">
        <f>IFERROR(__xludf.DUMMYFUNCTION("REGEXREPLACE(F433,$A$7, )"),"Giliran data udah lengkap login gak bisa")</f>
        <v>Giliran data udah lengkap login gak bisa</v>
      </c>
      <c r="H433" s="17" t="str">
        <f t="shared" si="1"/>
        <v>giliran data udah lengkap login gak bisa</v>
      </c>
    </row>
    <row r="434">
      <c r="A434" s="16" t="s">
        <v>429</v>
      </c>
      <c r="B434" s="17" t="str">
        <f>IFERROR(__xludf.DUMMYFUNCTION("REGEXREPLACE(A434,$A$2, )"),"Error terus, gak bsa2 Knapa ya?")</f>
        <v>Error terus, gak bsa2 Knapa ya?</v>
      </c>
      <c r="C434" s="17" t="str">
        <f>IFERROR(__xludf.DUMMYFUNCTION("REGEXREPLACE(B434,$A$3, )"),"Error terus, gak bsa2 Knapa ya?")</f>
        <v>Error terus, gak bsa2 Knapa ya?</v>
      </c>
      <c r="D434" s="17" t="str">
        <f>IFERROR(__xludf.DUMMYFUNCTION("REGEXREPLACE(C434,$A$4, )"),"Error terus, gak bsa2 Knapa ya?")</f>
        <v>Error terus, gak bsa2 Knapa ya?</v>
      </c>
      <c r="E434" s="17" t="str">
        <f>IFERROR(__xludf.DUMMYFUNCTION("REGEXREPLACE(D434,$A$5, )"),"Error terus, gak bsa Knapa ya?")</f>
        <v>Error terus, gak bsa Knapa ya?</v>
      </c>
      <c r="F434" s="17" t="str">
        <f>IFERROR(__xludf.DUMMYFUNCTION("REGEXREPLACE(E434,$A$6, )"),"Error terus gak bsa Knapa ya")</f>
        <v>Error terus gak bsa Knapa ya</v>
      </c>
      <c r="G434" s="18" t="str">
        <f>IFERROR(__xludf.DUMMYFUNCTION("REGEXREPLACE(F434,$A$7, )"),"Error terus gak bsa Knapa ya")</f>
        <v>Error terus gak bsa Knapa ya</v>
      </c>
      <c r="H434" s="17" t="str">
        <f t="shared" si="1"/>
        <v>error terus gak bsa knapa ya</v>
      </c>
    </row>
    <row r="435">
      <c r="A435" s="16" t="s">
        <v>430</v>
      </c>
      <c r="B435" s="17" t="str">
        <f>IFERROR(__xludf.DUMMYFUNCTION("REGEXREPLACE(A435,$A$2, )"),"Masih mau coba..mudah mudah berhasil")</f>
        <v>Masih mau coba..mudah mudah berhasil</v>
      </c>
      <c r="C435" s="17" t="str">
        <f>IFERROR(__xludf.DUMMYFUNCTION("REGEXREPLACE(B435,$A$3, )"),"Masih mau coba..mudah mudah berhasil")</f>
        <v>Masih mau coba..mudah mudah berhasil</v>
      </c>
      <c r="D435" s="17" t="str">
        <f>IFERROR(__xludf.DUMMYFUNCTION("REGEXREPLACE(C435,$A$4, )"),"Masih mau coba..mudah mudah berhasil")</f>
        <v>Masih mau coba..mudah mudah berhasil</v>
      </c>
      <c r="E435" s="17" t="str">
        <f>IFERROR(__xludf.DUMMYFUNCTION("REGEXREPLACE(D435,$A$5, )"),"Masih mau coba..mudah mudah berhasil")</f>
        <v>Masih mau coba..mudah mudah berhasil</v>
      </c>
      <c r="F435" s="17" t="str">
        <f>IFERROR(__xludf.DUMMYFUNCTION("REGEXREPLACE(E435,$A$6, )"),"Masih mau cobamudah mudah berhasil")</f>
        <v>Masih mau cobamudah mudah berhasil</v>
      </c>
      <c r="G435" s="18" t="str">
        <f>IFERROR(__xludf.DUMMYFUNCTION("REGEXREPLACE(F435,$A$7, )"),"Masih mau cobamudah mudah berhasil")</f>
        <v>Masih mau cobamudah mudah berhasil</v>
      </c>
      <c r="H435" s="17" t="str">
        <f t="shared" si="1"/>
        <v>masih mau cobamudah mudah berhasil</v>
      </c>
    </row>
    <row r="436">
      <c r="A436" s="16" t="s">
        <v>431</v>
      </c>
      <c r="B436" s="17" t="str">
        <f>IFERROR(__xludf.DUMMYFUNCTION("REGEXREPLACE(A436,$A$2, )"),"Erorrr gk bisa masuk.... Tolong donk segera di perbaiki")</f>
        <v>Erorrr gk bisa masuk.... Tolong donk segera di perbaiki</v>
      </c>
      <c r="C436" s="17" t="str">
        <f>IFERROR(__xludf.DUMMYFUNCTION("REGEXREPLACE(B436,$A$3, )"),"Erorrr gk bisa masuk.... Tolong donk segera di perbaiki")</f>
        <v>Erorrr gk bisa masuk.... Tolong donk segera di perbaiki</v>
      </c>
      <c r="D436" s="17" t="str">
        <f>IFERROR(__xludf.DUMMYFUNCTION("REGEXREPLACE(C436,$A$4, )"),"Erorrr gk bisa masuk.... Tolong donk segera di perbaiki")</f>
        <v>Erorrr gk bisa masuk.... Tolong donk segera di perbaiki</v>
      </c>
      <c r="E436" s="17" t="str">
        <f>IFERROR(__xludf.DUMMYFUNCTION("REGEXREPLACE(D436,$A$5, )"),"Erorrr gk bisa masuk.... Tolong donk segera di perbaiki")</f>
        <v>Erorrr gk bisa masuk.... Tolong donk segera di perbaiki</v>
      </c>
      <c r="F436" s="17" t="str">
        <f>IFERROR(__xludf.DUMMYFUNCTION("REGEXREPLACE(E436,$A$6, )"),"Erorrr gk bisa masuk Tolong donk segera di perbaiki")</f>
        <v>Erorrr gk bisa masuk Tolong donk segera di perbaiki</v>
      </c>
      <c r="G436" s="18" t="str">
        <f>IFERROR(__xludf.DUMMYFUNCTION("REGEXREPLACE(F436,$A$7, )"),"Erorrr gk bisa masuk Tolong donk segera di perbaiki")</f>
        <v>Erorrr gk bisa masuk Tolong donk segera di perbaiki</v>
      </c>
      <c r="H436" s="17" t="str">
        <f t="shared" si="1"/>
        <v>erorrr gk bisa masuk tolong donk segera di perbaiki</v>
      </c>
    </row>
    <row r="437">
      <c r="A437" s="16" t="s">
        <v>432</v>
      </c>
      <c r="B437" s="17" t="str">
        <f>IFERROR(__xludf.DUMMYFUNCTION("REGEXREPLACE(A437,$A$2, )"),"Ga bisa masuk dan ga bisa konfirmasi Ah cape mending klu dapet ini ga dapet kayanya")</f>
        <v>Ga bisa masuk dan ga bisa konfirmasi Ah cape mending klu dapet ini ga dapet kayanya</v>
      </c>
      <c r="C437" s="17" t="str">
        <f>IFERROR(__xludf.DUMMYFUNCTION("REGEXREPLACE(B437,$A$3, )"),"Ga bisa masuk dan ga bisa konfirmasi Ah cape mending klu dapet ini ga dapet kayanya")</f>
        <v>Ga bisa masuk dan ga bisa konfirmasi Ah cape mending klu dapet ini ga dapet kayanya</v>
      </c>
      <c r="D437" s="17" t="str">
        <f>IFERROR(__xludf.DUMMYFUNCTION("REGEXREPLACE(C437,$A$4, )"),"Ga bisa masuk dan ga bisa konfirmasi Ah cape mending klu dapet ini ga dapet kayanya")</f>
        <v>Ga bisa masuk dan ga bisa konfirmasi Ah cape mending klu dapet ini ga dapet kayanya</v>
      </c>
      <c r="E437" s="17" t="str">
        <f>IFERROR(__xludf.DUMMYFUNCTION("REGEXREPLACE(D437,$A$5, )"),"Ga bisa masuk dan ga bisa konfirmasi Ah cape mending klu dapet ini ga dapet kayanya")</f>
        <v>Ga bisa masuk dan ga bisa konfirmasi Ah cape mending klu dapet ini ga dapet kayanya</v>
      </c>
      <c r="F437" s="17" t="str">
        <f>IFERROR(__xludf.DUMMYFUNCTION("REGEXREPLACE(E437,$A$6, )"),"Ga bisa masuk dan ga bisa konfirmasi Ah cape mending klu dapet ini ga dapet kayanya")</f>
        <v>Ga bisa masuk dan ga bisa konfirmasi Ah cape mending klu dapet ini ga dapet kayanya</v>
      </c>
      <c r="G437" s="18" t="str">
        <f>IFERROR(__xludf.DUMMYFUNCTION("REGEXREPLACE(F437,$A$7, )"),"Ga bisa masuk dan ga bisa konfirmasi Ah cape mending klu dapet ini ga dapet kayanya")</f>
        <v>Ga bisa masuk dan ga bisa konfirmasi Ah cape mending klu dapet ini ga dapet kayanya</v>
      </c>
      <c r="H437" s="17" t="str">
        <f t="shared" si="1"/>
        <v>ga bisa masuk dan ga bisa konfirmasi ah cape mending klu dapet ini ga dapet kayanya</v>
      </c>
    </row>
    <row r="438">
      <c r="A438" s="16" t="s">
        <v>433</v>
      </c>
      <c r="B438" s="17" t="str">
        <f>IFERROR(__xludf.DUMMYFUNCTION("REGEXREPLACE(A438,$A$2, )"),"Salah satu bukti bahwa aplikasi daftar mandiri hanya formalitas dan hanya buang2 anggaran")</f>
        <v>Salah satu bukti bahwa aplikasi daftar mandiri hanya formalitas dan hanya buang2 anggaran</v>
      </c>
      <c r="C438" s="17" t="str">
        <f>IFERROR(__xludf.DUMMYFUNCTION("REGEXREPLACE(B438,$A$3, )"),"Salah satu bukti bahwa aplikasi daftar mandiri hanya formalitas dan hanya buang2 anggaran")</f>
        <v>Salah satu bukti bahwa aplikasi daftar mandiri hanya formalitas dan hanya buang2 anggaran</v>
      </c>
      <c r="D438" s="17" t="str">
        <f>IFERROR(__xludf.DUMMYFUNCTION("REGEXREPLACE(C438,$A$4, )"),"Salah satu bukti bahwa aplikasi daftar mandiri hanya formalitas dan hanya buang2 anggaran")</f>
        <v>Salah satu bukti bahwa aplikasi daftar mandiri hanya formalitas dan hanya buang2 anggaran</v>
      </c>
      <c r="E438" s="17" t="str">
        <f>IFERROR(__xludf.DUMMYFUNCTION("REGEXREPLACE(D438,$A$5, )"),"Salah satu bukti bahwa aplikasi daftar mandiri hanya formalitas dan hanya buang anggaran")</f>
        <v>Salah satu bukti bahwa aplikasi daftar mandiri hanya formalitas dan hanya buang anggaran</v>
      </c>
      <c r="F438" s="17" t="str">
        <f>IFERROR(__xludf.DUMMYFUNCTION("REGEXREPLACE(E438,$A$6, )"),"Salah satu bukti bahwa aplikasi daftar mandiri hanya formalitas dan hanya buang anggaran")</f>
        <v>Salah satu bukti bahwa aplikasi daftar mandiri hanya formalitas dan hanya buang anggaran</v>
      </c>
      <c r="G438" s="18" t="str">
        <f>IFERROR(__xludf.DUMMYFUNCTION("REGEXREPLACE(F438,$A$7, )"),"Salah satu bukti bahwa aplikasi daftar mandiri hanya formalitas dan hanya buang anggaran")</f>
        <v>Salah satu bukti bahwa aplikasi daftar mandiri hanya formalitas dan hanya buang anggaran</v>
      </c>
      <c r="H438" s="17" t="str">
        <f t="shared" si="1"/>
        <v>salah satu bukti bahwa aplikasi daftar mandiri hanya formalitas dan hanya buang anggaran</v>
      </c>
    </row>
    <row r="439">
      <c r="A439" s="16" t="s">
        <v>434</v>
      </c>
      <c r="B439" s="17" t="str">
        <f>IFERROR(__xludf.DUMMYFUNCTION("REGEXREPLACE(A439,$A$2, )"),"Apk nya error gak bisa login")</f>
        <v>Apk nya error gak bisa login</v>
      </c>
      <c r="C439" s="17" t="str">
        <f>IFERROR(__xludf.DUMMYFUNCTION("REGEXREPLACE(B439,$A$3, )"),"Apk nya error gak bisa login")</f>
        <v>Apk nya error gak bisa login</v>
      </c>
      <c r="D439" s="17" t="str">
        <f>IFERROR(__xludf.DUMMYFUNCTION("REGEXREPLACE(C439,$A$4, )"),"Apk nya error gak bisa login")</f>
        <v>Apk nya error gak bisa login</v>
      </c>
      <c r="E439" s="17" t="str">
        <f>IFERROR(__xludf.DUMMYFUNCTION("REGEXREPLACE(D439,$A$5, )"),"Apk nya error gak bisa login")</f>
        <v>Apk nya error gak bisa login</v>
      </c>
      <c r="F439" s="17" t="str">
        <f>IFERROR(__xludf.DUMMYFUNCTION("REGEXREPLACE(E439,$A$6, )"),"Apk nya error gak bisa login")</f>
        <v>Apk nya error gak bisa login</v>
      </c>
      <c r="G439" s="18" t="str">
        <f>IFERROR(__xludf.DUMMYFUNCTION("REGEXREPLACE(F439,$A$7, )"),"Apk nya error gak bisa login")</f>
        <v>Apk nya error gak bisa login</v>
      </c>
      <c r="H439" s="17" t="str">
        <f t="shared" si="1"/>
        <v>apk nya error gak bisa login</v>
      </c>
    </row>
    <row r="440">
      <c r="A440" s="16" t="s">
        <v>435</v>
      </c>
      <c r="B440" s="17" t="str">
        <f>IFERROR(__xludf.DUMMYFUNCTION("REGEXREPLACE(A440,$A$2, )"),"Gabisa log in, sever gak dipelihara keknya dananya kena korupsi wkwk")</f>
        <v>Gabisa log in, sever gak dipelihara keknya dananya kena korupsi wkwk</v>
      </c>
      <c r="C440" s="17" t="str">
        <f>IFERROR(__xludf.DUMMYFUNCTION("REGEXREPLACE(B440,$A$3, )"),"Gabisa log in, sever gak dipelihara keknya dananya kena korupsi wkwk")</f>
        <v>Gabisa log in, sever gak dipelihara keknya dananya kena korupsi wkwk</v>
      </c>
      <c r="D440" s="17" t="str">
        <f>IFERROR(__xludf.DUMMYFUNCTION("REGEXREPLACE(C440,$A$4, )"),"Gabisa log in, sever gak dipelihara keknya dananya kena korupsi wkwk")</f>
        <v>Gabisa log in, sever gak dipelihara keknya dananya kena korupsi wkwk</v>
      </c>
      <c r="E440" s="17" t="str">
        <f>IFERROR(__xludf.DUMMYFUNCTION("REGEXREPLACE(D440,$A$5, )"),"Gabisa log in, sever gak dipelihara keknya dananya kena korupsi wkwk")</f>
        <v>Gabisa log in, sever gak dipelihara keknya dananya kena korupsi wkwk</v>
      </c>
      <c r="F440" s="17" t="str">
        <f>IFERROR(__xludf.DUMMYFUNCTION("REGEXREPLACE(E440,$A$6, )"),"Gabisa log in sever gak dipelihara keknya dananya kena korupsi wkwk")</f>
        <v>Gabisa log in sever gak dipelihara keknya dananya kena korupsi wkwk</v>
      </c>
      <c r="G440" s="18" t="str">
        <f>IFERROR(__xludf.DUMMYFUNCTION("REGEXREPLACE(F440,$A$7, )"),"Gabisa log in sever gak dipelihara keknya dananya kena korupsi wkwk")</f>
        <v>Gabisa log in sever gak dipelihara keknya dananya kena korupsi wkwk</v>
      </c>
      <c r="H440" s="17" t="str">
        <f t="shared" si="1"/>
        <v>gabisa log in sever gak dipelihara keknya dananya kena korupsi wkwk</v>
      </c>
    </row>
    <row r="441">
      <c r="A441" s="16" t="s">
        <v>436</v>
      </c>
      <c r="B441" s="17" t="str">
        <f>IFERROR(__xludf.DUMMYFUNCTION("REGEXREPLACE(A441,$A$2, )"),"Kok dia bilang eror si dak bisa di masuki,dak kayak dulu alfikasiny eror total Maaf saya kasih bintang satu 🙏saya sangat kecwe dngan alfikasi ini tolng d perbaiki lagi alfikasi ny, terimakasih")</f>
        <v>Kok dia bilang eror si dak bisa di masuki,dak kayak dulu alfikasiny eror total Maaf saya kasih bintang satu 🙏saya sangat kecwe dngan alfikasi ini tolng d perbaiki lagi alfikasi ny, terimakasih</v>
      </c>
      <c r="C441" s="17" t="str">
        <f>IFERROR(__xludf.DUMMYFUNCTION("REGEXREPLACE(B441,$A$3, )"),"Kok dia bilang eror si dak bisa di masuki,dak kayak dulu alfikasiny eror total Maaf saya kasih bintang satu 🙏saya sangat kecwe dngan alfikasi ini tolng d perbaiki lagi alfikasi ny, terimakasih")</f>
        <v>Kok dia bilang eror si dak bisa di masuki,dak kayak dulu alfikasiny eror total Maaf saya kasih bintang satu 🙏saya sangat kecwe dngan alfikasi ini tolng d perbaiki lagi alfikasi ny, terimakasih</v>
      </c>
      <c r="D441" s="17" t="str">
        <f>IFERROR(__xludf.DUMMYFUNCTION("REGEXREPLACE(C441,$A$4, )"),"Kok dia bilang eror si dak bisa di masuki,dak kayak dulu alfikasiny eror total Maaf saya kasih bintang satu 🙏saya sangat kecwe dngan alfikasi ini tolng d perbaiki lagi alfikasi ny, terimakasih")</f>
        <v>Kok dia bilang eror si dak bisa di masuki,dak kayak dulu alfikasiny eror total Maaf saya kasih bintang satu 🙏saya sangat kecwe dngan alfikasi ini tolng d perbaiki lagi alfikasi ny, terimakasih</v>
      </c>
      <c r="E441" s="17" t="str">
        <f>IFERROR(__xludf.DUMMYFUNCTION("REGEXREPLACE(D441,$A$5, )"),"Kok dia bilang eror si dak bisa di masuki,dak kayak dulu alfikasiny eror total Maaf saya kasih bintang satu 🙏saya sangat kecwe dngan alfikasi ini tolng d perbaiki lagi alfikasi ny, terimakasih")</f>
        <v>Kok dia bilang eror si dak bisa di masuki,dak kayak dulu alfikasiny eror total Maaf saya kasih bintang satu 🙏saya sangat kecwe dngan alfikasi ini tolng d perbaiki lagi alfikasi ny, terimakasih</v>
      </c>
      <c r="F441" s="17" t="str">
        <f>IFERROR(__xludf.DUMMYFUNCTION("REGEXREPLACE(E441,$A$6, )"),"Kok dia bilang eror si dak bisa di masukidak kayak dulu alfikasiny eror total Maaf saya kasih bintang satu 🙏saya sangat kecwe dngan alfikasi ini tolng d perbaiki lagi alfikasi ny terimakasih")</f>
        <v>Kok dia bilang eror si dak bisa di masukidak kayak dulu alfikasiny eror total Maaf saya kasih bintang satu 🙏saya sangat kecwe dngan alfikasi ini tolng d perbaiki lagi alfikasi ny terimakasih</v>
      </c>
      <c r="G441" s="18" t="str">
        <f>IFERROR(__xludf.DUMMYFUNCTION("REGEXREPLACE(F441,$A$7, )"),"Kok dia bilang eror si dak bisa di masukidak kayak dulu alfikasiny eror total Maaf saya kasih bintang satu saya sangat kecwe dngan alfikasi ini tolng d perbaiki lagi alfikasi ny terimakasih")</f>
        <v>Kok dia bilang eror si dak bisa di masukidak kayak dulu alfikasiny eror total Maaf saya kasih bintang satu saya sangat kecwe dngan alfikasi ini tolng d perbaiki lagi alfikasi ny terimakasih</v>
      </c>
      <c r="H441" s="17" t="str">
        <f t="shared" si="1"/>
        <v>kok dia bilang eror si dak bisa di masukidak kayak dulu alfikasiny eror total maaf saya kasih bintang satu saya sangat kecwe dngan alfikasi ini tolng d perbaiki lagi alfikasi ny terimakasih</v>
      </c>
    </row>
    <row r="442">
      <c r="A442" s="16" t="s">
        <v>437</v>
      </c>
      <c r="B442" s="17" t="str">
        <f>IFERROR(__xludf.DUMMYFUNCTION("REGEXREPLACE(A442,$A$2, )"),"Aplikasi nya selalu eror Jon porse., Gman solusinya ni?")</f>
        <v>Aplikasi nya selalu eror Jon porse., Gman solusinya ni?</v>
      </c>
      <c r="C442" s="17" t="str">
        <f>IFERROR(__xludf.DUMMYFUNCTION("REGEXREPLACE(B442,$A$3, )"),"Aplikasi nya selalu eror Jon porse., Gman solusinya ni?")</f>
        <v>Aplikasi nya selalu eror Jon porse., Gman solusinya ni?</v>
      </c>
      <c r="D442" s="17" t="str">
        <f>IFERROR(__xludf.DUMMYFUNCTION("REGEXREPLACE(C442,$A$4, )"),"Aplikasi nya selalu eror Jon porse., Gman solusinya ni?")</f>
        <v>Aplikasi nya selalu eror Jon porse., Gman solusinya ni?</v>
      </c>
      <c r="E442" s="17" t="str">
        <f>IFERROR(__xludf.DUMMYFUNCTION("REGEXREPLACE(D442,$A$5, )"),"Aplikasi nya selalu eror Jon porse., Gman solusinya ni?")</f>
        <v>Aplikasi nya selalu eror Jon porse., Gman solusinya ni?</v>
      </c>
      <c r="F442" s="17" t="str">
        <f>IFERROR(__xludf.DUMMYFUNCTION("REGEXREPLACE(E442,$A$6, )"),"Aplikasi nya selalu eror Jon porse Gman solusinya ni")</f>
        <v>Aplikasi nya selalu eror Jon porse Gman solusinya ni</v>
      </c>
      <c r="G442" s="18" t="str">
        <f>IFERROR(__xludf.DUMMYFUNCTION("REGEXREPLACE(F442,$A$7, )"),"Aplikasi nya selalu eror Jon porse Gman solusinya ni")</f>
        <v>Aplikasi nya selalu eror Jon porse Gman solusinya ni</v>
      </c>
      <c r="H442" s="17" t="str">
        <f t="shared" si="1"/>
        <v>aplikasi nya selalu eror jon porse gman solusinya ni</v>
      </c>
    </row>
    <row r="443">
      <c r="A443" s="16" t="s">
        <v>438</v>
      </c>
      <c r="B443" s="17" t="str">
        <f>IFERROR(__xludf.DUMMYFUNCTION("REGEXREPLACE(A443,$A$2, )"),"Aneh ga bisa log in terus")</f>
        <v>Aneh ga bisa log in terus</v>
      </c>
      <c r="C443" s="17" t="str">
        <f>IFERROR(__xludf.DUMMYFUNCTION("REGEXREPLACE(B443,$A$3, )"),"Aneh ga bisa log in terus")</f>
        <v>Aneh ga bisa log in terus</v>
      </c>
      <c r="D443" s="17" t="str">
        <f>IFERROR(__xludf.DUMMYFUNCTION("REGEXREPLACE(C443,$A$4, )"),"Aneh ga bisa log in terus")</f>
        <v>Aneh ga bisa log in terus</v>
      </c>
      <c r="E443" s="17" t="str">
        <f>IFERROR(__xludf.DUMMYFUNCTION("REGEXREPLACE(D443,$A$5, )"),"Aneh ga bisa log in terus")</f>
        <v>Aneh ga bisa log in terus</v>
      </c>
      <c r="F443" s="17" t="str">
        <f>IFERROR(__xludf.DUMMYFUNCTION("REGEXREPLACE(E443,$A$6, )"),"Aneh ga bisa log in terus")</f>
        <v>Aneh ga bisa log in terus</v>
      </c>
      <c r="G443" s="18" t="str">
        <f>IFERROR(__xludf.DUMMYFUNCTION("REGEXREPLACE(F443,$A$7, )"),"Aneh ga bisa log in terus")</f>
        <v>Aneh ga bisa log in terus</v>
      </c>
      <c r="H443" s="17" t="str">
        <f t="shared" si="1"/>
        <v>aneh ga bisa log in terus</v>
      </c>
    </row>
    <row r="444">
      <c r="A444" s="16" t="s">
        <v>439</v>
      </c>
      <c r="B444" s="17" t="str">
        <f>IFERROR(__xludf.DUMMYFUNCTION("REGEXREPLACE(A444,$A$2, )"),"Kecewa aplikasinya gk pernah bisa dibuka")</f>
        <v>Kecewa aplikasinya gk pernah bisa dibuka</v>
      </c>
      <c r="C444" s="17" t="str">
        <f>IFERROR(__xludf.DUMMYFUNCTION("REGEXREPLACE(B444,$A$3, )"),"Kecewa aplikasinya gk pernah bisa dibuka")</f>
        <v>Kecewa aplikasinya gk pernah bisa dibuka</v>
      </c>
      <c r="D444" s="17" t="str">
        <f>IFERROR(__xludf.DUMMYFUNCTION("REGEXREPLACE(C444,$A$4, )"),"Kecewa aplikasinya gk pernah bisa dibuka")</f>
        <v>Kecewa aplikasinya gk pernah bisa dibuka</v>
      </c>
      <c r="E444" s="17" t="str">
        <f>IFERROR(__xludf.DUMMYFUNCTION("REGEXREPLACE(D444,$A$5, )"),"Kecewa aplikasinya gk pernah bisa dibuka")</f>
        <v>Kecewa aplikasinya gk pernah bisa dibuka</v>
      </c>
      <c r="F444" s="17" t="str">
        <f>IFERROR(__xludf.DUMMYFUNCTION("REGEXREPLACE(E444,$A$6, )"),"Kecewa aplikasinya gk pernah bisa dibuka")</f>
        <v>Kecewa aplikasinya gk pernah bisa dibuka</v>
      </c>
      <c r="G444" s="18" t="str">
        <f>IFERROR(__xludf.DUMMYFUNCTION("REGEXREPLACE(F444,$A$7, )"),"Kecewa aplikasinya gk pernah bisa dibuka")</f>
        <v>Kecewa aplikasinya gk pernah bisa dibuka</v>
      </c>
      <c r="H444" s="17" t="str">
        <f t="shared" si="1"/>
        <v>kecewa aplikasinya gk pernah bisa dibuka</v>
      </c>
    </row>
    <row r="445">
      <c r="A445" s="16" t="s">
        <v>440</v>
      </c>
      <c r="B445" s="17" t="str">
        <f>IFERROR(__xludf.DUMMYFUNCTION("REGEXREPLACE(A445,$A$2, )"),"Kementerian Sosial punya anggaran kah buat perbaikin nih aplikasi atau server nya? Anggaran triliunan buat perbaikin aplikasi aja ga bisa parah")</f>
        <v>Kementerian Sosial punya anggaran kah buat perbaikin nih aplikasi atau server nya? Anggaran triliunan buat perbaikin aplikasi aja ga bisa parah</v>
      </c>
      <c r="C445" s="17" t="str">
        <f>IFERROR(__xludf.DUMMYFUNCTION("REGEXREPLACE(B445,$A$3, )"),"Kementerian Sosial punya anggaran kah buat perbaikin nih aplikasi atau server nya? Anggaran triliunan buat perbaikin aplikasi aja ga bisa parah")</f>
        <v>Kementerian Sosial punya anggaran kah buat perbaikin nih aplikasi atau server nya? Anggaran triliunan buat perbaikin aplikasi aja ga bisa parah</v>
      </c>
      <c r="D445" s="17" t="str">
        <f>IFERROR(__xludf.DUMMYFUNCTION("REGEXREPLACE(C445,$A$4, )"),"Kementerian Sosial punya anggaran kah buat perbaikin nih aplikasi atau server nya? Anggaran triliunan buat perbaikin aplikasi aja ga bisa parah")</f>
        <v>Kementerian Sosial punya anggaran kah buat perbaikin nih aplikasi atau server nya? Anggaran triliunan buat perbaikin aplikasi aja ga bisa parah</v>
      </c>
      <c r="E445" s="17" t="str">
        <f>IFERROR(__xludf.DUMMYFUNCTION("REGEXREPLACE(D445,$A$5, )"),"Kementerian Sosial punya anggaran kah buat perbaikin nih aplikasi atau server nya? Anggaran triliunan buat perbaikin aplikasi aja ga bisa parah")</f>
        <v>Kementerian Sosial punya anggaran kah buat perbaikin nih aplikasi atau server nya? Anggaran triliunan buat perbaikin aplikasi aja ga bisa parah</v>
      </c>
      <c r="F445" s="17" t="str">
        <f>IFERROR(__xludf.DUMMYFUNCTION("REGEXREPLACE(E445,$A$6, )"),"Kementerian Sosial punya anggaran kah buat perbaikin nih aplikasi atau server nya Anggaran triliunan buat perbaikin aplikasi aja ga bisa parah")</f>
        <v>Kementerian Sosial punya anggaran kah buat perbaikin nih aplikasi atau server nya Anggaran triliunan buat perbaikin aplikasi aja ga bisa parah</v>
      </c>
      <c r="G445" s="18" t="str">
        <f>IFERROR(__xludf.DUMMYFUNCTION("REGEXREPLACE(F445,$A$7, )"),"Kementerian Sosial punya anggaran kah buat perbaikin nih aplikasi atau server nya Anggaran triliunan buat perbaikin aplikasi aja ga bisa parah")</f>
        <v>Kementerian Sosial punya anggaran kah buat perbaikin nih aplikasi atau server nya Anggaran triliunan buat perbaikin aplikasi aja ga bisa parah</v>
      </c>
      <c r="H445" s="17" t="str">
        <f t="shared" si="1"/>
        <v>kementerian sosial punya anggaran kah buat perbaikin nih aplikasi atau server nya anggaran triliunan buat perbaikin aplikasi aja ga bisa parah</v>
      </c>
    </row>
    <row r="446">
      <c r="A446" s="16" t="s">
        <v>441</v>
      </c>
      <c r="B446" s="17" t="str">
        <f>IFERROR(__xludf.DUMMYFUNCTION("REGEXREPLACE(A446,$A$2, )"),"Aplikasi gaje, makan gaji buta. Anggaran gede tapi aplikasi gak guna")</f>
        <v>Aplikasi gaje, makan gaji buta. Anggaran gede tapi aplikasi gak guna</v>
      </c>
      <c r="C446" s="17" t="str">
        <f>IFERROR(__xludf.DUMMYFUNCTION("REGEXREPLACE(B446,$A$3, )"),"Aplikasi gaje, makan gaji buta. Anggaran gede tapi aplikasi gak guna")</f>
        <v>Aplikasi gaje, makan gaji buta. Anggaran gede tapi aplikasi gak guna</v>
      </c>
      <c r="D446" s="17" t="str">
        <f>IFERROR(__xludf.DUMMYFUNCTION("REGEXREPLACE(C446,$A$4, )"),"Aplikasi gaje, makan gaji buta. Anggaran gede tapi aplikasi gak guna")</f>
        <v>Aplikasi gaje, makan gaji buta. Anggaran gede tapi aplikasi gak guna</v>
      </c>
      <c r="E446" s="17" t="str">
        <f>IFERROR(__xludf.DUMMYFUNCTION("REGEXREPLACE(D446,$A$5, )"),"Aplikasi gaje, makan gaji buta. Anggaran gede tapi aplikasi gak guna")</f>
        <v>Aplikasi gaje, makan gaji buta. Anggaran gede tapi aplikasi gak guna</v>
      </c>
      <c r="F446" s="17" t="str">
        <f>IFERROR(__xludf.DUMMYFUNCTION("REGEXREPLACE(E446,$A$6, )"),"Aplikasi gaje makan gaji buta Anggaran gede tapi aplikasi gak guna")</f>
        <v>Aplikasi gaje makan gaji buta Anggaran gede tapi aplikasi gak guna</v>
      </c>
      <c r="G446" s="18" t="str">
        <f>IFERROR(__xludf.DUMMYFUNCTION("REGEXREPLACE(F446,$A$7, )"),"Aplikasi gaje makan gaji buta Anggaran gede tapi aplikasi gak guna")</f>
        <v>Aplikasi gaje makan gaji buta Anggaran gede tapi aplikasi gak guna</v>
      </c>
      <c r="H446" s="17" t="str">
        <f t="shared" si="1"/>
        <v>aplikasi gaje makan gaji buta anggaran gede tapi aplikasi gak guna</v>
      </c>
    </row>
    <row r="447">
      <c r="A447" s="16" t="s">
        <v>442</v>
      </c>
      <c r="B447" s="17" t="str">
        <f>IFERROR(__xludf.DUMMYFUNCTION("REGEXREPLACE(A447,$A$2, )"),"aplikasinya jelek eror, data identitas sudah saya masukin tlg hapus data saya, jangan sampai disalah gunakan data saya, saya gak tanggung jawab kalau ada apa""!!!")</f>
        <v>aplikasinya jelek eror, data identitas sudah saya masukin tlg hapus data saya, jangan sampai disalah gunakan data saya, saya gak tanggung jawab kalau ada apa"!!!</v>
      </c>
      <c r="C447" s="17" t="str">
        <f>IFERROR(__xludf.DUMMYFUNCTION("REGEXREPLACE(B447,$A$3, )"),"aplikasinya jelek eror, data identitas sudah saya masukin tlg hapus data saya, jangan sampai disalah gunakan data saya, saya gak tanggung jawab kalau ada apa""!!!")</f>
        <v>aplikasinya jelek eror, data identitas sudah saya masukin tlg hapus data saya, jangan sampai disalah gunakan data saya, saya gak tanggung jawab kalau ada apa"!!!</v>
      </c>
      <c r="D447" s="17" t="str">
        <f>IFERROR(__xludf.DUMMYFUNCTION("REGEXREPLACE(C447,$A$4, )"),"aplikasinya jelek eror, data identitas sudah saya masukin tlg hapus data saya, jangan sampai disalah gunakan data saya, saya gak tanggung jawab kalau ada apa""!!!")</f>
        <v>aplikasinya jelek eror, data identitas sudah saya masukin tlg hapus data saya, jangan sampai disalah gunakan data saya, saya gak tanggung jawab kalau ada apa"!!!</v>
      </c>
      <c r="E447" s="17" t="str">
        <f>IFERROR(__xludf.DUMMYFUNCTION("REGEXREPLACE(D447,$A$5, )"),"aplikasinya jelek eror, data identitas sudah saya masukin tlg hapus data saya, jangan sampai disalah gunakan data saya, saya gak tanggung jawab kalau ada apa""!!!")</f>
        <v>aplikasinya jelek eror, data identitas sudah saya masukin tlg hapus data saya, jangan sampai disalah gunakan data saya, saya gak tanggung jawab kalau ada apa"!!!</v>
      </c>
      <c r="F447" s="17" t="str">
        <f>IFERROR(__xludf.DUMMYFUNCTION("REGEXREPLACE(E447,$A$6, )"),"aplikasinya jelek eror data identitas sudah saya masukin tlg hapus data saya jangan sampai disalah gunakan data saya saya gak tanggung jawab kalau ada apa")</f>
        <v>aplikasinya jelek eror data identitas sudah saya masukin tlg hapus data saya jangan sampai disalah gunakan data saya saya gak tanggung jawab kalau ada apa</v>
      </c>
      <c r="G447" s="18" t="str">
        <f>IFERROR(__xludf.DUMMYFUNCTION("REGEXREPLACE(F447,$A$7, )"),"aplikasinya jelek eror data identitas sudah saya masukin tlg hapus data saya jangan sampai disalah gunakan data saya saya gak tanggung jawab kalau ada apa")</f>
        <v>aplikasinya jelek eror data identitas sudah saya masukin tlg hapus data saya jangan sampai disalah gunakan data saya saya gak tanggung jawab kalau ada apa</v>
      </c>
      <c r="H447" s="17" t="str">
        <f t="shared" si="1"/>
        <v>aplikasinya jelek eror data identitas sudah saya masukin tlg hapus data saya jangan sampai disalah gunakan data saya saya gak tanggung jawab kalau ada apa</v>
      </c>
    </row>
    <row r="448">
      <c r="A448" s="16" t="s">
        <v>443</v>
      </c>
      <c r="B448" s="17" t="str">
        <f>IFERROR(__xludf.DUMMYFUNCTION("REGEXREPLACE(A448,$A$2, )"),"🙏kenapa ya apk tida berjalan lancar eror truss kalaw ga loading 😔😔")</f>
        <v>🙏kenapa ya apk tida berjalan lancar eror truss kalaw ga loading 😔😔</v>
      </c>
      <c r="C448" s="17" t="str">
        <f>IFERROR(__xludf.DUMMYFUNCTION("REGEXREPLACE(B448,$A$3, )"),"🙏kenapa ya apk tida berjalan lancar eror truss kalaw ga loading 😔😔")</f>
        <v>🙏kenapa ya apk tida berjalan lancar eror truss kalaw ga loading 😔😔</v>
      </c>
      <c r="D448" s="17" t="str">
        <f>IFERROR(__xludf.DUMMYFUNCTION("REGEXREPLACE(C448,$A$4, )"),"🙏kenapa ya apk tida berjalan lancar eror truss kalaw ga loading 😔😔")</f>
        <v>🙏kenapa ya apk tida berjalan lancar eror truss kalaw ga loading 😔😔</v>
      </c>
      <c r="E448" s="17" t="str">
        <f>IFERROR(__xludf.DUMMYFUNCTION("REGEXREPLACE(D448,$A$5, )"),"🙏kenapa ya apk tida berjalan lancar eror truss kalaw ga loading 😔😔")</f>
        <v>🙏kenapa ya apk tida berjalan lancar eror truss kalaw ga loading 😔😔</v>
      </c>
      <c r="F448" s="17" t="str">
        <f>IFERROR(__xludf.DUMMYFUNCTION("REGEXREPLACE(E448,$A$6, )"),"🙏kenapa ya apk tida berjalan lancar eror truss kalaw ga loading 😔😔")</f>
        <v>🙏kenapa ya apk tida berjalan lancar eror truss kalaw ga loading 😔😔</v>
      </c>
      <c r="G448" s="18" t="str">
        <f>IFERROR(__xludf.DUMMYFUNCTION("REGEXREPLACE(F448,$A$7, )"),"kenapa ya apk tida berjalan lancar eror truss kalaw ga loading ")</f>
        <v>kenapa ya apk tida berjalan lancar eror truss kalaw ga loading </v>
      </c>
      <c r="H448" s="17" t="str">
        <f t="shared" si="1"/>
        <v>kenapa ya apk tida berjalan lancar eror truss kalaw ga loading </v>
      </c>
    </row>
    <row r="449">
      <c r="A449" s="16" t="s">
        <v>444</v>
      </c>
      <c r="B449" s="17" t="str">
        <f>IFERROR(__xludf.DUMMYFUNCTION("REGEXREPLACE(A449,$A$2, )"),"Aplikasi nya eror terus gk bisa buat akun")</f>
        <v>Aplikasi nya eror terus gk bisa buat akun</v>
      </c>
      <c r="C449" s="17" t="str">
        <f>IFERROR(__xludf.DUMMYFUNCTION("REGEXREPLACE(B449,$A$3, )"),"Aplikasi nya eror terus gk bisa buat akun")</f>
        <v>Aplikasi nya eror terus gk bisa buat akun</v>
      </c>
      <c r="D449" s="17" t="str">
        <f>IFERROR(__xludf.DUMMYFUNCTION("REGEXREPLACE(C449,$A$4, )"),"Aplikasi nya eror terus gk bisa buat akun")</f>
        <v>Aplikasi nya eror terus gk bisa buat akun</v>
      </c>
      <c r="E449" s="17" t="str">
        <f>IFERROR(__xludf.DUMMYFUNCTION("REGEXREPLACE(D449,$A$5, )"),"Aplikasi nya eror terus gk bisa buat akun")</f>
        <v>Aplikasi nya eror terus gk bisa buat akun</v>
      </c>
      <c r="F449" s="17" t="str">
        <f>IFERROR(__xludf.DUMMYFUNCTION("REGEXREPLACE(E449,$A$6, )"),"Aplikasi nya eror terus gk bisa buat akun")</f>
        <v>Aplikasi nya eror terus gk bisa buat akun</v>
      </c>
      <c r="G449" s="18" t="str">
        <f>IFERROR(__xludf.DUMMYFUNCTION("REGEXREPLACE(F449,$A$7, )"),"Aplikasi nya eror terus gk bisa buat akun")</f>
        <v>Aplikasi nya eror terus gk bisa buat akun</v>
      </c>
      <c r="H449" s="17" t="str">
        <f t="shared" si="1"/>
        <v>aplikasi nya eror terus gk bisa buat akun</v>
      </c>
    </row>
    <row r="450">
      <c r="A450" s="16" t="s">
        <v>445</v>
      </c>
      <c r="B450" s="17" t="str">
        <f>IFERROR(__xludf.DUMMYFUNCTION("REGEXREPLACE(A450,$A$2, )"),"Gak bisa buat akun..setiap sampe d foto KTP gak bisa...kita kan juga iri samping kanan kiri dpt segala macam bantuan keluarga gak sendiri...")</f>
        <v>Gak bisa buat akun..setiap sampe d foto KTP gak bisa...kita kan juga iri samping kanan kiri dpt segala macam bantuan keluarga gak sendiri...</v>
      </c>
      <c r="C450" s="17" t="str">
        <f>IFERROR(__xludf.DUMMYFUNCTION("REGEXREPLACE(B450,$A$3, )"),"Gak bisa buat akun..setiap sampe d foto KTP gak bisa...kita kan juga iri samping kanan kiri dpt segala macam bantuan keluarga gak sendiri...")</f>
        <v>Gak bisa buat akun..setiap sampe d foto KTP gak bisa...kita kan juga iri samping kanan kiri dpt segala macam bantuan keluarga gak sendiri...</v>
      </c>
      <c r="D450" s="17" t="str">
        <f>IFERROR(__xludf.DUMMYFUNCTION("REGEXREPLACE(C450,$A$4, )"),"Gak bisa buat akun..setiap sampe d foto KTP gak bisa...kita kan juga iri samping kanan kiri dpt segala macam bantuan keluarga gak sendiri...")</f>
        <v>Gak bisa buat akun..setiap sampe d foto KTP gak bisa...kita kan juga iri samping kanan kiri dpt segala macam bantuan keluarga gak sendiri...</v>
      </c>
      <c r="E450" s="17" t="str">
        <f>IFERROR(__xludf.DUMMYFUNCTION("REGEXREPLACE(D450,$A$5, )"),"Gak bisa buat akun..setiap sampe d foto KTP gak bisa...kita kan juga iri samping kanan kiri dpt segala macam bantuan keluarga gak sendiri...")</f>
        <v>Gak bisa buat akun..setiap sampe d foto KTP gak bisa...kita kan juga iri samping kanan kiri dpt segala macam bantuan keluarga gak sendiri...</v>
      </c>
      <c r="F450" s="17" t="str">
        <f>IFERROR(__xludf.DUMMYFUNCTION("REGEXREPLACE(E450,$A$6, )"),"Gak bisa buat akunsetiap sampe d foto KTP gak bisakita kan juga iri samping kanan kiri dpt segala macam bantuan keluarga gak sendiri")</f>
        <v>Gak bisa buat akunsetiap sampe d foto KTP gak bisakita kan juga iri samping kanan kiri dpt segala macam bantuan keluarga gak sendiri</v>
      </c>
      <c r="G450" s="18" t="str">
        <f>IFERROR(__xludf.DUMMYFUNCTION("REGEXREPLACE(F450,$A$7, )"),"Gak bisa buat akunsetiap sampe d foto KTP gak bisakita kan juga iri samping kanan kiri dpt segala macam bantuan keluarga gak sendiri")</f>
        <v>Gak bisa buat akunsetiap sampe d foto KTP gak bisakita kan juga iri samping kanan kiri dpt segala macam bantuan keluarga gak sendiri</v>
      </c>
      <c r="H450" s="17" t="str">
        <f t="shared" si="1"/>
        <v>gak bisa buat akunsetiap sampe d foto ktp gak bisakita kan juga iri samping kanan kiri dpt segala macam bantuan keluarga gak sendiri</v>
      </c>
    </row>
    <row r="451">
      <c r="A451" s="16" t="s">
        <v>446</v>
      </c>
      <c r="B451" s="17" t="str">
        <f>IFERROR(__xludf.DUMMYFUNCTION("REGEXREPLACE(A451,$A$2, )"),"GK jelas ini aplikasi udh daftar tapi GK bisa login. Gmna sih.............")</f>
        <v>GK jelas ini aplikasi udh daftar tapi GK bisa login. Gmna sih.............</v>
      </c>
      <c r="C451" s="17" t="str">
        <f>IFERROR(__xludf.DUMMYFUNCTION("REGEXREPLACE(B451,$A$3, )"),"GK jelas ini aplikasi udh daftar tapi GK bisa login. Gmna sih.............")</f>
        <v>GK jelas ini aplikasi udh daftar tapi GK bisa login. Gmna sih.............</v>
      </c>
      <c r="D451" s="17" t="str">
        <f>IFERROR(__xludf.DUMMYFUNCTION("REGEXREPLACE(C451,$A$4, )"),"GK jelas ini aplikasi udh daftar tapi GK bisa login. Gmna sih.............")</f>
        <v>GK jelas ini aplikasi udh daftar tapi GK bisa login. Gmna sih.............</v>
      </c>
      <c r="E451" s="17" t="str">
        <f>IFERROR(__xludf.DUMMYFUNCTION("REGEXREPLACE(D451,$A$5, )"),"GK jelas ini aplikasi udh daftar tapi GK bisa login. Gmna sih.............")</f>
        <v>GK jelas ini aplikasi udh daftar tapi GK bisa login. Gmna sih.............</v>
      </c>
      <c r="F451" s="17" t="str">
        <f>IFERROR(__xludf.DUMMYFUNCTION("REGEXREPLACE(E451,$A$6, )"),"GK jelas ini aplikasi udh daftar tapi GK bisa login Gmna sih")</f>
        <v>GK jelas ini aplikasi udh daftar tapi GK bisa login Gmna sih</v>
      </c>
      <c r="G451" s="18" t="str">
        <f>IFERROR(__xludf.DUMMYFUNCTION("REGEXREPLACE(F451,$A$7, )"),"GK jelas ini aplikasi udh daftar tapi GK bisa login Gmna sih")</f>
        <v>GK jelas ini aplikasi udh daftar tapi GK bisa login Gmna sih</v>
      </c>
      <c r="H451" s="17" t="str">
        <f t="shared" si="1"/>
        <v>gk jelas ini aplikasi udh daftar tapi gk bisa login gmna sih</v>
      </c>
    </row>
    <row r="452">
      <c r="A452" s="16" t="s">
        <v>447</v>
      </c>
      <c r="B452" s="17" t="str">
        <f>IFERROR(__xludf.DUMMYFUNCTION("REGEXREPLACE(A452,$A$2, )"),"Jelek Skali,dn amat sngt,aplikasi slalu ja d ulang 2 trs")</f>
        <v>Jelek Skali,dn amat sngt,aplikasi slalu ja d ulang 2 trs</v>
      </c>
      <c r="C452" s="17" t="str">
        <f>IFERROR(__xludf.DUMMYFUNCTION("REGEXREPLACE(B452,$A$3, )"),"Jelek Skali,dn amat sngt,aplikasi slalu ja d ulang 2 trs")</f>
        <v>Jelek Skali,dn amat sngt,aplikasi slalu ja d ulang 2 trs</v>
      </c>
      <c r="D452" s="17" t="str">
        <f>IFERROR(__xludf.DUMMYFUNCTION("REGEXREPLACE(C452,$A$4, )"),"Jelek Skali,dn amat sngt,aplikasi slalu ja d ulang 2 trs")</f>
        <v>Jelek Skali,dn amat sngt,aplikasi slalu ja d ulang 2 trs</v>
      </c>
      <c r="E452" s="17" t="str">
        <f>IFERROR(__xludf.DUMMYFUNCTION("REGEXREPLACE(D452,$A$5, )"),"Jelek Skali,dn amat sngt,aplikasi slalu ja d ulang  trs")</f>
        <v>Jelek Skali,dn amat sngt,aplikasi slalu ja d ulang  trs</v>
      </c>
      <c r="F452" s="17" t="str">
        <f>IFERROR(__xludf.DUMMYFUNCTION("REGEXREPLACE(E452,$A$6, )"),"Jelek Skalidn amat sngtaplikasi slalu ja d ulang  trs")</f>
        <v>Jelek Skalidn amat sngtaplikasi slalu ja d ulang  trs</v>
      </c>
      <c r="G452" s="18" t="str">
        <f>IFERROR(__xludf.DUMMYFUNCTION("REGEXREPLACE(F452,$A$7, )"),"Jelek Skalidn amat sngtaplikasi slalu ja d ulang  trs")</f>
        <v>Jelek Skalidn amat sngtaplikasi slalu ja d ulang  trs</v>
      </c>
      <c r="H452" s="17" t="str">
        <f t="shared" si="1"/>
        <v>jelek skalidn amat sngtaplikasi slalu ja d ulang  trs</v>
      </c>
    </row>
    <row r="453">
      <c r="A453" s="16" t="s">
        <v>448</v>
      </c>
      <c r="B453" s="17" t="str">
        <f>IFERROR(__xludf.DUMMYFUNCTION("REGEXREPLACE(A453,$A$2, )"),"mau daftar usul sanggah terjadi error aplikasi")</f>
        <v>mau daftar usul sanggah terjadi error aplikasi</v>
      </c>
      <c r="C453" s="17" t="str">
        <f>IFERROR(__xludf.DUMMYFUNCTION("REGEXREPLACE(B453,$A$3, )"),"mau daftar usul sanggah terjadi error aplikasi")</f>
        <v>mau daftar usul sanggah terjadi error aplikasi</v>
      </c>
      <c r="D453" s="17" t="str">
        <f>IFERROR(__xludf.DUMMYFUNCTION("REGEXREPLACE(C453,$A$4, )"),"mau daftar usul sanggah terjadi error aplikasi")</f>
        <v>mau daftar usul sanggah terjadi error aplikasi</v>
      </c>
      <c r="E453" s="17" t="str">
        <f>IFERROR(__xludf.DUMMYFUNCTION("REGEXREPLACE(D453,$A$5, )"),"mau daftar usul sanggah terjadi error aplikasi")</f>
        <v>mau daftar usul sanggah terjadi error aplikasi</v>
      </c>
      <c r="F453" s="17" t="str">
        <f>IFERROR(__xludf.DUMMYFUNCTION("REGEXREPLACE(E453,$A$6, )"),"mau daftar usul sanggah terjadi error aplikasi")</f>
        <v>mau daftar usul sanggah terjadi error aplikasi</v>
      </c>
      <c r="G453" s="18" t="str">
        <f>IFERROR(__xludf.DUMMYFUNCTION("REGEXREPLACE(F453,$A$7, )"),"mau daftar usul sanggah terjadi error aplikasi")</f>
        <v>mau daftar usul sanggah terjadi error aplikasi</v>
      </c>
      <c r="H453" s="17" t="str">
        <f t="shared" si="1"/>
        <v>mau daftar usul sanggah terjadi error aplikasi</v>
      </c>
    </row>
    <row r="454">
      <c r="A454" s="16" t="s">
        <v>449</v>
      </c>
      <c r="B454" s="17" t="str">
        <f>IFERROR(__xludf.DUMMYFUNCTION("REGEXREPLACE(A454,$A$2, )"),"Mau daftar aja eror belum lagi kalau login.")</f>
        <v>Mau daftar aja eror belum lagi kalau login.</v>
      </c>
      <c r="C454" s="17" t="str">
        <f>IFERROR(__xludf.DUMMYFUNCTION("REGEXREPLACE(B454,$A$3, )"),"Mau daftar aja eror belum lagi kalau login.")</f>
        <v>Mau daftar aja eror belum lagi kalau login.</v>
      </c>
      <c r="D454" s="17" t="str">
        <f>IFERROR(__xludf.DUMMYFUNCTION("REGEXREPLACE(C454,$A$4, )"),"Mau daftar aja eror belum lagi kalau login.")</f>
        <v>Mau daftar aja eror belum lagi kalau login.</v>
      </c>
      <c r="E454" s="17" t="str">
        <f>IFERROR(__xludf.DUMMYFUNCTION("REGEXREPLACE(D454,$A$5, )"),"Mau daftar aja eror belum lagi kalau login.")</f>
        <v>Mau daftar aja eror belum lagi kalau login.</v>
      </c>
      <c r="F454" s="17" t="str">
        <f>IFERROR(__xludf.DUMMYFUNCTION("REGEXREPLACE(E454,$A$6, )"),"Mau daftar aja eror belum lagi kalau login")</f>
        <v>Mau daftar aja eror belum lagi kalau login</v>
      </c>
      <c r="G454" s="18" t="str">
        <f>IFERROR(__xludf.DUMMYFUNCTION("REGEXREPLACE(F454,$A$7, )"),"Mau daftar aja eror belum lagi kalau login")</f>
        <v>Mau daftar aja eror belum lagi kalau login</v>
      </c>
      <c r="H454" s="17" t="str">
        <f t="shared" si="1"/>
        <v>mau daftar aja eror belum lagi kalau login</v>
      </c>
    </row>
    <row r="455">
      <c r="A455" s="16" t="s">
        <v>450</v>
      </c>
      <c r="B455" s="17" t="str">
        <f>IFERROR(__xludf.DUMMYFUNCTION("REGEXREPLACE(A455,$A$2, )"),"Ok bisa , tapi ada yg salah . Salah satu keluarga tidak masuk keluarga , gara2 keluarga perempuan semua .")</f>
        <v>Ok bisa , tapi ada yg salah . Salah satu keluarga tidak masuk keluarga , gara2 keluarga perempuan semua .</v>
      </c>
      <c r="C455" s="17" t="str">
        <f>IFERROR(__xludf.DUMMYFUNCTION("REGEXREPLACE(B455,$A$3, )"),"Ok bisa , tapi ada yg salah . Salah satu keluarga tidak masuk keluarga , gara2 keluarga perempuan semua .")</f>
        <v>Ok bisa , tapi ada yg salah . Salah satu keluarga tidak masuk keluarga , gara2 keluarga perempuan semua .</v>
      </c>
      <c r="D455" s="17" t="str">
        <f>IFERROR(__xludf.DUMMYFUNCTION("REGEXREPLACE(C455,$A$4, )"),"Ok bisa , tapi ada yg salah . Salah satu keluarga tidak masuk keluarga , gara2 keluarga perempuan semua .")</f>
        <v>Ok bisa , tapi ada yg salah . Salah satu keluarga tidak masuk keluarga , gara2 keluarga perempuan semua .</v>
      </c>
      <c r="E455" s="17" t="str">
        <f>IFERROR(__xludf.DUMMYFUNCTION("REGEXREPLACE(D455,$A$5, )"),"Ok bisa , tapi ada yg salah . Salah satu keluarga tidak masuk keluarga , gara keluarga perempuan semua .")</f>
        <v>Ok bisa , tapi ada yg salah . Salah satu keluarga tidak masuk keluarga , gara keluarga perempuan semua .</v>
      </c>
      <c r="F455" s="17" t="str">
        <f>IFERROR(__xludf.DUMMYFUNCTION("REGEXREPLACE(E455,$A$6, )"),"Ok bisa  tapi ada yg salah  Salah satu keluarga tidak masuk keluarga  gara keluarga perempuan semua ")</f>
        <v>Ok bisa  tapi ada yg salah  Salah satu keluarga tidak masuk keluarga  gara keluarga perempuan semua </v>
      </c>
      <c r="G455" s="18" t="str">
        <f>IFERROR(__xludf.DUMMYFUNCTION("REGEXREPLACE(F455,$A$7, )"),"Ok bisa  tapi ada yg salah  Salah satu keluarga tidak masuk keluarga  gara keluarga perempuan semua ")</f>
        <v>Ok bisa  tapi ada yg salah  Salah satu keluarga tidak masuk keluarga  gara keluarga perempuan semua </v>
      </c>
      <c r="H455" s="17" t="str">
        <f t="shared" si="1"/>
        <v>ok bisa  tapi ada yg salah  salah satu keluarga tidak masuk keluarga  gara keluarga perempuan semua </v>
      </c>
    </row>
    <row r="456">
      <c r="A456" s="16" t="s">
        <v>451</v>
      </c>
      <c r="B456" s="17" t="str">
        <f>IFERROR(__xludf.DUMMYFUNCTION("REGEXREPLACE(A456,$A$2, )"),"Apk TDK jelasssss udah benar pswd tapi tetep gagal ngirim link kagak bisa d jangkau apaan sih")</f>
        <v>Apk TDK jelasssss udah benar pswd tapi tetep gagal ngirim link kagak bisa d jangkau apaan sih</v>
      </c>
      <c r="C456" s="17" t="str">
        <f>IFERROR(__xludf.DUMMYFUNCTION("REGEXREPLACE(B456,$A$3, )"),"Apk TDK jelasssss udah benar pswd tapi tetep gagal ngirim link kagak bisa d jangkau apaan sih")</f>
        <v>Apk TDK jelasssss udah benar pswd tapi tetep gagal ngirim link kagak bisa d jangkau apaan sih</v>
      </c>
      <c r="D456" s="17" t="str">
        <f>IFERROR(__xludf.DUMMYFUNCTION("REGEXREPLACE(C456,$A$4, )"),"Apk TDK jelasssss udah benar pswd tapi tetep gagal ngirim link kagak bisa d jangkau apaan sih")</f>
        <v>Apk TDK jelasssss udah benar pswd tapi tetep gagal ngirim link kagak bisa d jangkau apaan sih</v>
      </c>
      <c r="E456" s="17" t="str">
        <f>IFERROR(__xludf.DUMMYFUNCTION("REGEXREPLACE(D456,$A$5, )"),"Apk TDK jelasssss udah benar pswd tapi tetep gagal ngirim link kagak bisa d jangkau apaan sih")</f>
        <v>Apk TDK jelasssss udah benar pswd tapi tetep gagal ngirim link kagak bisa d jangkau apaan sih</v>
      </c>
      <c r="F456" s="17" t="str">
        <f>IFERROR(__xludf.DUMMYFUNCTION("REGEXREPLACE(E456,$A$6, )"),"Apk TDK jelasssss udah benar pswd tapi tetep gagal ngirim link kagak bisa d jangkau apaan sih")</f>
        <v>Apk TDK jelasssss udah benar pswd tapi tetep gagal ngirim link kagak bisa d jangkau apaan sih</v>
      </c>
      <c r="G456" s="18" t="str">
        <f>IFERROR(__xludf.DUMMYFUNCTION("REGEXREPLACE(F456,$A$7, )"),"Apk TDK jelasssss udah benar pswd tapi tetep gagal ngirim link kagak bisa d jangkau apaan sih")</f>
        <v>Apk TDK jelasssss udah benar pswd tapi tetep gagal ngirim link kagak bisa d jangkau apaan sih</v>
      </c>
      <c r="H456" s="17" t="str">
        <f t="shared" si="1"/>
        <v>apk tdk jelasssss udah benar pswd tapi tetep gagal ngirim link kagak bisa d jangkau apaan sih</v>
      </c>
    </row>
    <row r="457">
      <c r="A457" s="16" t="s">
        <v>452</v>
      </c>
      <c r="B457" s="17" t="str">
        <f>IFERROR(__xludf.DUMMYFUNCTION("REGEXREPLACE(A457,$A$2, )"),"Kenapa sihhh setiap kali daftar selalu ga bisa")</f>
        <v>Kenapa sihhh setiap kali daftar selalu ga bisa</v>
      </c>
      <c r="C457" s="17" t="str">
        <f>IFERROR(__xludf.DUMMYFUNCTION("REGEXREPLACE(B457,$A$3, )"),"Kenapa sihhh setiap kali daftar selalu ga bisa")</f>
        <v>Kenapa sihhh setiap kali daftar selalu ga bisa</v>
      </c>
      <c r="D457" s="17" t="str">
        <f>IFERROR(__xludf.DUMMYFUNCTION("REGEXREPLACE(C457,$A$4, )"),"Kenapa sihhh setiap kali daftar selalu ga bisa")</f>
        <v>Kenapa sihhh setiap kali daftar selalu ga bisa</v>
      </c>
      <c r="E457" s="17" t="str">
        <f>IFERROR(__xludf.DUMMYFUNCTION("REGEXREPLACE(D457,$A$5, )"),"Kenapa sihhh setiap kali daftar selalu ga bisa")</f>
        <v>Kenapa sihhh setiap kali daftar selalu ga bisa</v>
      </c>
      <c r="F457" s="17" t="str">
        <f>IFERROR(__xludf.DUMMYFUNCTION("REGEXREPLACE(E457,$A$6, )"),"Kenapa sihhh setiap kali daftar selalu ga bisa")</f>
        <v>Kenapa sihhh setiap kali daftar selalu ga bisa</v>
      </c>
      <c r="G457" s="18" t="str">
        <f>IFERROR(__xludf.DUMMYFUNCTION("REGEXREPLACE(F457,$A$7, )"),"Kenapa sihhh setiap kali daftar selalu ga bisa")</f>
        <v>Kenapa sihhh setiap kali daftar selalu ga bisa</v>
      </c>
      <c r="H457" s="17" t="str">
        <f t="shared" si="1"/>
        <v>kenapa sihhh setiap kali daftar selalu ga bisa</v>
      </c>
    </row>
    <row r="458">
      <c r="A458" s="16" t="s">
        <v>453</v>
      </c>
      <c r="B458" s="17" t="str">
        <f>IFERROR(__xludf.DUMMYFUNCTION("REGEXREPLACE(A458,$A$2, )"),"Kalau login lewt email bisa tapi kalau lewat aplikasi ini ga bisa")</f>
        <v>Kalau login lewt email bisa tapi kalau lewat aplikasi ini ga bisa</v>
      </c>
      <c r="C458" s="17" t="str">
        <f>IFERROR(__xludf.DUMMYFUNCTION("REGEXREPLACE(B458,$A$3, )"),"Kalau login lewt email bisa tapi kalau lewat aplikasi ini ga bisa")</f>
        <v>Kalau login lewt email bisa tapi kalau lewat aplikasi ini ga bisa</v>
      </c>
      <c r="D458" s="17" t="str">
        <f>IFERROR(__xludf.DUMMYFUNCTION("REGEXREPLACE(C458,$A$4, )"),"Kalau login lewt email bisa tapi kalau lewat aplikasi ini ga bisa")</f>
        <v>Kalau login lewt email bisa tapi kalau lewat aplikasi ini ga bisa</v>
      </c>
      <c r="E458" s="17" t="str">
        <f>IFERROR(__xludf.DUMMYFUNCTION("REGEXREPLACE(D458,$A$5, )"),"Kalau login lewt email bisa tapi kalau lewat aplikasi ini ga bisa")</f>
        <v>Kalau login lewt email bisa tapi kalau lewat aplikasi ini ga bisa</v>
      </c>
      <c r="F458" s="17" t="str">
        <f>IFERROR(__xludf.DUMMYFUNCTION("REGEXREPLACE(E458,$A$6, )"),"Kalau login lewt email bisa tapi kalau lewat aplikasi ini ga bisa")</f>
        <v>Kalau login lewt email bisa tapi kalau lewat aplikasi ini ga bisa</v>
      </c>
      <c r="G458" s="18" t="str">
        <f>IFERROR(__xludf.DUMMYFUNCTION("REGEXREPLACE(F458,$A$7, )"),"Kalau login lewt email bisa tapi kalau lewat aplikasi ini ga bisa")</f>
        <v>Kalau login lewt email bisa tapi kalau lewat aplikasi ini ga bisa</v>
      </c>
      <c r="H458" s="17" t="str">
        <f t="shared" si="1"/>
        <v>kalau login lewt email bisa tapi kalau lewat aplikasi ini ga bisa</v>
      </c>
    </row>
    <row r="459">
      <c r="A459" s="16" t="s">
        <v>454</v>
      </c>
      <c r="B459" s="17" t="str">
        <f>IFERROR(__xludf.DUMMYFUNCTION("REGEXREPLACE(A459,$A$2, )"),"Sangat jelek sudah sesaui prosedur gagal terus")</f>
        <v>Sangat jelek sudah sesaui prosedur gagal terus</v>
      </c>
      <c r="C459" s="17" t="str">
        <f>IFERROR(__xludf.DUMMYFUNCTION("REGEXREPLACE(B459,$A$3, )"),"Sangat jelek sudah sesaui prosedur gagal terus")</f>
        <v>Sangat jelek sudah sesaui prosedur gagal terus</v>
      </c>
      <c r="D459" s="17" t="str">
        <f>IFERROR(__xludf.DUMMYFUNCTION("REGEXREPLACE(C459,$A$4, )"),"Sangat jelek sudah sesaui prosedur gagal terus")</f>
        <v>Sangat jelek sudah sesaui prosedur gagal terus</v>
      </c>
      <c r="E459" s="17" t="str">
        <f>IFERROR(__xludf.DUMMYFUNCTION("REGEXREPLACE(D459,$A$5, )"),"Sangat jelek sudah sesaui prosedur gagal terus")</f>
        <v>Sangat jelek sudah sesaui prosedur gagal terus</v>
      </c>
      <c r="F459" s="17" t="str">
        <f>IFERROR(__xludf.DUMMYFUNCTION("REGEXREPLACE(E459,$A$6, )"),"Sangat jelek sudah sesaui prosedur gagal terus")</f>
        <v>Sangat jelek sudah sesaui prosedur gagal terus</v>
      </c>
      <c r="G459" s="18" t="str">
        <f>IFERROR(__xludf.DUMMYFUNCTION("REGEXREPLACE(F459,$A$7, )"),"Sangat jelek sudah sesaui prosedur gagal terus")</f>
        <v>Sangat jelek sudah sesaui prosedur gagal terus</v>
      </c>
      <c r="H459" s="17" t="str">
        <f t="shared" si="1"/>
        <v>sangat jelek sudah sesaui prosedur gagal terus</v>
      </c>
    </row>
    <row r="460">
      <c r="A460" s="16" t="s">
        <v>455</v>
      </c>
      <c r="B460" s="17" t="str">
        <f>IFERROR(__xludf.DUMMYFUNCTION("REGEXREPLACE(A460,$A$2, )"),"Susah masuk , sangat mengecewakan 😑😑😑😑😑😑😑😑")</f>
        <v>Susah masuk , sangat mengecewakan 😑😑😑😑😑😑😑😑</v>
      </c>
      <c r="C460" s="17" t="str">
        <f>IFERROR(__xludf.DUMMYFUNCTION("REGEXREPLACE(B460,$A$3, )"),"Susah masuk , sangat mengecewakan 😑😑😑😑😑😑😑😑")</f>
        <v>Susah masuk , sangat mengecewakan 😑😑😑😑😑😑😑😑</v>
      </c>
      <c r="D460" s="17" t="str">
        <f>IFERROR(__xludf.DUMMYFUNCTION("REGEXREPLACE(C460,$A$4, )"),"Susah masuk , sangat mengecewakan 😑😑😑😑😑😑😑😑")</f>
        <v>Susah masuk , sangat mengecewakan 😑😑😑😑😑😑😑😑</v>
      </c>
      <c r="E460" s="17" t="str">
        <f>IFERROR(__xludf.DUMMYFUNCTION("REGEXREPLACE(D460,$A$5, )"),"Susah masuk , sangat mengecewakan 😑😑😑😑😑😑😑😑")</f>
        <v>Susah masuk , sangat mengecewakan 😑😑😑😑😑😑😑😑</v>
      </c>
      <c r="F460" s="17" t="str">
        <f>IFERROR(__xludf.DUMMYFUNCTION("REGEXREPLACE(E460,$A$6, )"),"Susah masuk  sangat mengecewakan 😑😑😑😑😑😑😑😑")</f>
        <v>Susah masuk  sangat mengecewakan 😑😑😑😑😑😑😑😑</v>
      </c>
      <c r="G460" s="18" t="str">
        <f>IFERROR(__xludf.DUMMYFUNCTION("REGEXREPLACE(F460,$A$7, )"),"Susah masuk  sangat mengecewakan ")</f>
        <v>Susah masuk  sangat mengecewakan </v>
      </c>
      <c r="H460" s="17" t="str">
        <f t="shared" si="1"/>
        <v>susah masuk  sangat mengecewakan </v>
      </c>
    </row>
    <row r="461">
      <c r="A461" s="16" t="s">
        <v>456</v>
      </c>
      <c r="B461" s="17" t="str">
        <f>IFERROR(__xludf.DUMMYFUNCTION("REGEXREPLACE(A461,$A$2, )"),"𝘐𝘕𝘐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f>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c r="C461" s="17" t="str">
        <f>IFERROR(__xludf.DUMMYFUNCTION("REGEXREPLACE(B461,$A$3, )"),"𝘐𝘕𝘐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f>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c r="D461" s="17" t="str">
        <f>IFERROR(__xludf.DUMMYFUNCTION("REGEXREPLACE(C461,$A$4, )"),"𝘐𝘕𝘐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f>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c r="E461" s="17" t="str">
        <f>IFERROR(__xludf.DUMMYFUNCTION("REGEXREPLACE(D461,$A$5, )"),"𝘐𝘕𝘐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f>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c r="F461" s="17" t="str">
        <f>IFERROR(__xludf.DUMMYFUNCTION("REGEXREPLACE(E461,$A$6, )"),"𝘐𝘕𝘐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f>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c r="G461" s="18" t="str">
        <f>IFERROR(__xludf.DUMMYFUNCTION("REGEXREPLACE(F461,$A$7, )"),"𝘐𝘕𝘐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f>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c r="H461" s="17" t="str">
        <f t="shared" si="1"/>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row>
    <row r="462">
      <c r="A462" s="16" t="s">
        <v>457</v>
      </c>
      <c r="B462" s="17" t="str">
        <f>IFERROR(__xludf.DUMMYFUNCTION("REGEXREPLACE(A462,$A$2, )"),"mau daftar knp koneksi aplikasi erorr terus hrus tanya admin")</f>
        <v>mau daftar knp koneksi aplikasi erorr terus hrus tanya admin</v>
      </c>
      <c r="C462" s="17" t="str">
        <f>IFERROR(__xludf.DUMMYFUNCTION("REGEXREPLACE(B462,$A$3, )"),"mau daftar knp koneksi aplikasi erorr terus hrus tanya admin")</f>
        <v>mau daftar knp koneksi aplikasi erorr terus hrus tanya admin</v>
      </c>
      <c r="D462" s="17" t="str">
        <f>IFERROR(__xludf.DUMMYFUNCTION("REGEXREPLACE(C462,$A$4, )"),"mau daftar knp koneksi aplikasi erorr terus hrus tanya admin")</f>
        <v>mau daftar knp koneksi aplikasi erorr terus hrus tanya admin</v>
      </c>
      <c r="E462" s="17" t="str">
        <f>IFERROR(__xludf.DUMMYFUNCTION("REGEXREPLACE(D462,$A$5, )"),"mau daftar knp koneksi aplikasi erorr terus hrus tanya admin")</f>
        <v>mau daftar knp koneksi aplikasi erorr terus hrus tanya admin</v>
      </c>
      <c r="F462" s="17" t="str">
        <f>IFERROR(__xludf.DUMMYFUNCTION("REGEXREPLACE(E462,$A$6, )"),"mau daftar knp koneksi aplikasi erorr terus hrus tanya admin")</f>
        <v>mau daftar knp koneksi aplikasi erorr terus hrus tanya admin</v>
      </c>
      <c r="G462" s="18" t="str">
        <f>IFERROR(__xludf.DUMMYFUNCTION("REGEXREPLACE(F462,$A$7, )"),"mau daftar knp koneksi aplikasi erorr terus hrus tanya admin")</f>
        <v>mau daftar knp koneksi aplikasi erorr terus hrus tanya admin</v>
      </c>
      <c r="H462" s="17" t="str">
        <f t="shared" si="1"/>
        <v>mau daftar knp koneksi aplikasi erorr terus hrus tanya admin</v>
      </c>
    </row>
    <row r="463">
      <c r="A463" s="16" t="s">
        <v>458</v>
      </c>
      <c r="B463" s="17" t="str">
        <f>IFERROR(__xludf.DUMMYFUNCTION("REGEXREPLACE(A463,$A$2, )"),"Akun saya kena pencet batalkan menerima bantuan, apakah saya masih bisa memperbaikinya? Soalnya di akun saya tanggapannya tidak layak mendapatkan manfaat.")</f>
        <v>Akun saya kena pencet batalkan menerima bantuan, apakah saya masih bisa memperbaikinya? Soalnya di akun saya tanggapannya tidak layak mendapatkan manfaat.</v>
      </c>
      <c r="C463" s="17" t="str">
        <f>IFERROR(__xludf.DUMMYFUNCTION("REGEXREPLACE(B463,$A$3, )"),"Akun saya kena pencet batalkan menerima bantuan, apakah saya masih bisa memperbaikinya? Soalnya di akun saya tanggapannya tidak layak mendapatkan manfaat.")</f>
        <v>Akun saya kena pencet batalkan menerima bantuan, apakah saya masih bisa memperbaikinya? Soalnya di akun saya tanggapannya tidak layak mendapatkan manfaat.</v>
      </c>
      <c r="D463" s="17" t="str">
        <f>IFERROR(__xludf.DUMMYFUNCTION("REGEXREPLACE(C463,$A$4, )"),"Akun saya kena pencet batalkan menerima bantuan, apakah saya masih bisa memperbaikinya? Soalnya di akun saya tanggapannya tidak layak mendapatkan manfaat.")</f>
        <v>Akun saya kena pencet batalkan menerima bantuan, apakah saya masih bisa memperbaikinya? Soalnya di akun saya tanggapannya tidak layak mendapatkan manfaat.</v>
      </c>
      <c r="E463" s="17" t="str">
        <f>IFERROR(__xludf.DUMMYFUNCTION("REGEXREPLACE(D463,$A$5, )"),"Akun saya kena pencet batalkan menerima bantuan, apakah saya masih bisa memperbaikinya? Soalnya di akun saya tanggapannya tidak layak mendapatkan manfaat.")</f>
        <v>Akun saya kena pencet batalkan menerima bantuan, apakah saya masih bisa memperbaikinya? Soalnya di akun saya tanggapannya tidak layak mendapatkan manfaat.</v>
      </c>
      <c r="F463" s="17" t="str">
        <f>IFERROR(__xludf.DUMMYFUNCTION("REGEXREPLACE(E463,$A$6, )"),"Akun saya kena pencet batalkan menerima bantuan apakah saya masih bisa memperbaikinya Soalnya di akun saya tanggapannya tidak layak mendapatkan manfaat")</f>
        <v>Akun saya kena pencet batalkan menerima bantuan apakah saya masih bisa memperbaikinya Soalnya di akun saya tanggapannya tidak layak mendapatkan manfaat</v>
      </c>
      <c r="G463" s="18" t="str">
        <f>IFERROR(__xludf.DUMMYFUNCTION("REGEXREPLACE(F463,$A$7, )"),"Akun saya kena pencet batalkan menerima bantuan apakah saya masih bisa memperbaikinya Soalnya di akun saya tanggapannya tidak layak mendapatkan manfaat")</f>
        <v>Akun saya kena pencet batalkan menerima bantuan apakah saya masih bisa memperbaikinya Soalnya di akun saya tanggapannya tidak layak mendapatkan manfaat</v>
      </c>
      <c r="H463" s="17" t="str">
        <f t="shared" si="1"/>
        <v>akun saya kena pencet batalkan menerima bantuan apakah saya masih bisa memperbaikinya soalnya di akun saya tanggapannya tidak layak mendapatkan manfaat</v>
      </c>
    </row>
    <row r="464">
      <c r="A464" s="16" t="s">
        <v>459</v>
      </c>
      <c r="B464" s="17" t="str">
        <f>IFERROR(__xludf.DUMMYFUNCTION("REGEXREPLACE(A464,$A$2, )"),"Kenapa saat login tidak bisa")</f>
        <v>Kenapa saat login tidak bisa</v>
      </c>
      <c r="C464" s="17" t="str">
        <f>IFERROR(__xludf.DUMMYFUNCTION("REGEXREPLACE(B464,$A$3, )"),"Kenapa saat login tidak bisa")</f>
        <v>Kenapa saat login tidak bisa</v>
      </c>
      <c r="D464" s="17" t="str">
        <f>IFERROR(__xludf.DUMMYFUNCTION("REGEXREPLACE(C464,$A$4, )"),"Kenapa saat login tidak bisa")</f>
        <v>Kenapa saat login tidak bisa</v>
      </c>
      <c r="E464" s="17" t="str">
        <f>IFERROR(__xludf.DUMMYFUNCTION("REGEXREPLACE(D464,$A$5, )"),"Kenapa saat login tidak bisa")</f>
        <v>Kenapa saat login tidak bisa</v>
      </c>
      <c r="F464" s="17" t="str">
        <f>IFERROR(__xludf.DUMMYFUNCTION("REGEXREPLACE(E464,$A$6, )"),"Kenapa saat login tidak bisa")</f>
        <v>Kenapa saat login tidak bisa</v>
      </c>
      <c r="G464" s="18" t="str">
        <f>IFERROR(__xludf.DUMMYFUNCTION("REGEXREPLACE(F464,$A$7, )"),"Kenapa saat login tidak bisa")</f>
        <v>Kenapa saat login tidak bisa</v>
      </c>
      <c r="H464" s="17" t="str">
        <f t="shared" si="1"/>
        <v>kenapa saat login tidak bisa</v>
      </c>
    </row>
    <row r="465">
      <c r="A465" s="16" t="s">
        <v>460</v>
      </c>
      <c r="B465" s="17" t="str">
        <f>IFERROR(__xludf.DUMMYFUNCTION("REGEXREPLACE(A465,$A$2, )"),"Aplikasi guplak. Ngga ngertiin masyarakat kecil. Eror"" mulu. Udah ndaftar tpi tinggal login gagal"" terus.")</f>
        <v>Aplikasi guplak. Ngga ngertiin masyarakat kecil. Eror" mulu. Udah ndaftar tpi tinggal login gagal" terus.</v>
      </c>
      <c r="C465" s="17" t="str">
        <f>IFERROR(__xludf.DUMMYFUNCTION("REGEXREPLACE(B465,$A$3, )"),"Aplikasi guplak. Ngga ngertiin masyarakat kecil. Eror"" mulu. Udah ndaftar tpi tinggal login gagal"" terus.")</f>
        <v>Aplikasi guplak. Ngga ngertiin masyarakat kecil. Eror" mulu. Udah ndaftar tpi tinggal login gagal" terus.</v>
      </c>
      <c r="D465" s="17" t="str">
        <f>IFERROR(__xludf.DUMMYFUNCTION("REGEXREPLACE(C465,$A$4, )"),"Aplikasi guplak. Ngga ngertiin masyarakat kecil. Eror"" mulu. Udah ndaftar tpi tinggal login gagal"" terus.")</f>
        <v>Aplikasi guplak. Ngga ngertiin masyarakat kecil. Eror" mulu. Udah ndaftar tpi tinggal login gagal" terus.</v>
      </c>
      <c r="E465" s="17" t="str">
        <f>IFERROR(__xludf.DUMMYFUNCTION("REGEXREPLACE(D465,$A$5, )"),"Aplikasi guplak. Ngga ngertiin masyarakat kecil. Eror"" mulu. Udah ndaftar tpi tinggal login gagal"" terus.")</f>
        <v>Aplikasi guplak. Ngga ngertiin masyarakat kecil. Eror" mulu. Udah ndaftar tpi tinggal login gagal" terus.</v>
      </c>
      <c r="F465" s="17" t="str">
        <f>IFERROR(__xludf.DUMMYFUNCTION("REGEXREPLACE(E465,$A$6, )"),"Aplikasi guplak Ngga ngertiin masyarakat kecil Eror mulu Udah ndaftar tpi tinggal login gagal terus")</f>
        <v>Aplikasi guplak Ngga ngertiin masyarakat kecil Eror mulu Udah ndaftar tpi tinggal login gagal terus</v>
      </c>
      <c r="G465" s="18" t="str">
        <f>IFERROR(__xludf.DUMMYFUNCTION("REGEXREPLACE(F465,$A$7, )"),"Aplikasi guplak Ngga ngertiin masyarakat kecil Eror mulu Udah ndaftar tpi tinggal login gagal terus")</f>
        <v>Aplikasi guplak Ngga ngertiin masyarakat kecil Eror mulu Udah ndaftar tpi tinggal login gagal terus</v>
      </c>
      <c r="H465" s="17" t="str">
        <f t="shared" si="1"/>
        <v>aplikasi guplak ngga ngertiin masyarakat kecil eror mulu udah ndaftar tpi tinggal login gagal terus</v>
      </c>
    </row>
    <row r="466">
      <c r="A466" s="16" t="s">
        <v>461</v>
      </c>
      <c r="B466" s="17" t="str">
        <f>IFERROR(__xludf.DUMMYFUNCTION("REGEXREPLACE(A466,$A$2, )"),"Mempermudah untuk mendaftar dan mengetahui")</f>
        <v>Mempermudah untuk mendaftar dan mengetahui</v>
      </c>
      <c r="C466" s="17" t="str">
        <f>IFERROR(__xludf.DUMMYFUNCTION("REGEXREPLACE(B466,$A$3, )"),"Mempermudah untuk mendaftar dan mengetahui")</f>
        <v>Mempermudah untuk mendaftar dan mengetahui</v>
      </c>
      <c r="D466" s="17" t="str">
        <f>IFERROR(__xludf.DUMMYFUNCTION("REGEXREPLACE(C466,$A$4, )"),"Mempermudah untuk mendaftar dan mengetahui")</f>
        <v>Mempermudah untuk mendaftar dan mengetahui</v>
      </c>
      <c r="E466" s="17" t="str">
        <f>IFERROR(__xludf.DUMMYFUNCTION("REGEXREPLACE(D466,$A$5, )"),"Mempermudah untuk mendaftar dan mengetahui")</f>
        <v>Mempermudah untuk mendaftar dan mengetahui</v>
      </c>
      <c r="F466" s="17" t="str">
        <f>IFERROR(__xludf.DUMMYFUNCTION("REGEXREPLACE(E466,$A$6, )"),"Mempermudah untuk mendaftar dan mengetahui")</f>
        <v>Mempermudah untuk mendaftar dan mengetahui</v>
      </c>
      <c r="G466" s="18" t="str">
        <f>IFERROR(__xludf.DUMMYFUNCTION("REGEXREPLACE(F466,$A$7, )"),"Mempermudah untuk mendaftar dan mengetahui")</f>
        <v>Mempermudah untuk mendaftar dan mengetahui</v>
      </c>
      <c r="H466" s="17" t="str">
        <f t="shared" si="1"/>
        <v>mempermudah untuk mendaftar dan mengetahui</v>
      </c>
    </row>
    <row r="467">
      <c r="A467" s="16" t="s">
        <v>462</v>
      </c>
      <c r="B467" s="17" t="str">
        <f>IFERROR(__xludf.DUMMYFUNCTION("REGEXREPLACE(A467,$A$2, )"),"Gak bisa daftar,,selalu eror!!")</f>
        <v>Gak bisa daftar,,selalu eror!!</v>
      </c>
      <c r="C467" s="17" t="str">
        <f>IFERROR(__xludf.DUMMYFUNCTION("REGEXREPLACE(B467,$A$3, )"),"Gak bisa daftar,,selalu eror!!")</f>
        <v>Gak bisa daftar,,selalu eror!!</v>
      </c>
      <c r="D467" s="17" t="str">
        <f>IFERROR(__xludf.DUMMYFUNCTION("REGEXREPLACE(C467,$A$4, )"),"Gak bisa daftar,,selalu eror!!")</f>
        <v>Gak bisa daftar,,selalu eror!!</v>
      </c>
      <c r="E467" s="17" t="str">
        <f>IFERROR(__xludf.DUMMYFUNCTION("REGEXREPLACE(D467,$A$5, )"),"Gak bisa daftar,,selalu eror!!")</f>
        <v>Gak bisa daftar,,selalu eror!!</v>
      </c>
      <c r="F467" s="17" t="str">
        <f>IFERROR(__xludf.DUMMYFUNCTION("REGEXREPLACE(E467,$A$6, )"),"Gak bisa daftarselalu eror")</f>
        <v>Gak bisa daftarselalu eror</v>
      </c>
      <c r="G467" s="18" t="str">
        <f>IFERROR(__xludf.DUMMYFUNCTION("REGEXREPLACE(F467,$A$7, )"),"Gak bisa daftarselalu eror")</f>
        <v>Gak bisa daftarselalu eror</v>
      </c>
      <c r="H467" s="17" t="str">
        <f t="shared" si="1"/>
        <v>gak bisa daftarselalu eror</v>
      </c>
    </row>
    <row r="468">
      <c r="A468" s="16" t="s">
        <v>463</v>
      </c>
      <c r="B468" s="17" t="str">
        <f>IFERROR(__xludf.DUMMYFUNCTION("REGEXREPLACE(A468,$A$2, )"),"Aplikasi apaan kya gini udah berkali2 saya download pas mau daftar eror mlulu, aplk gak brmutu")</f>
        <v>Aplikasi apaan kya gini udah berkali2 saya download pas mau daftar eror mlulu, aplk gak brmutu</v>
      </c>
      <c r="C468" s="17" t="str">
        <f>IFERROR(__xludf.DUMMYFUNCTION("REGEXREPLACE(B468,$A$3, )"),"Aplikasi apaan kya gini udah berkali2 saya download pas mau daftar eror mlulu, aplk gak brmutu")</f>
        <v>Aplikasi apaan kya gini udah berkali2 saya download pas mau daftar eror mlulu, aplk gak brmutu</v>
      </c>
      <c r="D468" s="17" t="str">
        <f>IFERROR(__xludf.DUMMYFUNCTION("REGEXREPLACE(C468,$A$4, )"),"Aplikasi apaan kya gini udah berkali2 saya download pas mau daftar eror mlulu, aplk gak brmutu")</f>
        <v>Aplikasi apaan kya gini udah berkali2 saya download pas mau daftar eror mlulu, aplk gak brmutu</v>
      </c>
      <c r="E468" s="17" t="str">
        <f>IFERROR(__xludf.DUMMYFUNCTION("REGEXREPLACE(D468,$A$5, )"),"Aplikasi apaan kya gini udah berkali saya download pas mau daftar eror mlulu, aplk gak brmutu")</f>
        <v>Aplikasi apaan kya gini udah berkali saya download pas mau daftar eror mlulu, aplk gak brmutu</v>
      </c>
      <c r="F468" s="17" t="str">
        <f>IFERROR(__xludf.DUMMYFUNCTION("REGEXREPLACE(E468,$A$6, )"),"Aplikasi apaan kya gini udah berkali saya download pas mau daftar eror mlulu aplk gak brmutu")</f>
        <v>Aplikasi apaan kya gini udah berkali saya download pas mau daftar eror mlulu aplk gak brmutu</v>
      </c>
      <c r="G468" s="18" t="str">
        <f>IFERROR(__xludf.DUMMYFUNCTION("REGEXREPLACE(F468,$A$7, )"),"Aplikasi apaan kya gini udah berkali saya download pas mau daftar eror mlulu aplk gak brmutu")</f>
        <v>Aplikasi apaan kya gini udah berkali saya download pas mau daftar eror mlulu aplk gak brmutu</v>
      </c>
      <c r="H468" s="17" t="str">
        <f t="shared" si="1"/>
        <v>aplikasi apaan kya gini udah berkali saya download pas mau daftar eror mlulu aplk gak brmutu</v>
      </c>
    </row>
    <row r="469">
      <c r="A469" s="16" t="s">
        <v>464</v>
      </c>
      <c r="B469" s="17" t="str">
        <f>IFERROR(__xludf.DUMMYFUNCTION("REGEXREPLACE(A469,$A$2, )"),"Kenpa ko mau tambuh usulan selalu gagal cuma muncul aplikasi error' hubungi admin")</f>
        <v>Kenpa ko mau tambuh usulan selalu gagal cuma muncul aplikasi error' hubungi admin</v>
      </c>
      <c r="C469" s="17" t="str">
        <f>IFERROR(__xludf.DUMMYFUNCTION("REGEXREPLACE(B469,$A$3, )"),"Kenpa ko mau tambuh usulan selalu gagal cuma muncul aplikasi error' hubungi admin")</f>
        <v>Kenpa ko mau tambuh usulan selalu gagal cuma muncul aplikasi error' hubungi admin</v>
      </c>
      <c r="D469" s="17" t="str">
        <f>IFERROR(__xludf.DUMMYFUNCTION("REGEXREPLACE(C469,$A$4, )"),"Kenpa ko mau tambuh usulan selalu gagal cuma muncul aplikasi error' hubungi admin")</f>
        <v>Kenpa ko mau tambuh usulan selalu gagal cuma muncul aplikasi error' hubungi admin</v>
      </c>
      <c r="E469" s="17" t="str">
        <f>IFERROR(__xludf.DUMMYFUNCTION("REGEXREPLACE(D469,$A$5, )"),"Kenpa ko mau tambuh usulan selalu gagal cuma muncul aplikasi error' hubungi admin")</f>
        <v>Kenpa ko mau tambuh usulan selalu gagal cuma muncul aplikasi error' hubungi admin</v>
      </c>
      <c r="F469" s="17" t="str">
        <f>IFERROR(__xludf.DUMMYFUNCTION("REGEXREPLACE(E469,$A$6, )"),"Kenpa ko mau tambuh usulan selalu gagal cuma muncul aplikasi error hubungi admin")</f>
        <v>Kenpa ko mau tambuh usulan selalu gagal cuma muncul aplikasi error hubungi admin</v>
      </c>
      <c r="G469" s="18" t="str">
        <f>IFERROR(__xludf.DUMMYFUNCTION("REGEXREPLACE(F469,$A$7, )"),"Kenpa ko mau tambuh usulan selalu gagal cuma muncul aplikasi error hubungi admin")</f>
        <v>Kenpa ko mau tambuh usulan selalu gagal cuma muncul aplikasi error hubungi admin</v>
      </c>
      <c r="H469" s="17" t="str">
        <f t="shared" si="1"/>
        <v>kenpa ko mau tambuh usulan selalu gagal cuma muncul aplikasi error hubungi admin</v>
      </c>
    </row>
    <row r="470">
      <c r="A470" s="16" t="s">
        <v>465</v>
      </c>
      <c r="B470" s="17" t="str">
        <f>IFERROR(__xludf.DUMMYFUNCTION("REGEXREPLACE(A470,$A$2, )"),"Tidak bisa login di aplikasi")</f>
        <v>Tidak bisa login di aplikasi</v>
      </c>
      <c r="C470" s="17" t="str">
        <f>IFERROR(__xludf.DUMMYFUNCTION("REGEXREPLACE(B470,$A$3, )"),"Tidak bisa login di aplikasi")</f>
        <v>Tidak bisa login di aplikasi</v>
      </c>
      <c r="D470" s="17" t="str">
        <f>IFERROR(__xludf.DUMMYFUNCTION("REGEXREPLACE(C470,$A$4, )"),"Tidak bisa login di aplikasi")</f>
        <v>Tidak bisa login di aplikasi</v>
      </c>
      <c r="E470" s="17" t="str">
        <f>IFERROR(__xludf.DUMMYFUNCTION("REGEXREPLACE(D470,$A$5, )"),"Tidak bisa login di aplikasi")</f>
        <v>Tidak bisa login di aplikasi</v>
      </c>
      <c r="F470" s="17" t="str">
        <f>IFERROR(__xludf.DUMMYFUNCTION("REGEXREPLACE(E470,$A$6, )"),"Tidak bisa login di aplikasi")</f>
        <v>Tidak bisa login di aplikasi</v>
      </c>
      <c r="G470" s="18" t="str">
        <f>IFERROR(__xludf.DUMMYFUNCTION("REGEXREPLACE(F470,$A$7, )"),"Tidak bisa login di aplikasi")</f>
        <v>Tidak bisa login di aplikasi</v>
      </c>
      <c r="H470" s="17" t="str">
        <f t="shared" si="1"/>
        <v>tidak bisa login di aplikasi</v>
      </c>
    </row>
    <row r="471">
      <c r="A471" s="16" t="s">
        <v>466</v>
      </c>
      <c r="B471" s="17" t="str">
        <f>IFERROR(__xludf.DUMMYFUNCTION("REGEXREPLACE(A471,$A$2, )"),"Aplikasi gak jelas. Udha susah susah register. Gak bisa login.. Wkwkwkw Selamat Anda kena prank. Admin nya Youtuber kali yak !!!")</f>
        <v>Aplikasi gak jelas. Udha susah susah register. Gak bisa login.. Wkwkwkw Selamat Anda kena prank. Admin nya Youtuber kali yak !!!</v>
      </c>
      <c r="C471" s="17" t="str">
        <f>IFERROR(__xludf.DUMMYFUNCTION("REGEXREPLACE(B471,$A$3, )"),"Aplikasi gak jelas. Udha susah susah register. Gak bisa login.. Wkwkwkw Selamat Anda kena prank. Admin nya Youtuber kali yak !!!")</f>
        <v>Aplikasi gak jelas. Udha susah susah register. Gak bisa login.. Wkwkwkw Selamat Anda kena prank. Admin nya Youtuber kali yak !!!</v>
      </c>
      <c r="D471" s="17" t="str">
        <f>IFERROR(__xludf.DUMMYFUNCTION("REGEXREPLACE(C471,$A$4, )"),"Aplikasi gak jelas. Udha susah susah register. Gak bisa login.. Wkwkwkw Selamat Anda kena prank. Admin nya Youtuber kali yak !!!")</f>
        <v>Aplikasi gak jelas. Udha susah susah register. Gak bisa login.. Wkwkwkw Selamat Anda kena prank. Admin nya Youtuber kali yak !!!</v>
      </c>
      <c r="E471" s="17" t="str">
        <f>IFERROR(__xludf.DUMMYFUNCTION("REGEXREPLACE(D471,$A$5, )"),"Aplikasi gak jelas. Udha susah susah register. Gak bisa login.. Wkwkwkw Selamat Anda kena prank. Admin nya Youtuber kali yak !!!")</f>
        <v>Aplikasi gak jelas. Udha susah susah register. Gak bisa login.. Wkwkwkw Selamat Anda kena prank. Admin nya Youtuber kali yak !!!</v>
      </c>
      <c r="F471" s="17" t="str">
        <f>IFERROR(__xludf.DUMMYFUNCTION("REGEXREPLACE(E471,$A$6, )"),"Aplikasi gak jelas Udha susah susah register Gak bisa login Wkwkwkw Selamat Anda kena prank Admin nya Youtuber kali yak ")</f>
        <v>Aplikasi gak jelas Udha susah susah register Gak bisa login Wkwkwkw Selamat Anda kena prank Admin nya Youtuber kali yak </v>
      </c>
      <c r="G471" s="18" t="str">
        <f>IFERROR(__xludf.DUMMYFUNCTION("REGEXREPLACE(F471,$A$7, )"),"Aplikasi gak jelas Udha susah susah register Gak bisa login Wkwkwkw Selamat Anda kena prank Admin nya Youtuber kali yak ")</f>
        <v>Aplikasi gak jelas Udha susah susah register Gak bisa login Wkwkwkw Selamat Anda kena prank Admin nya Youtuber kali yak </v>
      </c>
      <c r="H471" s="17" t="str">
        <f t="shared" si="1"/>
        <v>aplikasi gak jelas udha susah susah register gak bisa login wkwkwkw selamat anda kena prank admin nya youtuber kali yak </v>
      </c>
    </row>
    <row r="472">
      <c r="A472" s="16" t="s">
        <v>467</v>
      </c>
      <c r="B472" s="17" t="str">
        <f>IFERROR(__xludf.DUMMYFUNCTION("REGEXREPLACE(A472,$A$2, )"),"Terimakasih alikasinih lumayan bisa melindungi menurut saya salam hormat")</f>
        <v>Terimakasih alikasinih lumayan bisa melindungi menurut saya salam hormat</v>
      </c>
      <c r="C472" s="17" t="str">
        <f>IFERROR(__xludf.DUMMYFUNCTION("REGEXREPLACE(B472,$A$3, )"),"Terimakasih alikasinih lumayan bisa melindungi menurut saya salam hormat")</f>
        <v>Terimakasih alikasinih lumayan bisa melindungi menurut saya salam hormat</v>
      </c>
      <c r="D472" s="17" t="str">
        <f>IFERROR(__xludf.DUMMYFUNCTION("REGEXREPLACE(C472,$A$4, )"),"Terimakasih alikasinih lumayan bisa melindungi menurut saya salam hormat")</f>
        <v>Terimakasih alikasinih lumayan bisa melindungi menurut saya salam hormat</v>
      </c>
      <c r="E472" s="17" t="str">
        <f>IFERROR(__xludf.DUMMYFUNCTION("REGEXREPLACE(D472,$A$5, )"),"Terimakasih alikasinih lumayan bisa melindungi menurut saya salam hormat")</f>
        <v>Terimakasih alikasinih lumayan bisa melindungi menurut saya salam hormat</v>
      </c>
      <c r="F472" s="17" t="str">
        <f>IFERROR(__xludf.DUMMYFUNCTION("REGEXREPLACE(E472,$A$6, )"),"Terimakasih alikasinih lumayan bisa melindungi menurut saya salam hormat")</f>
        <v>Terimakasih alikasinih lumayan bisa melindungi menurut saya salam hormat</v>
      </c>
      <c r="G472" s="18" t="str">
        <f>IFERROR(__xludf.DUMMYFUNCTION("REGEXREPLACE(F472,$A$7, )"),"Terimakasih alikasinih lumayan bisa melindungi menurut saya salam hormat")</f>
        <v>Terimakasih alikasinih lumayan bisa melindungi menurut saya salam hormat</v>
      </c>
      <c r="H472" s="17" t="str">
        <f t="shared" si="1"/>
        <v>terimakasih alikasinih lumayan bisa melindungi menurut saya salam hormat</v>
      </c>
    </row>
    <row r="473">
      <c r="A473" s="16" t="s">
        <v>468</v>
      </c>
      <c r="B473" s="17" t="str">
        <f>IFERROR(__xludf.DUMMYFUNCTION("REGEXREPLACE(A473,$A$2, )"),"Selalu nya error. Aplikasi tak berguna")</f>
        <v>Selalu nya error. Aplikasi tak berguna</v>
      </c>
      <c r="C473" s="17" t="str">
        <f>IFERROR(__xludf.DUMMYFUNCTION("REGEXREPLACE(B473,$A$3, )"),"Selalu nya error. Aplikasi tak berguna")</f>
        <v>Selalu nya error. Aplikasi tak berguna</v>
      </c>
      <c r="D473" s="17" t="str">
        <f>IFERROR(__xludf.DUMMYFUNCTION("REGEXREPLACE(C473,$A$4, )"),"Selalu nya error. Aplikasi tak berguna")</f>
        <v>Selalu nya error. Aplikasi tak berguna</v>
      </c>
      <c r="E473" s="17" t="str">
        <f>IFERROR(__xludf.DUMMYFUNCTION("REGEXREPLACE(D473,$A$5, )"),"Selalu nya error. Aplikasi tak berguna")</f>
        <v>Selalu nya error. Aplikasi tak berguna</v>
      </c>
      <c r="F473" s="17" t="str">
        <f>IFERROR(__xludf.DUMMYFUNCTION("REGEXREPLACE(E473,$A$6, )"),"Selalu nya error Aplikasi tak berguna")</f>
        <v>Selalu nya error Aplikasi tak berguna</v>
      </c>
      <c r="G473" s="18" t="str">
        <f>IFERROR(__xludf.DUMMYFUNCTION("REGEXREPLACE(F473,$A$7, )"),"Selalu nya error Aplikasi tak berguna")</f>
        <v>Selalu nya error Aplikasi tak berguna</v>
      </c>
      <c r="H473" s="17" t="str">
        <f t="shared" si="1"/>
        <v>selalu nya error aplikasi tak berguna</v>
      </c>
    </row>
    <row r="474">
      <c r="A474" s="16" t="s">
        <v>469</v>
      </c>
      <c r="B474" s="17" t="str">
        <f>IFERROR(__xludf.DUMMYFUNCTION("REGEXREPLACE(A474,$A$2, )"),"Semoga saya dapat bantuan karna saya belum pernah dapat bantuan ap-ap sedangkan yang lebih mampu dapat bantuan")</f>
        <v>Semoga saya dapat bantuan karna saya belum pernah dapat bantuan ap-ap sedangkan yang lebih mampu dapat bantuan</v>
      </c>
      <c r="C474" s="17" t="str">
        <f>IFERROR(__xludf.DUMMYFUNCTION("REGEXREPLACE(B474,$A$3, )"),"Semoga saya dapat bantuan karna saya belum pernah dapat bantuan ap-ap sedangkan yang lebih mampu dapat bantuan")</f>
        <v>Semoga saya dapat bantuan karna saya belum pernah dapat bantuan ap-ap sedangkan yang lebih mampu dapat bantuan</v>
      </c>
      <c r="D474" s="17" t="str">
        <f>IFERROR(__xludf.DUMMYFUNCTION("REGEXREPLACE(C474,$A$4, )"),"Semoga saya dapat bantuan karna saya belum pernah dapat bantuan ap-ap sedangkan yang lebih mampu dapat bantuan")</f>
        <v>Semoga saya dapat bantuan karna saya belum pernah dapat bantuan ap-ap sedangkan yang lebih mampu dapat bantuan</v>
      </c>
      <c r="E474" s="17" t="str">
        <f>IFERROR(__xludf.DUMMYFUNCTION("REGEXREPLACE(D474,$A$5, )"),"Semoga saya dapat bantuan karna saya belum pernah dapat bantuan ap-ap sedangkan yang lebih mampu dapat bantuan")</f>
        <v>Semoga saya dapat bantuan karna saya belum pernah dapat bantuan ap-ap sedangkan yang lebih mampu dapat bantuan</v>
      </c>
      <c r="F474" s="17" t="str">
        <f>IFERROR(__xludf.DUMMYFUNCTION("REGEXREPLACE(E474,$A$6, )"),"Semoga saya dapat bantuan karna saya belum pernah dapat bantuan apap sedangkan yang lebih mampu dapat bantuan")</f>
        <v>Semoga saya dapat bantuan karna saya belum pernah dapat bantuan apap sedangkan yang lebih mampu dapat bantuan</v>
      </c>
      <c r="G474" s="18" t="str">
        <f>IFERROR(__xludf.DUMMYFUNCTION("REGEXREPLACE(F474,$A$7, )"),"Semoga saya dapat bantuan karna saya belum pernah dapat bantuan apap sedangkan yang lebih mampu dapat bantuan")</f>
        <v>Semoga saya dapat bantuan karna saya belum pernah dapat bantuan apap sedangkan yang lebih mampu dapat bantuan</v>
      </c>
      <c r="H474" s="17" t="str">
        <f t="shared" si="1"/>
        <v>semoga saya dapat bantuan karna saya belum pernah dapat bantuan apap sedangkan yang lebih mampu dapat bantuan</v>
      </c>
    </row>
    <row r="475">
      <c r="A475" s="16" t="s">
        <v>470</v>
      </c>
      <c r="B475" s="17" t="str">
        <f>IFERROR(__xludf.DUMMYFUNCTION("REGEXREPLACE(A475,$A$2, )"),"Berkali kali dwonload aplikasi dan buat Acun tpi TDK pernah ke buka")</f>
        <v>Berkali kali dwonload aplikasi dan buat Acun tpi TDK pernah ke buka</v>
      </c>
      <c r="C475" s="17" t="str">
        <f>IFERROR(__xludf.DUMMYFUNCTION("REGEXREPLACE(B475,$A$3, )"),"Berkali kali dwonload aplikasi dan buat Acun tpi TDK pernah ke buka")</f>
        <v>Berkali kali dwonload aplikasi dan buat Acun tpi TDK pernah ke buka</v>
      </c>
      <c r="D475" s="17" t="str">
        <f>IFERROR(__xludf.DUMMYFUNCTION("REGEXREPLACE(C475,$A$4, )"),"Berkali kali dwonload aplikasi dan buat Acun tpi TDK pernah ke buka")</f>
        <v>Berkali kali dwonload aplikasi dan buat Acun tpi TDK pernah ke buka</v>
      </c>
      <c r="E475" s="17" t="str">
        <f>IFERROR(__xludf.DUMMYFUNCTION("REGEXREPLACE(D475,$A$5, )"),"Berkali kali dwonload aplikasi dan buat Acun tpi TDK pernah ke buka")</f>
        <v>Berkali kali dwonload aplikasi dan buat Acun tpi TDK pernah ke buka</v>
      </c>
      <c r="F475" s="17" t="str">
        <f>IFERROR(__xludf.DUMMYFUNCTION("REGEXREPLACE(E475,$A$6, )"),"Berkali kali dwonload aplikasi dan buat Acun tpi TDK pernah ke buka")</f>
        <v>Berkali kali dwonload aplikasi dan buat Acun tpi TDK pernah ke buka</v>
      </c>
      <c r="G475" s="18" t="str">
        <f>IFERROR(__xludf.DUMMYFUNCTION("REGEXREPLACE(F475,$A$7, )"),"Berkali kali dwonload aplikasi dan buat Acun tpi TDK pernah ke buka")</f>
        <v>Berkali kali dwonload aplikasi dan buat Acun tpi TDK pernah ke buka</v>
      </c>
      <c r="H475" s="17" t="str">
        <f t="shared" si="1"/>
        <v>berkali kali dwonload aplikasi dan buat acun tpi tdk pernah ke buka</v>
      </c>
    </row>
    <row r="476">
      <c r="A476" s="16" t="s">
        <v>471</v>
      </c>
      <c r="B476" s="17" t="str">
        <f>IFERROR(__xludf.DUMMYFUNCTION("REGEXREPLACE(A476,$A$2, )"),"Susah sekali daftarnya eror aplikasi terus.sebenarnya harus bagaimana menggunakannya")</f>
        <v>Susah sekali daftarnya eror aplikasi terus.sebenarnya harus bagaimana menggunakannya</v>
      </c>
      <c r="C476" s="17" t="str">
        <f>IFERROR(__xludf.DUMMYFUNCTION("REGEXREPLACE(B476,$A$3, )"),"Susah sekali daftarnya eror aplikasi terus.sebenarnya harus bagaimana menggunakannya")</f>
        <v>Susah sekali daftarnya eror aplikasi terus.sebenarnya harus bagaimana menggunakannya</v>
      </c>
      <c r="D476" s="17" t="str">
        <f>IFERROR(__xludf.DUMMYFUNCTION("REGEXREPLACE(C476,$A$4, )"),"Susah sekali daftarnya eror aplikasi terus.sebenarnya harus bagaimana menggunakannya")</f>
        <v>Susah sekali daftarnya eror aplikasi terus.sebenarnya harus bagaimana menggunakannya</v>
      </c>
      <c r="E476" s="17" t="str">
        <f>IFERROR(__xludf.DUMMYFUNCTION("REGEXREPLACE(D476,$A$5, )"),"Susah sekali daftarnya eror aplikasi terus.sebenarnya harus bagaimana menggunakannya")</f>
        <v>Susah sekali daftarnya eror aplikasi terus.sebenarnya harus bagaimana menggunakannya</v>
      </c>
      <c r="F476" s="17" t="str">
        <f>IFERROR(__xludf.DUMMYFUNCTION("REGEXREPLACE(E476,$A$6, )"),"Susah sekali daftarnya eror aplikasi terussebenarnya harus bagaimana menggunakannya")</f>
        <v>Susah sekali daftarnya eror aplikasi terussebenarnya harus bagaimana menggunakannya</v>
      </c>
      <c r="G476" s="18" t="str">
        <f>IFERROR(__xludf.DUMMYFUNCTION("REGEXREPLACE(F476,$A$7, )"),"Susah sekali daftarnya eror aplikasi terussebenarnya harus bagaimana menggunakannya")</f>
        <v>Susah sekali daftarnya eror aplikasi terussebenarnya harus bagaimana menggunakannya</v>
      </c>
      <c r="H476" s="17" t="str">
        <f t="shared" si="1"/>
        <v>susah sekali daftarnya eror aplikasi terussebenarnya harus bagaimana menggunakannya</v>
      </c>
    </row>
    <row r="477">
      <c r="A477" s="16" t="s">
        <v>472</v>
      </c>
      <c r="B477" s="17" t="str">
        <f>IFERROR(__xludf.DUMMYFUNCTION("REGEXREPLACE(A477,$A$2, )"),"Bangke udah selsai kan data tapi GK bisa masuk login bgsat")</f>
        <v>Bangke udah selsai kan data tapi GK bisa masuk login bgsat</v>
      </c>
      <c r="C477" s="17" t="str">
        <f>IFERROR(__xludf.DUMMYFUNCTION("REGEXREPLACE(B477,$A$3, )"),"Bangke udah selsai kan data tapi GK bisa masuk login bgsat")</f>
        <v>Bangke udah selsai kan data tapi GK bisa masuk login bgsat</v>
      </c>
      <c r="D477" s="17" t="str">
        <f>IFERROR(__xludf.DUMMYFUNCTION("REGEXREPLACE(C477,$A$4, )"),"Bangke udah selsai kan data tapi GK bisa masuk login bgsat")</f>
        <v>Bangke udah selsai kan data tapi GK bisa masuk login bgsat</v>
      </c>
      <c r="E477" s="17" t="str">
        <f>IFERROR(__xludf.DUMMYFUNCTION("REGEXREPLACE(D477,$A$5, )"),"Bangke udah selsai kan data tapi GK bisa masuk login bgsat")</f>
        <v>Bangke udah selsai kan data tapi GK bisa masuk login bgsat</v>
      </c>
      <c r="F477" s="17" t="str">
        <f>IFERROR(__xludf.DUMMYFUNCTION("REGEXREPLACE(E477,$A$6, )"),"Bangke udah selsai kan data tapi GK bisa masuk login bgsat")</f>
        <v>Bangke udah selsai kan data tapi GK bisa masuk login bgsat</v>
      </c>
      <c r="G477" s="18" t="str">
        <f>IFERROR(__xludf.DUMMYFUNCTION("REGEXREPLACE(F477,$A$7, )"),"Bangke udah selsai kan data tapi GK bisa masuk login bgsat")</f>
        <v>Bangke udah selsai kan data tapi GK bisa masuk login bgsat</v>
      </c>
      <c r="H477" s="17" t="str">
        <f t="shared" si="1"/>
        <v>bangke udah selsai kan data tapi gk bisa masuk login bgsat</v>
      </c>
    </row>
    <row r="478">
      <c r="A478" s="16" t="s">
        <v>473</v>
      </c>
      <c r="B478" s="17" t="str">
        <f>IFERROR(__xludf.DUMMYFUNCTION("REGEXREPLACE(A478,$A$2, )"),"aplikaai gk guna udah daftar tapi di suruh daftar lg hadeh ne aplikasi bxk kurup nya")</f>
        <v>aplikaai gk guna udah daftar tapi di suruh daftar lg hadeh ne aplikasi bxk kurup nya</v>
      </c>
      <c r="C478" s="17" t="str">
        <f>IFERROR(__xludf.DUMMYFUNCTION("REGEXREPLACE(B478,$A$3, )"),"aplikaai gk guna udah daftar tapi di suruh daftar lg hadeh ne aplikasi bxk kurup nya")</f>
        <v>aplikaai gk guna udah daftar tapi di suruh daftar lg hadeh ne aplikasi bxk kurup nya</v>
      </c>
      <c r="D478" s="17" t="str">
        <f>IFERROR(__xludf.DUMMYFUNCTION("REGEXREPLACE(C478,$A$4, )"),"aplikaai gk guna udah daftar tapi di suruh daftar lg hadeh ne aplikasi bxk kurup nya")</f>
        <v>aplikaai gk guna udah daftar tapi di suruh daftar lg hadeh ne aplikasi bxk kurup nya</v>
      </c>
      <c r="E478" s="17" t="str">
        <f>IFERROR(__xludf.DUMMYFUNCTION("REGEXREPLACE(D478,$A$5, )"),"aplikaai gk guna udah daftar tapi di suruh daftar lg hadeh ne aplikasi bxk kurup nya")</f>
        <v>aplikaai gk guna udah daftar tapi di suruh daftar lg hadeh ne aplikasi bxk kurup nya</v>
      </c>
      <c r="F478" s="17" t="str">
        <f>IFERROR(__xludf.DUMMYFUNCTION("REGEXREPLACE(E478,$A$6, )"),"aplikaai gk guna udah daftar tapi di suruh daftar lg hadeh ne aplikasi bxk kurup nya")</f>
        <v>aplikaai gk guna udah daftar tapi di suruh daftar lg hadeh ne aplikasi bxk kurup nya</v>
      </c>
      <c r="G478" s="18" t="str">
        <f>IFERROR(__xludf.DUMMYFUNCTION("REGEXREPLACE(F478,$A$7, )"),"aplikaai gk guna udah daftar tapi di suruh daftar lg hadeh ne aplikasi bxk kurup nya")</f>
        <v>aplikaai gk guna udah daftar tapi di suruh daftar lg hadeh ne aplikasi bxk kurup nya</v>
      </c>
      <c r="H478" s="17" t="str">
        <f t="shared" si="1"/>
        <v>aplikaai gk guna udah daftar tapi di suruh daftar lg hadeh ne aplikasi bxk kurup nya</v>
      </c>
    </row>
    <row r="479">
      <c r="A479" s="16" t="s">
        <v>474</v>
      </c>
      <c r="B479" s="17" t="str">
        <f>IFERROR(__xludf.DUMMYFUNCTION("REGEXREPLACE(A479,$A$2, )"),"Aplikasinya Sedang dalam perbaikan.")</f>
        <v>Aplikasinya Sedang dalam perbaikan.</v>
      </c>
      <c r="C479" s="17" t="str">
        <f>IFERROR(__xludf.DUMMYFUNCTION("REGEXREPLACE(B479,$A$3, )"),"Aplikasinya Sedang dalam perbaikan.")</f>
        <v>Aplikasinya Sedang dalam perbaikan.</v>
      </c>
      <c r="D479" s="17" t="str">
        <f>IFERROR(__xludf.DUMMYFUNCTION("REGEXREPLACE(C479,$A$4, )"),"Aplikasinya Sedang dalam perbaikan.")</f>
        <v>Aplikasinya Sedang dalam perbaikan.</v>
      </c>
      <c r="E479" s="17" t="str">
        <f>IFERROR(__xludf.DUMMYFUNCTION("REGEXREPLACE(D479,$A$5, )"),"Aplikasinya Sedang dalam perbaikan.")</f>
        <v>Aplikasinya Sedang dalam perbaikan.</v>
      </c>
      <c r="F479" s="17" t="str">
        <f>IFERROR(__xludf.DUMMYFUNCTION("REGEXREPLACE(E479,$A$6, )"),"Aplikasinya Sedang dalam perbaikan")</f>
        <v>Aplikasinya Sedang dalam perbaikan</v>
      </c>
      <c r="G479" s="18" t="str">
        <f>IFERROR(__xludf.DUMMYFUNCTION("REGEXREPLACE(F479,$A$7, )"),"Aplikasinya Sedang dalam perbaikan")</f>
        <v>Aplikasinya Sedang dalam perbaikan</v>
      </c>
      <c r="H479" s="17" t="str">
        <f t="shared" si="1"/>
        <v>aplikasinya sedang dalam perbaikan</v>
      </c>
    </row>
    <row r="480">
      <c r="A480" s="16" t="s">
        <v>475</v>
      </c>
      <c r="B480" s="17" t="str">
        <f>IFERROR(__xludf.DUMMYFUNCTION("REGEXREPLACE(A480,$A$2, )"),"Saya selalu gagal buat usulan untuk PKH alasannya aplikasi eror silahkan hubungi admin.. minta solusinya kak..")</f>
        <v>Saya selalu gagal buat usulan untuk PKH alasannya aplikasi eror silahkan hubungi admin.. minta solusinya kak..</v>
      </c>
      <c r="C480" s="17" t="str">
        <f>IFERROR(__xludf.DUMMYFUNCTION("REGEXREPLACE(B480,$A$3, )"),"Saya selalu gagal buat usulan untuk PKH alasannya aplikasi eror silahkan hubungi admin.. minta solusinya kak..")</f>
        <v>Saya selalu gagal buat usulan untuk PKH alasannya aplikasi eror silahkan hubungi admin.. minta solusinya kak..</v>
      </c>
      <c r="D480" s="17" t="str">
        <f>IFERROR(__xludf.DUMMYFUNCTION("REGEXREPLACE(C480,$A$4, )"),"Saya selalu gagal buat usulan untuk PKH alasannya aplikasi eror silahkan hubungi admin.. minta solusinya kak..")</f>
        <v>Saya selalu gagal buat usulan untuk PKH alasannya aplikasi eror silahkan hubungi admin.. minta solusinya kak..</v>
      </c>
      <c r="E480" s="17" t="str">
        <f>IFERROR(__xludf.DUMMYFUNCTION("REGEXREPLACE(D480,$A$5, )"),"Saya selalu gagal buat usulan untuk PKH alasannya aplikasi eror silahkan hubungi admin.. minta solusinya kak..")</f>
        <v>Saya selalu gagal buat usulan untuk PKH alasannya aplikasi eror silahkan hubungi admin.. minta solusinya kak..</v>
      </c>
      <c r="F480" s="17" t="str">
        <f>IFERROR(__xludf.DUMMYFUNCTION("REGEXREPLACE(E480,$A$6, )"),"Saya selalu gagal buat usulan untuk PKH alasannya aplikasi eror silahkan hubungi admin minta solusinya kak")</f>
        <v>Saya selalu gagal buat usulan untuk PKH alasannya aplikasi eror silahkan hubungi admin minta solusinya kak</v>
      </c>
      <c r="G480" s="18" t="str">
        <f>IFERROR(__xludf.DUMMYFUNCTION("REGEXREPLACE(F480,$A$7, )"),"Saya selalu gagal buat usulan untuk PKH alasannya aplikasi eror silahkan hubungi admin minta solusinya kak")</f>
        <v>Saya selalu gagal buat usulan untuk PKH alasannya aplikasi eror silahkan hubungi admin minta solusinya kak</v>
      </c>
      <c r="H480" s="17" t="str">
        <f t="shared" si="1"/>
        <v>saya selalu gagal buat usulan untuk pkh alasannya aplikasi eror silahkan hubungi admin minta solusinya kak</v>
      </c>
    </row>
    <row r="481">
      <c r="A481" s="16" t="s">
        <v>476</v>
      </c>
      <c r="B481" s="17" t="str">
        <f>IFERROR(__xludf.DUMMYFUNCTION("REGEXREPLACE(A481,$A$2, )"),"Taiii udh daftar tp gk bisa login..yg dpat bantuan orng kaya semua sma saudara RT...keadilan macam apa ini bangsattt")</f>
        <v>Taiii udh daftar tp gk bisa login..yg dpat bantuan orng kaya semua sma saudara RT...keadilan macam apa ini bangsattt</v>
      </c>
      <c r="C481" s="17" t="str">
        <f>IFERROR(__xludf.DUMMYFUNCTION("REGEXREPLACE(B481,$A$3, )"),"Taiii udh daftar tp gk bisa login..yg dpat bantuan orng kaya semua sma saudara RT...keadilan macam apa ini bangsattt")</f>
        <v>Taiii udh daftar tp gk bisa login..yg dpat bantuan orng kaya semua sma saudara RT...keadilan macam apa ini bangsattt</v>
      </c>
      <c r="D481" s="17" t="str">
        <f>IFERROR(__xludf.DUMMYFUNCTION("REGEXREPLACE(C481,$A$4, )"),"Taiii udh daftar tp gk bisa login..yg dpat bantuan orng kaya semua sma saudara RT...keadilan macam apa ini bangsattt")</f>
        <v>Taiii udh daftar tp gk bisa login..yg dpat bantuan orng kaya semua sma saudara RT...keadilan macam apa ini bangsattt</v>
      </c>
      <c r="E481" s="17" t="str">
        <f>IFERROR(__xludf.DUMMYFUNCTION("REGEXREPLACE(D481,$A$5, )"),"Taiii udh daftar tp gk bisa login..yg dpat bantuan orng kaya semua sma saudara RT...keadilan macam apa ini bangsattt")</f>
        <v>Taiii udh daftar tp gk bisa login..yg dpat bantuan orng kaya semua sma saudara RT...keadilan macam apa ini bangsattt</v>
      </c>
      <c r="F481" s="17" t="str">
        <f>IFERROR(__xludf.DUMMYFUNCTION("REGEXREPLACE(E481,$A$6, )"),"Taiii udh daftar tp gk bisa loginyg dpat bantuan orng kaya semua sma saudara RTkeadilan macam apa ini bangsattt")</f>
        <v>Taiii udh daftar tp gk bisa loginyg dpat bantuan orng kaya semua sma saudara RTkeadilan macam apa ini bangsattt</v>
      </c>
      <c r="G481" s="18" t="str">
        <f>IFERROR(__xludf.DUMMYFUNCTION("REGEXREPLACE(F481,$A$7, )"),"Taiii udh daftar tp gk bisa loginyg dpat bantuan orng kaya semua sma saudara RTkeadilan macam apa ini bangsattt")</f>
        <v>Taiii udh daftar tp gk bisa loginyg dpat bantuan orng kaya semua sma saudara RTkeadilan macam apa ini bangsattt</v>
      </c>
      <c r="H481" s="17" t="str">
        <f t="shared" si="1"/>
        <v>taiii udh daftar tp gk bisa loginyg dpat bantuan orng kaya semua sma saudara rtkeadilan macam apa ini bangsattt</v>
      </c>
    </row>
    <row r="482">
      <c r="A482" s="16" t="s">
        <v>477</v>
      </c>
      <c r="B482" s="17" t="str">
        <f>IFERROR(__xludf.DUMMYFUNCTION("REGEXREPLACE(A482,$A$2, )"),"Aplikasinya tidak dapat digunakan error")</f>
        <v>Aplikasinya tidak dapat digunakan error</v>
      </c>
      <c r="C482" s="17" t="str">
        <f>IFERROR(__xludf.DUMMYFUNCTION("REGEXREPLACE(B482,$A$3, )"),"Aplikasinya tidak dapat digunakan error")</f>
        <v>Aplikasinya tidak dapat digunakan error</v>
      </c>
      <c r="D482" s="17" t="str">
        <f>IFERROR(__xludf.DUMMYFUNCTION("REGEXREPLACE(C482,$A$4, )"),"Aplikasinya tidak dapat digunakan error")</f>
        <v>Aplikasinya tidak dapat digunakan error</v>
      </c>
      <c r="E482" s="17" t="str">
        <f>IFERROR(__xludf.DUMMYFUNCTION("REGEXREPLACE(D482,$A$5, )"),"Aplikasinya tidak dapat digunakan error")</f>
        <v>Aplikasinya tidak dapat digunakan error</v>
      </c>
      <c r="F482" s="17" t="str">
        <f>IFERROR(__xludf.DUMMYFUNCTION("REGEXREPLACE(E482,$A$6, )"),"Aplikasinya tidak dapat digunakan error")</f>
        <v>Aplikasinya tidak dapat digunakan error</v>
      </c>
      <c r="G482" s="18" t="str">
        <f>IFERROR(__xludf.DUMMYFUNCTION("REGEXREPLACE(F482,$A$7, )"),"Aplikasinya tidak dapat digunakan error")</f>
        <v>Aplikasinya tidak dapat digunakan error</v>
      </c>
      <c r="H482" s="17" t="str">
        <f t="shared" si="1"/>
        <v>aplikasinya tidak dapat digunakan error</v>
      </c>
    </row>
    <row r="483">
      <c r="A483" s="16" t="s">
        <v>478</v>
      </c>
      <c r="B483" s="17" t="str">
        <f>IFERROR(__xludf.DUMMYFUNCTION("REGEXREPLACE(A483,$A$2, )"),"Kecewa sih sama aplikasi nya setiap mengisi usulan malah eror terus")</f>
        <v>Kecewa sih sama aplikasi nya setiap mengisi usulan malah eror terus</v>
      </c>
      <c r="C483" s="17" t="str">
        <f>IFERROR(__xludf.DUMMYFUNCTION("REGEXREPLACE(B483,$A$3, )"),"Kecewa sih sama aplikasi nya setiap mengisi usulan malah eror terus")</f>
        <v>Kecewa sih sama aplikasi nya setiap mengisi usulan malah eror terus</v>
      </c>
      <c r="D483" s="17" t="str">
        <f>IFERROR(__xludf.DUMMYFUNCTION("REGEXREPLACE(C483,$A$4, )"),"Kecewa sih sama aplikasi nya setiap mengisi usulan malah eror terus")</f>
        <v>Kecewa sih sama aplikasi nya setiap mengisi usulan malah eror terus</v>
      </c>
      <c r="E483" s="17" t="str">
        <f>IFERROR(__xludf.DUMMYFUNCTION("REGEXREPLACE(D483,$A$5, )"),"Kecewa sih sama aplikasi nya setiap mengisi usulan malah eror terus")</f>
        <v>Kecewa sih sama aplikasi nya setiap mengisi usulan malah eror terus</v>
      </c>
      <c r="F483" s="17" t="str">
        <f>IFERROR(__xludf.DUMMYFUNCTION("REGEXREPLACE(E483,$A$6, )"),"Kecewa sih sama aplikasi nya setiap mengisi usulan malah eror terus")</f>
        <v>Kecewa sih sama aplikasi nya setiap mengisi usulan malah eror terus</v>
      </c>
      <c r="G483" s="18" t="str">
        <f>IFERROR(__xludf.DUMMYFUNCTION("REGEXREPLACE(F483,$A$7, )"),"Kecewa sih sama aplikasi nya setiap mengisi usulan malah eror terus")</f>
        <v>Kecewa sih sama aplikasi nya setiap mengisi usulan malah eror terus</v>
      </c>
      <c r="H483" s="17" t="str">
        <f t="shared" si="1"/>
        <v>kecewa sih sama aplikasi nya setiap mengisi usulan malah eror terus</v>
      </c>
    </row>
    <row r="484">
      <c r="A484" s="16" t="s">
        <v>479</v>
      </c>
      <c r="B484" s="17" t="str">
        <f>IFERROR(__xludf.DUMMYFUNCTION("REGEXREPLACE(A484,$A$2, )"),"Ga guna ... Kirain bisa membantu but dftarin orngtua.. tau ny.. hadeuhhh mending ga usah bikin aplikasi kaya gini lah.. klo ga bisa membantu . Dftar usulan eror mulu.. suruh hubungi admin .. admin yg mna??? Gda keterangn admin")</f>
        <v>Ga guna ... Kirain bisa membantu but dftarin orngtua.. tau ny.. hadeuhhh mending ga usah bikin aplikasi kaya gini lah.. klo ga bisa membantu . Dftar usulan eror mulu.. suruh hubungi admin .. admin yg mna??? Gda keterangn admin</v>
      </c>
      <c r="C484" s="17" t="str">
        <f>IFERROR(__xludf.DUMMYFUNCTION("REGEXREPLACE(B484,$A$3, )"),"Ga guna ... Kirain bisa membantu but dftarin orngtua.. tau ny.. hadeuhhh mending ga usah bikin aplikasi kaya gini lah.. klo ga bisa membantu . Dftar usulan eror mulu.. suruh hubungi admin .. admin yg mna??? Gda keterangn admin")</f>
        <v>Ga guna ... Kirain bisa membantu but dftarin orngtua.. tau ny.. hadeuhhh mending ga usah bikin aplikasi kaya gini lah.. klo ga bisa membantu . Dftar usulan eror mulu.. suruh hubungi admin .. admin yg mna??? Gda keterangn admin</v>
      </c>
      <c r="D484" s="17" t="str">
        <f>IFERROR(__xludf.DUMMYFUNCTION("REGEXREPLACE(C484,$A$4, )"),"Ga guna ... Kirain bisa membantu but dftarin orngtua.. tau ny.. hadeuhhh mending ga usah bikin aplikasi kaya gini lah.. klo ga bisa membantu . Dftar usulan eror mulu.. suruh hubungi admin .. admin yg mna??? Gda keterangn admin")</f>
        <v>Ga guna ... Kirain bisa membantu but dftarin orngtua.. tau ny.. hadeuhhh mending ga usah bikin aplikasi kaya gini lah.. klo ga bisa membantu . Dftar usulan eror mulu.. suruh hubungi admin .. admin yg mna??? Gda keterangn admin</v>
      </c>
      <c r="E484" s="17" t="str">
        <f>IFERROR(__xludf.DUMMYFUNCTION("REGEXREPLACE(D484,$A$5, )"),"Ga guna ... Kirain bisa membantu but dftarin orngtua.. tau ny.. hadeuhhh mending ga usah bikin aplikasi kaya gini lah.. klo ga bisa membantu . Dftar usulan eror mulu.. suruh hubungi admin .. admin yg mna??? Gda keterangn admin")</f>
        <v>Ga guna ... Kirain bisa membantu but dftarin orngtua.. tau ny.. hadeuhhh mending ga usah bikin aplikasi kaya gini lah.. klo ga bisa membantu . Dftar usulan eror mulu.. suruh hubungi admin .. admin yg mna??? Gda keterangn admin</v>
      </c>
      <c r="F484" s="17" t="str">
        <f>IFERROR(__xludf.DUMMYFUNCTION("REGEXREPLACE(E484,$A$6, )"),"Ga guna  Kirain bisa membantu but dftarin orngtua tau ny hadeuhhh mending ga usah bikin aplikasi kaya gini lah klo ga bisa membantu  Dftar usulan eror mulu suruh hubungi admin  admin yg mna Gda keterangn admin")</f>
        <v>Ga guna  Kirain bisa membantu but dftarin orngtua tau ny hadeuhhh mending ga usah bikin aplikasi kaya gini lah klo ga bisa membantu  Dftar usulan eror mulu suruh hubungi admin  admin yg mna Gda keterangn admin</v>
      </c>
      <c r="G484" s="18" t="str">
        <f>IFERROR(__xludf.DUMMYFUNCTION("REGEXREPLACE(F484,$A$7, )"),"Ga guna  Kirain bisa membantu but dftarin orngtua tau ny hadeuhhh mending ga usah bikin aplikasi kaya gini lah klo ga bisa membantu  Dftar usulan eror mulu suruh hubungi admin  admin yg mna Gda keterangn admin")</f>
        <v>Ga guna  Kirain bisa membantu but dftarin orngtua tau ny hadeuhhh mending ga usah bikin aplikasi kaya gini lah klo ga bisa membantu  Dftar usulan eror mulu suruh hubungi admin  admin yg mna Gda keterangn admin</v>
      </c>
      <c r="H484" s="17" t="str">
        <f t="shared" si="1"/>
        <v>ga guna  kirain bisa membantu but dftarin orngtua tau ny hadeuhhh mending ga usah bikin aplikasi kaya gini lah klo ga bisa membantu  dftar usulan eror mulu suruh hubungi admin  admin yg mna gda keterangn admin</v>
      </c>
    </row>
    <row r="485">
      <c r="A485" s="16" t="s">
        <v>480</v>
      </c>
      <c r="B485" s="17" t="str">
        <f>IFERROR(__xludf.DUMMYFUNCTION("REGEXREPLACE(A485,$A$2, )"),"Semoga di hapus dari playstore titik udah gitu aja")</f>
        <v>Semoga di hapus dari playstore titik udah gitu aja</v>
      </c>
      <c r="C485" s="17" t="str">
        <f>IFERROR(__xludf.DUMMYFUNCTION("REGEXREPLACE(B485,$A$3, )"),"Semoga di hapus dari playstore titik udah gitu aja")</f>
        <v>Semoga di hapus dari playstore titik udah gitu aja</v>
      </c>
      <c r="D485" s="17" t="str">
        <f>IFERROR(__xludf.DUMMYFUNCTION("REGEXREPLACE(C485,$A$4, )"),"Semoga di hapus dari playstore titik udah gitu aja")</f>
        <v>Semoga di hapus dari playstore titik udah gitu aja</v>
      </c>
      <c r="E485" s="17" t="str">
        <f>IFERROR(__xludf.DUMMYFUNCTION("REGEXREPLACE(D485,$A$5, )"),"Semoga di hapus dari playstore titik udah gitu aja")</f>
        <v>Semoga di hapus dari playstore titik udah gitu aja</v>
      </c>
      <c r="F485" s="17" t="str">
        <f>IFERROR(__xludf.DUMMYFUNCTION("REGEXREPLACE(E485,$A$6, )"),"Semoga di hapus dari playstore titik udah gitu aja")</f>
        <v>Semoga di hapus dari playstore titik udah gitu aja</v>
      </c>
      <c r="G485" s="18" t="str">
        <f>IFERROR(__xludf.DUMMYFUNCTION("REGEXREPLACE(F485,$A$7, )"),"Semoga di hapus dari playstore titik udah gitu aja")</f>
        <v>Semoga di hapus dari playstore titik udah gitu aja</v>
      </c>
      <c r="H485" s="17" t="str">
        <f t="shared" si="1"/>
        <v>semoga di hapus dari playstore titik udah gitu aja</v>
      </c>
    </row>
    <row r="486">
      <c r="A486" s="16" t="s">
        <v>481</v>
      </c>
      <c r="B486" s="17" t="str">
        <f>IFERROR(__xludf.DUMMYFUNCTION("REGEXREPLACE(A486,$A$2, )"),"Saya baru buka aplikasi cek bansos aja udah eror,bagaimana cara nya ya")</f>
        <v>Saya baru buka aplikasi cek bansos aja udah eror,bagaimana cara nya ya</v>
      </c>
      <c r="C486" s="17" t="str">
        <f>IFERROR(__xludf.DUMMYFUNCTION("REGEXREPLACE(B486,$A$3, )"),"Saya baru buka aplikasi cek bansos aja udah eror,bagaimana cara nya ya")</f>
        <v>Saya baru buka aplikasi cek bansos aja udah eror,bagaimana cara nya ya</v>
      </c>
      <c r="D486" s="17" t="str">
        <f>IFERROR(__xludf.DUMMYFUNCTION("REGEXREPLACE(C486,$A$4, )"),"Saya baru buka aplikasi cek bansos aja udah eror,bagaimana cara nya ya")</f>
        <v>Saya baru buka aplikasi cek bansos aja udah eror,bagaimana cara nya ya</v>
      </c>
      <c r="E486" s="17" t="str">
        <f>IFERROR(__xludf.DUMMYFUNCTION("REGEXREPLACE(D486,$A$5, )"),"Saya baru buka aplikasi cek bansos aja udah eror,bagaimana cara nya ya")</f>
        <v>Saya baru buka aplikasi cek bansos aja udah eror,bagaimana cara nya ya</v>
      </c>
      <c r="F486" s="17" t="str">
        <f>IFERROR(__xludf.DUMMYFUNCTION("REGEXREPLACE(E486,$A$6, )"),"Saya baru buka aplikasi cek bansos aja udah erorbagaimana cara nya ya")</f>
        <v>Saya baru buka aplikasi cek bansos aja udah erorbagaimana cara nya ya</v>
      </c>
      <c r="G486" s="18" t="str">
        <f>IFERROR(__xludf.DUMMYFUNCTION("REGEXREPLACE(F486,$A$7, )"),"Saya baru buka aplikasi cek bansos aja udah erorbagaimana cara nya ya")</f>
        <v>Saya baru buka aplikasi cek bansos aja udah erorbagaimana cara nya ya</v>
      </c>
      <c r="H486" s="17" t="str">
        <f t="shared" si="1"/>
        <v>saya baru buka aplikasi cek bansos aja udah erorbagaimana cara nya ya</v>
      </c>
    </row>
    <row r="487">
      <c r="A487" s="16" t="s">
        <v>482</v>
      </c>
      <c r="B487" s="17" t="str">
        <f>IFERROR(__xludf.DUMMYFUNCTION("REGEXREPLACE(A487,$A$2, )"),"Aplikasi error saat buat tambahan usulan..")</f>
        <v>Aplikasi error saat buat tambahan usulan..</v>
      </c>
      <c r="C487" s="17" t="str">
        <f>IFERROR(__xludf.DUMMYFUNCTION("REGEXREPLACE(B487,$A$3, )"),"Aplikasi error saat buat tambahan usulan..")</f>
        <v>Aplikasi error saat buat tambahan usulan..</v>
      </c>
      <c r="D487" s="17" t="str">
        <f>IFERROR(__xludf.DUMMYFUNCTION("REGEXREPLACE(C487,$A$4, )"),"Aplikasi error saat buat tambahan usulan..")</f>
        <v>Aplikasi error saat buat tambahan usulan..</v>
      </c>
      <c r="E487" s="17" t="str">
        <f>IFERROR(__xludf.DUMMYFUNCTION("REGEXREPLACE(D487,$A$5, )"),"Aplikasi error saat buat tambahan usulan..")</f>
        <v>Aplikasi error saat buat tambahan usulan..</v>
      </c>
      <c r="F487" s="17" t="str">
        <f>IFERROR(__xludf.DUMMYFUNCTION("REGEXREPLACE(E487,$A$6, )"),"Aplikasi error saat buat tambahan usulan")</f>
        <v>Aplikasi error saat buat tambahan usulan</v>
      </c>
      <c r="G487" s="18" t="str">
        <f>IFERROR(__xludf.DUMMYFUNCTION("REGEXREPLACE(F487,$A$7, )"),"Aplikasi error saat buat tambahan usulan")</f>
        <v>Aplikasi error saat buat tambahan usulan</v>
      </c>
      <c r="H487" s="17" t="str">
        <f t="shared" si="1"/>
        <v>aplikasi error saat buat tambahan usulan</v>
      </c>
    </row>
    <row r="488">
      <c r="A488" s="16" t="s">
        <v>483</v>
      </c>
      <c r="B488" s="17" t="str">
        <f>IFERROR(__xludf.DUMMYFUNCTION("REGEXREPLACE(A488,$A$2, )"),"Kenapa mau login error terus ya Min?")</f>
        <v>Kenapa mau login error terus ya Min?</v>
      </c>
      <c r="C488" s="17" t="str">
        <f>IFERROR(__xludf.DUMMYFUNCTION("REGEXREPLACE(B488,$A$3, )"),"Kenapa mau login error terus ya Min?")</f>
        <v>Kenapa mau login error terus ya Min?</v>
      </c>
      <c r="D488" s="17" t="str">
        <f>IFERROR(__xludf.DUMMYFUNCTION("REGEXREPLACE(C488,$A$4, )"),"Kenapa mau login error terus ya Min?")</f>
        <v>Kenapa mau login error terus ya Min?</v>
      </c>
      <c r="E488" s="17" t="str">
        <f>IFERROR(__xludf.DUMMYFUNCTION("REGEXREPLACE(D488,$A$5, )"),"Kenapa mau login error terus ya Min?")</f>
        <v>Kenapa mau login error terus ya Min?</v>
      </c>
      <c r="F488" s="17" t="str">
        <f>IFERROR(__xludf.DUMMYFUNCTION("REGEXREPLACE(E488,$A$6, )"),"Kenapa mau login error terus ya Min")</f>
        <v>Kenapa mau login error terus ya Min</v>
      </c>
      <c r="G488" s="18" t="str">
        <f>IFERROR(__xludf.DUMMYFUNCTION("REGEXREPLACE(F488,$A$7, )"),"Kenapa mau login error terus ya Min")</f>
        <v>Kenapa mau login error terus ya Min</v>
      </c>
      <c r="H488" s="17" t="str">
        <f t="shared" si="1"/>
        <v>kenapa mau login error terus ya min</v>
      </c>
    </row>
    <row r="489">
      <c r="A489" s="16" t="s">
        <v>484</v>
      </c>
      <c r="B489" s="17" t="str">
        <f>IFERROR(__xludf.DUMMYFUNCTION("REGEXREPLACE(A489,$A$2, )"),"Sangat membantu kami dan melayani sepenuh hati")</f>
        <v>Sangat membantu kami dan melayani sepenuh hati</v>
      </c>
      <c r="C489" s="17" t="str">
        <f>IFERROR(__xludf.DUMMYFUNCTION("REGEXREPLACE(B489,$A$3, )"),"Sangat membantu kami dan melayani sepenuh hati")</f>
        <v>Sangat membantu kami dan melayani sepenuh hati</v>
      </c>
      <c r="D489" s="17" t="str">
        <f>IFERROR(__xludf.DUMMYFUNCTION("REGEXREPLACE(C489,$A$4, )"),"Sangat membantu kami dan melayani sepenuh hati")</f>
        <v>Sangat membantu kami dan melayani sepenuh hati</v>
      </c>
      <c r="E489" s="17" t="str">
        <f>IFERROR(__xludf.DUMMYFUNCTION("REGEXREPLACE(D489,$A$5, )"),"Sangat membantu kami dan melayani sepenuh hati")</f>
        <v>Sangat membantu kami dan melayani sepenuh hati</v>
      </c>
      <c r="F489" s="17" t="str">
        <f>IFERROR(__xludf.DUMMYFUNCTION("REGEXREPLACE(E489,$A$6, )"),"Sangat membantu kami dan melayani sepenuh hati")</f>
        <v>Sangat membantu kami dan melayani sepenuh hati</v>
      </c>
      <c r="G489" s="18" t="str">
        <f>IFERROR(__xludf.DUMMYFUNCTION("REGEXREPLACE(F489,$A$7, )"),"Sangat membantu kami dan melayani sepenuh hati")</f>
        <v>Sangat membantu kami dan melayani sepenuh hati</v>
      </c>
      <c r="H489" s="17" t="str">
        <f t="shared" si="1"/>
        <v>sangat membantu kami dan melayani sepenuh hati</v>
      </c>
    </row>
    <row r="490">
      <c r="A490" s="16" t="s">
        <v>485</v>
      </c>
      <c r="B490" s="17" t="str">
        <f>IFERROR(__xludf.DUMMYFUNCTION("REGEXREPLACE(A490,$A$2, )"),"Semoga ini sesuai dgan minat saya untuk mengecek yg asli saja")</f>
        <v>Semoga ini sesuai dgan minat saya untuk mengecek yg asli saja</v>
      </c>
      <c r="C490" s="17" t="str">
        <f>IFERROR(__xludf.DUMMYFUNCTION("REGEXREPLACE(B490,$A$3, )"),"Semoga ini sesuai dgan minat saya untuk mengecek yg asli saja")</f>
        <v>Semoga ini sesuai dgan minat saya untuk mengecek yg asli saja</v>
      </c>
      <c r="D490" s="17" t="str">
        <f>IFERROR(__xludf.DUMMYFUNCTION("REGEXREPLACE(C490,$A$4, )"),"Semoga ini sesuai dgan minat saya untuk mengecek yg asli saja")</f>
        <v>Semoga ini sesuai dgan minat saya untuk mengecek yg asli saja</v>
      </c>
      <c r="E490" s="17" t="str">
        <f>IFERROR(__xludf.DUMMYFUNCTION("REGEXREPLACE(D490,$A$5, )"),"Semoga ini sesuai dgan minat saya untuk mengecek yg asli saja")</f>
        <v>Semoga ini sesuai dgan minat saya untuk mengecek yg asli saja</v>
      </c>
      <c r="F490" s="17" t="str">
        <f>IFERROR(__xludf.DUMMYFUNCTION("REGEXREPLACE(E490,$A$6, )"),"Semoga ini sesuai dgan minat saya untuk mengecek yg asli saja")</f>
        <v>Semoga ini sesuai dgan minat saya untuk mengecek yg asli saja</v>
      </c>
      <c r="G490" s="18" t="str">
        <f>IFERROR(__xludf.DUMMYFUNCTION("REGEXREPLACE(F490,$A$7, )"),"Semoga ini sesuai dgan minat saya untuk mengecek yg asli saja")</f>
        <v>Semoga ini sesuai dgan minat saya untuk mengecek yg asli saja</v>
      </c>
      <c r="H490" s="17" t="str">
        <f t="shared" si="1"/>
        <v>semoga ini sesuai dgan minat saya untuk mengecek yg asli saja</v>
      </c>
    </row>
    <row r="491">
      <c r="A491" s="16" t="s">
        <v>486</v>
      </c>
      <c r="B491" s="17" t="str">
        <f>IFERROR(__xludf.DUMMYFUNCTION("REGEXREPLACE(A491,$A$2, )"),"Gak bs masuk,pdhl bikin akun berhasil,aneh,,percuma d download jg")</f>
        <v>Gak bs masuk,pdhl bikin akun berhasil,aneh,,percuma d download jg</v>
      </c>
      <c r="C491" s="17" t="str">
        <f>IFERROR(__xludf.DUMMYFUNCTION("REGEXREPLACE(B491,$A$3, )"),"Gak bs masuk,pdhl bikin akun berhasil,aneh,,percuma d download jg")</f>
        <v>Gak bs masuk,pdhl bikin akun berhasil,aneh,,percuma d download jg</v>
      </c>
      <c r="D491" s="17" t="str">
        <f>IFERROR(__xludf.DUMMYFUNCTION("REGEXREPLACE(C491,$A$4, )"),"Gak bs masuk,pdhl bikin akun berhasil,aneh,,percuma d download jg")</f>
        <v>Gak bs masuk,pdhl bikin akun berhasil,aneh,,percuma d download jg</v>
      </c>
      <c r="E491" s="17" t="str">
        <f>IFERROR(__xludf.DUMMYFUNCTION("REGEXREPLACE(D491,$A$5, )"),"Gak bs masuk,pdhl bikin akun berhasil,aneh,,percuma d download jg")</f>
        <v>Gak bs masuk,pdhl bikin akun berhasil,aneh,,percuma d download jg</v>
      </c>
      <c r="F491" s="17" t="str">
        <f>IFERROR(__xludf.DUMMYFUNCTION("REGEXREPLACE(E491,$A$6, )"),"Gak bs masukpdhl bikin akun berhasilanehpercuma d download jg")</f>
        <v>Gak bs masukpdhl bikin akun berhasilanehpercuma d download jg</v>
      </c>
      <c r="G491" s="18" t="str">
        <f>IFERROR(__xludf.DUMMYFUNCTION("REGEXREPLACE(F491,$A$7, )"),"Gak bs masukpdhl bikin akun berhasilanehpercuma d download jg")</f>
        <v>Gak bs masukpdhl bikin akun berhasilanehpercuma d download jg</v>
      </c>
      <c r="H491" s="17" t="str">
        <f t="shared" si="1"/>
        <v>gak bs masukpdhl bikin akun berhasilanehpercuma d download jg</v>
      </c>
    </row>
    <row r="492">
      <c r="A492" s="16" t="s">
        <v>487</v>
      </c>
      <c r="B492" s="17" t="str">
        <f>IFERROR(__xludf.DUMMYFUNCTION("REGEXREPLACE(A492,$A$2, )"),"Tidak bisa log in pdhl udah aktivasi br x x")</f>
        <v>Tidak bisa log in pdhl udah aktivasi br x x</v>
      </c>
      <c r="C492" s="17" t="str">
        <f>IFERROR(__xludf.DUMMYFUNCTION("REGEXREPLACE(B492,$A$3, )"),"Tidak bisa log in pdhl udah aktivasi br x x")</f>
        <v>Tidak bisa log in pdhl udah aktivasi br x x</v>
      </c>
      <c r="D492" s="17" t="str">
        <f>IFERROR(__xludf.DUMMYFUNCTION("REGEXREPLACE(C492,$A$4, )"),"Tidak bisa log in pdhl udah aktivasi br x x")</f>
        <v>Tidak bisa log in pdhl udah aktivasi br x x</v>
      </c>
      <c r="E492" s="17" t="str">
        <f>IFERROR(__xludf.DUMMYFUNCTION("REGEXREPLACE(D492,$A$5, )"),"Tidak bisa log in pdhl udah aktivasi br x x")</f>
        <v>Tidak bisa log in pdhl udah aktivasi br x x</v>
      </c>
      <c r="F492" s="17" t="str">
        <f>IFERROR(__xludf.DUMMYFUNCTION("REGEXREPLACE(E492,$A$6, )"),"Tidak bisa log in pdhl udah aktivasi br x x")</f>
        <v>Tidak bisa log in pdhl udah aktivasi br x x</v>
      </c>
      <c r="G492" s="18" t="str">
        <f>IFERROR(__xludf.DUMMYFUNCTION("REGEXREPLACE(F492,$A$7, )"),"Tidak bisa log in pdhl udah aktivasi br x x")</f>
        <v>Tidak bisa log in pdhl udah aktivasi br x x</v>
      </c>
      <c r="H492" s="17" t="str">
        <f t="shared" si="1"/>
        <v>tidak bisa log in pdhl udah aktivasi br x x</v>
      </c>
    </row>
    <row r="493">
      <c r="A493" s="16" t="s">
        <v>488</v>
      </c>
      <c r="B493" s="17" t="str">
        <f>IFERROR(__xludf.DUMMYFUNCTION("REGEXREPLACE(A493,$A$2, )"),"Kenapa sekarang ,masalah timbul. terjadi eror aplikasi hubungi admin")</f>
        <v>Kenapa sekarang ,masalah timbul. terjadi eror aplikasi hubungi admin</v>
      </c>
      <c r="C493" s="17" t="str">
        <f>IFERROR(__xludf.DUMMYFUNCTION("REGEXREPLACE(B493,$A$3, )"),"Kenapa sekarang ,masalah timbul. terjadi eror aplikasi hubungi admin")</f>
        <v>Kenapa sekarang ,masalah timbul. terjadi eror aplikasi hubungi admin</v>
      </c>
      <c r="D493" s="17" t="str">
        <f>IFERROR(__xludf.DUMMYFUNCTION("REGEXREPLACE(C493,$A$4, )"),"Kenapa sekarang ,masalah timbul. terjadi eror aplikasi hubungi admin")</f>
        <v>Kenapa sekarang ,masalah timbul. terjadi eror aplikasi hubungi admin</v>
      </c>
      <c r="E493" s="17" t="str">
        <f>IFERROR(__xludf.DUMMYFUNCTION("REGEXREPLACE(D493,$A$5, )"),"Kenapa sekarang ,masalah timbul. terjadi eror aplikasi hubungi admin")</f>
        <v>Kenapa sekarang ,masalah timbul. terjadi eror aplikasi hubungi admin</v>
      </c>
      <c r="F493" s="17" t="str">
        <f>IFERROR(__xludf.DUMMYFUNCTION("REGEXREPLACE(E493,$A$6, )"),"Kenapa sekarang masalah timbul terjadi eror aplikasi hubungi admin")</f>
        <v>Kenapa sekarang masalah timbul terjadi eror aplikasi hubungi admin</v>
      </c>
      <c r="G493" s="18" t="str">
        <f>IFERROR(__xludf.DUMMYFUNCTION("REGEXREPLACE(F493,$A$7, )"),"Kenapa sekarang masalah timbul terjadi eror aplikasi hubungi admin")</f>
        <v>Kenapa sekarang masalah timbul terjadi eror aplikasi hubungi admin</v>
      </c>
      <c r="H493" s="17" t="str">
        <f t="shared" si="1"/>
        <v>kenapa sekarang masalah timbul terjadi eror aplikasi hubungi admin</v>
      </c>
    </row>
    <row r="494">
      <c r="A494" s="16" t="s">
        <v>489</v>
      </c>
      <c r="B494" s="17" t="str">
        <f>IFERROR(__xludf.DUMMYFUNCTION("REGEXREPLACE(A494,$A$2, )"),"susah amat mo buat akun seharusnya dipermudah dong")</f>
        <v>susah amat mo buat akun seharusnya dipermudah dong</v>
      </c>
      <c r="C494" s="17" t="str">
        <f>IFERROR(__xludf.DUMMYFUNCTION("REGEXREPLACE(B494,$A$3, )"),"susah amat mo buat akun seharusnya dipermudah dong")</f>
        <v>susah amat mo buat akun seharusnya dipermudah dong</v>
      </c>
      <c r="D494" s="17" t="str">
        <f>IFERROR(__xludf.DUMMYFUNCTION("REGEXREPLACE(C494,$A$4, )"),"susah amat mo buat akun seharusnya dipermudah dong")</f>
        <v>susah amat mo buat akun seharusnya dipermudah dong</v>
      </c>
      <c r="E494" s="17" t="str">
        <f>IFERROR(__xludf.DUMMYFUNCTION("REGEXREPLACE(D494,$A$5, )"),"susah amat mo buat akun seharusnya dipermudah dong")</f>
        <v>susah amat mo buat akun seharusnya dipermudah dong</v>
      </c>
      <c r="F494" s="17" t="str">
        <f>IFERROR(__xludf.DUMMYFUNCTION("REGEXREPLACE(E494,$A$6, )"),"susah amat mo buat akun seharusnya dipermudah dong")</f>
        <v>susah amat mo buat akun seharusnya dipermudah dong</v>
      </c>
      <c r="G494" s="18" t="str">
        <f>IFERROR(__xludf.DUMMYFUNCTION("REGEXREPLACE(F494,$A$7, )"),"susah amat mo buat akun seharusnya dipermudah dong")</f>
        <v>susah amat mo buat akun seharusnya dipermudah dong</v>
      </c>
      <c r="H494" s="17" t="str">
        <f t="shared" si="1"/>
        <v>susah amat mo buat akun seharusnya dipermudah dong</v>
      </c>
    </row>
    <row r="495">
      <c r="A495" s="16" t="s">
        <v>490</v>
      </c>
      <c r="B495" s="17" t="str">
        <f>IFERROR(__xludf.DUMMYFUNCTION("REGEXREPLACE(A495,$A$2, )"),"Tidak bisa dibuka Error terus")</f>
        <v>Tidak bisa dibuka Error terus</v>
      </c>
      <c r="C495" s="17" t="str">
        <f>IFERROR(__xludf.DUMMYFUNCTION("REGEXREPLACE(B495,$A$3, )"),"Tidak bisa dibuka Error terus")</f>
        <v>Tidak bisa dibuka Error terus</v>
      </c>
      <c r="D495" s="17" t="str">
        <f>IFERROR(__xludf.DUMMYFUNCTION("REGEXREPLACE(C495,$A$4, )"),"Tidak bisa dibuka Error terus")</f>
        <v>Tidak bisa dibuka Error terus</v>
      </c>
      <c r="E495" s="17" t="str">
        <f>IFERROR(__xludf.DUMMYFUNCTION("REGEXREPLACE(D495,$A$5, )"),"Tidak bisa dibuka Error terus")</f>
        <v>Tidak bisa dibuka Error terus</v>
      </c>
      <c r="F495" s="17" t="str">
        <f>IFERROR(__xludf.DUMMYFUNCTION("REGEXREPLACE(E495,$A$6, )"),"Tidak bisa dibuka Error terus")</f>
        <v>Tidak bisa dibuka Error terus</v>
      </c>
      <c r="G495" s="18" t="str">
        <f>IFERROR(__xludf.DUMMYFUNCTION("REGEXREPLACE(F495,$A$7, )"),"Tidak bisa dibuka Error terus")</f>
        <v>Tidak bisa dibuka Error terus</v>
      </c>
      <c r="H495" s="17" t="str">
        <f t="shared" si="1"/>
        <v>tidak bisa dibuka error terus</v>
      </c>
    </row>
    <row r="496">
      <c r="A496" s="16" t="s">
        <v>491</v>
      </c>
      <c r="B496" s="17" t="str">
        <f>IFERROR(__xludf.DUMMYFUNCTION("REGEXREPLACE(A496,$A$2, )"),"Error trus percuma di download")</f>
        <v>Error trus percuma di download</v>
      </c>
      <c r="C496" s="17" t="str">
        <f>IFERROR(__xludf.DUMMYFUNCTION("REGEXREPLACE(B496,$A$3, )"),"Error trus percuma di download")</f>
        <v>Error trus percuma di download</v>
      </c>
      <c r="D496" s="17" t="str">
        <f>IFERROR(__xludf.DUMMYFUNCTION("REGEXREPLACE(C496,$A$4, )"),"Error trus percuma di download")</f>
        <v>Error trus percuma di download</v>
      </c>
      <c r="E496" s="17" t="str">
        <f>IFERROR(__xludf.DUMMYFUNCTION("REGEXREPLACE(D496,$A$5, )"),"Error trus percuma di download")</f>
        <v>Error trus percuma di download</v>
      </c>
      <c r="F496" s="17" t="str">
        <f>IFERROR(__xludf.DUMMYFUNCTION("REGEXREPLACE(E496,$A$6, )"),"Error trus percuma di download")</f>
        <v>Error trus percuma di download</v>
      </c>
      <c r="G496" s="18" t="str">
        <f>IFERROR(__xludf.DUMMYFUNCTION("REGEXREPLACE(F496,$A$7, )"),"Error trus percuma di download")</f>
        <v>Error trus percuma di download</v>
      </c>
      <c r="H496" s="17" t="str">
        <f t="shared" si="1"/>
        <v>error trus percuma di download</v>
      </c>
    </row>
    <row r="497">
      <c r="A497" s="16" t="s">
        <v>492</v>
      </c>
      <c r="B497" s="17" t="str">
        <f>IFERROR(__xludf.DUMMYFUNCTION("REGEXREPLACE(A497,$A$2, )"),"Kenapa apk nya udh didaftarkan malah gk bisa masukk,,payahhh")</f>
        <v>Kenapa apk nya udh didaftarkan malah gk bisa masukk,,payahhh</v>
      </c>
      <c r="C497" s="17" t="str">
        <f>IFERROR(__xludf.DUMMYFUNCTION("REGEXREPLACE(B497,$A$3, )"),"Kenapa apk nya udh didaftarkan malah gk bisa masukk,,payahhh")</f>
        <v>Kenapa apk nya udh didaftarkan malah gk bisa masukk,,payahhh</v>
      </c>
      <c r="D497" s="17" t="str">
        <f>IFERROR(__xludf.DUMMYFUNCTION("REGEXREPLACE(C497,$A$4, )"),"Kenapa apk nya udh didaftarkan malah gk bisa masukk,,payahhh")</f>
        <v>Kenapa apk nya udh didaftarkan malah gk bisa masukk,,payahhh</v>
      </c>
      <c r="E497" s="17" t="str">
        <f>IFERROR(__xludf.DUMMYFUNCTION("REGEXREPLACE(D497,$A$5, )"),"Kenapa apk nya udh didaftarkan malah gk bisa masukk,,payahhh")</f>
        <v>Kenapa apk nya udh didaftarkan malah gk bisa masukk,,payahhh</v>
      </c>
      <c r="F497" s="17" t="str">
        <f>IFERROR(__xludf.DUMMYFUNCTION("REGEXREPLACE(E497,$A$6, )"),"Kenapa apk nya udh didaftarkan malah gk bisa masukkpayahhh")</f>
        <v>Kenapa apk nya udh didaftarkan malah gk bisa masukkpayahhh</v>
      </c>
      <c r="G497" s="18" t="str">
        <f>IFERROR(__xludf.DUMMYFUNCTION("REGEXREPLACE(F497,$A$7, )"),"Kenapa apk nya udh didaftarkan malah gk bisa masukkpayahhh")</f>
        <v>Kenapa apk nya udh didaftarkan malah gk bisa masukkpayahhh</v>
      </c>
      <c r="H497" s="17" t="str">
        <f t="shared" si="1"/>
        <v>kenapa apk nya udh didaftarkan malah gk bisa masukkpayahhh</v>
      </c>
    </row>
    <row r="498">
      <c r="A498" s="16" t="s">
        <v>493</v>
      </c>
      <c r="B498" s="17" t="str">
        <f>IFERROR(__xludf.DUMMYFUNCTION("REGEXREPLACE(A498,$A$2, )"),"Sudah dua hari saya coba tapi slalu error'.!")</f>
        <v>Sudah dua hari saya coba tapi slalu error'.!</v>
      </c>
      <c r="C498" s="17" t="str">
        <f>IFERROR(__xludf.DUMMYFUNCTION("REGEXREPLACE(B498,$A$3, )"),"Sudah dua hari saya coba tapi slalu error'.!")</f>
        <v>Sudah dua hari saya coba tapi slalu error'.!</v>
      </c>
      <c r="D498" s="17" t="str">
        <f>IFERROR(__xludf.DUMMYFUNCTION("REGEXREPLACE(C498,$A$4, )"),"Sudah dua hari saya coba tapi slalu error'.!")</f>
        <v>Sudah dua hari saya coba tapi slalu error'.!</v>
      </c>
      <c r="E498" s="17" t="str">
        <f>IFERROR(__xludf.DUMMYFUNCTION("REGEXREPLACE(D498,$A$5, )"),"Sudah dua hari saya coba tapi slalu error'.!")</f>
        <v>Sudah dua hari saya coba tapi slalu error'.!</v>
      </c>
      <c r="F498" s="17" t="str">
        <f>IFERROR(__xludf.DUMMYFUNCTION("REGEXREPLACE(E498,$A$6, )"),"Sudah dua hari saya coba tapi slalu error")</f>
        <v>Sudah dua hari saya coba tapi slalu error</v>
      </c>
      <c r="G498" s="18" t="str">
        <f>IFERROR(__xludf.DUMMYFUNCTION("REGEXREPLACE(F498,$A$7, )"),"Sudah dua hari saya coba tapi slalu error")</f>
        <v>Sudah dua hari saya coba tapi slalu error</v>
      </c>
      <c r="H498" s="17" t="str">
        <f t="shared" si="1"/>
        <v>sudah dua hari saya coba tapi slalu error</v>
      </c>
    </row>
    <row r="499">
      <c r="A499" s="16" t="s">
        <v>494</v>
      </c>
      <c r="B499" s="17" t="str">
        <f>IFERROR(__xludf.DUMMYFUNCTION("REGEXREPLACE(A499,$A$2, )"),"Ga bisa bikin akun baru,,,, error terus aplikasinya")</f>
        <v>Ga bisa bikin akun baru,,,, error terus aplikasinya</v>
      </c>
      <c r="C499" s="17" t="str">
        <f>IFERROR(__xludf.DUMMYFUNCTION("REGEXREPLACE(B499,$A$3, )"),"Ga bisa bikin akun baru,,,, error terus aplikasinya")</f>
        <v>Ga bisa bikin akun baru,,,, error terus aplikasinya</v>
      </c>
      <c r="D499" s="17" t="str">
        <f>IFERROR(__xludf.DUMMYFUNCTION("REGEXREPLACE(C499,$A$4, )"),"Ga bisa bikin akun baru,,,, error terus aplikasinya")</f>
        <v>Ga bisa bikin akun baru,,,, error terus aplikasinya</v>
      </c>
      <c r="E499" s="17" t="str">
        <f>IFERROR(__xludf.DUMMYFUNCTION("REGEXREPLACE(D499,$A$5, )"),"Ga bisa bikin akun baru,,,, error terus aplikasinya")</f>
        <v>Ga bisa bikin akun baru,,,, error terus aplikasinya</v>
      </c>
      <c r="F499" s="17" t="str">
        <f>IFERROR(__xludf.DUMMYFUNCTION("REGEXREPLACE(E499,$A$6, )"),"Ga bisa bikin akun baru error terus aplikasinya")</f>
        <v>Ga bisa bikin akun baru error terus aplikasinya</v>
      </c>
      <c r="G499" s="18" t="str">
        <f>IFERROR(__xludf.DUMMYFUNCTION("REGEXREPLACE(F499,$A$7, )"),"Ga bisa bikin akun baru error terus aplikasinya")</f>
        <v>Ga bisa bikin akun baru error terus aplikasinya</v>
      </c>
      <c r="H499" s="17" t="str">
        <f t="shared" si="1"/>
        <v>ga bisa bikin akun baru error terus aplikasinya</v>
      </c>
    </row>
    <row r="500">
      <c r="A500" s="16" t="s">
        <v>495</v>
      </c>
      <c r="B500" s="17" t="str">
        <f>IFERROR(__xludf.DUMMYFUNCTION("REGEXREPLACE(A500,$A$2, )"),"Sya baru download mau daftar kok loading terus ada tulisan error Json parse mulu")</f>
        <v>Sya baru download mau daftar kok loading terus ada tulisan error Json parse mulu</v>
      </c>
      <c r="C500" s="17" t="str">
        <f>IFERROR(__xludf.DUMMYFUNCTION("REGEXREPLACE(B500,$A$3, )"),"Sya baru download mau daftar kok loading terus ada tulisan error Json parse mulu")</f>
        <v>Sya baru download mau daftar kok loading terus ada tulisan error Json parse mulu</v>
      </c>
      <c r="D500" s="17" t="str">
        <f>IFERROR(__xludf.DUMMYFUNCTION("REGEXREPLACE(C500,$A$4, )"),"Sya baru download mau daftar kok loading terus ada tulisan error Json parse mulu")</f>
        <v>Sya baru download mau daftar kok loading terus ada tulisan error Json parse mulu</v>
      </c>
      <c r="E500" s="17" t="str">
        <f>IFERROR(__xludf.DUMMYFUNCTION("REGEXREPLACE(D500,$A$5, )"),"Sya baru download mau daftar kok loading terus ada tulisan error Json parse mulu")</f>
        <v>Sya baru download mau daftar kok loading terus ada tulisan error Json parse mulu</v>
      </c>
      <c r="F500" s="17" t="str">
        <f>IFERROR(__xludf.DUMMYFUNCTION("REGEXREPLACE(E500,$A$6, )"),"Sya baru download mau daftar kok loading terus ada tulisan error Json parse mulu")</f>
        <v>Sya baru download mau daftar kok loading terus ada tulisan error Json parse mulu</v>
      </c>
      <c r="G500" s="18" t="str">
        <f>IFERROR(__xludf.DUMMYFUNCTION("REGEXREPLACE(F500,$A$7, )"),"Sya baru download mau daftar kok loading terus ada tulisan error Json parse mulu")</f>
        <v>Sya baru download mau daftar kok loading terus ada tulisan error Json parse mulu</v>
      </c>
      <c r="H500" s="17" t="str">
        <f t="shared" si="1"/>
        <v>sya baru download mau daftar kok loading terus ada tulisan error json parse mulu</v>
      </c>
    </row>
    <row r="501">
      <c r="A501" s="16" t="s">
        <v>496</v>
      </c>
      <c r="B501" s="17" t="str">
        <f>IFERROR(__xludf.DUMMYFUNCTION("REGEXREPLACE(A501,$A$2, )"),"Selalu error stiap mo login")</f>
        <v>Selalu error stiap mo login</v>
      </c>
      <c r="C501" s="17" t="str">
        <f>IFERROR(__xludf.DUMMYFUNCTION("REGEXREPLACE(B501,$A$3, )"),"Selalu error stiap mo login")</f>
        <v>Selalu error stiap mo login</v>
      </c>
      <c r="D501" s="17" t="str">
        <f>IFERROR(__xludf.DUMMYFUNCTION("REGEXREPLACE(C501,$A$4, )"),"Selalu error stiap mo login")</f>
        <v>Selalu error stiap mo login</v>
      </c>
      <c r="E501" s="17" t="str">
        <f>IFERROR(__xludf.DUMMYFUNCTION("REGEXREPLACE(D501,$A$5, )"),"Selalu error stiap mo login")</f>
        <v>Selalu error stiap mo login</v>
      </c>
      <c r="F501" s="17" t="str">
        <f>IFERROR(__xludf.DUMMYFUNCTION("REGEXREPLACE(E501,$A$6, )"),"Selalu error stiap mo login")</f>
        <v>Selalu error stiap mo login</v>
      </c>
      <c r="G501" s="18" t="str">
        <f>IFERROR(__xludf.DUMMYFUNCTION("REGEXREPLACE(F501,$A$7, )"),"Selalu error stiap mo login")</f>
        <v>Selalu error stiap mo login</v>
      </c>
      <c r="H501" s="17" t="str">
        <f t="shared" si="1"/>
        <v>selalu error stiap mo login</v>
      </c>
    </row>
    <row r="502">
      <c r="A502" s="16" t="s">
        <v>497</v>
      </c>
      <c r="B502" s="17" t="str">
        <f>IFERROR(__xludf.DUMMYFUNCTION("REGEXREPLACE(A502,$A$2, )"),"Ternyata semua kecewa ya sama aplikasi ini , susah masuk nya")</f>
        <v>Ternyata semua kecewa ya sama aplikasi ini , susah masuk nya</v>
      </c>
      <c r="C502" s="17" t="str">
        <f>IFERROR(__xludf.DUMMYFUNCTION("REGEXREPLACE(B502,$A$3, )"),"Ternyata semua kecewa ya sama aplikasi ini , susah masuk nya")</f>
        <v>Ternyata semua kecewa ya sama aplikasi ini , susah masuk nya</v>
      </c>
      <c r="D502" s="17" t="str">
        <f>IFERROR(__xludf.DUMMYFUNCTION("REGEXREPLACE(C502,$A$4, )"),"Ternyata semua kecewa ya sama aplikasi ini , susah masuk nya")</f>
        <v>Ternyata semua kecewa ya sama aplikasi ini , susah masuk nya</v>
      </c>
      <c r="E502" s="17" t="str">
        <f>IFERROR(__xludf.DUMMYFUNCTION("REGEXREPLACE(D502,$A$5, )"),"Ternyata semua kecewa ya sama aplikasi ini , susah masuk nya")</f>
        <v>Ternyata semua kecewa ya sama aplikasi ini , susah masuk nya</v>
      </c>
      <c r="F502" s="17" t="str">
        <f>IFERROR(__xludf.DUMMYFUNCTION("REGEXREPLACE(E502,$A$6, )"),"Ternyata semua kecewa ya sama aplikasi ini  susah masuk nya")</f>
        <v>Ternyata semua kecewa ya sama aplikasi ini  susah masuk nya</v>
      </c>
      <c r="G502" s="18" t="str">
        <f>IFERROR(__xludf.DUMMYFUNCTION("REGEXREPLACE(F502,$A$7, )"),"Ternyata semua kecewa ya sama aplikasi ini  susah masuk nya")</f>
        <v>Ternyata semua kecewa ya sama aplikasi ini  susah masuk nya</v>
      </c>
      <c r="H502" s="17" t="str">
        <f t="shared" si="1"/>
        <v>ternyata semua kecewa ya sama aplikasi ini  susah masuk nya</v>
      </c>
    </row>
    <row r="503">
      <c r="A503" s="16" t="s">
        <v>498</v>
      </c>
      <c r="B503" s="17" t="str">
        <f>IFERROR(__xludf.DUMMYFUNCTION("REGEXREPLACE(A503,$A$2, )"),"Udah berapakali saya coba error terus mendaftar akun")</f>
        <v>Udah berapakali saya coba error terus mendaftar akun</v>
      </c>
      <c r="C503" s="17" t="str">
        <f>IFERROR(__xludf.DUMMYFUNCTION("REGEXREPLACE(B503,$A$3, )"),"Udah berapakali saya coba error terus mendaftar akun")</f>
        <v>Udah berapakali saya coba error terus mendaftar akun</v>
      </c>
      <c r="D503" s="17" t="str">
        <f>IFERROR(__xludf.DUMMYFUNCTION("REGEXREPLACE(C503,$A$4, )"),"Udah berapakali saya coba error terus mendaftar akun")</f>
        <v>Udah berapakali saya coba error terus mendaftar akun</v>
      </c>
      <c r="E503" s="17" t="str">
        <f>IFERROR(__xludf.DUMMYFUNCTION("REGEXREPLACE(D503,$A$5, )"),"Udah berapakali saya coba error terus mendaftar akun")</f>
        <v>Udah berapakali saya coba error terus mendaftar akun</v>
      </c>
      <c r="F503" s="17" t="str">
        <f>IFERROR(__xludf.DUMMYFUNCTION("REGEXREPLACE(E503,$A$6, )"),"Udah berapakali saya coba error terus mendaftar akun")</f>
        <v>Udah berapakali saya coba error terus mendaftar akun</v>
      </c>
      <c r="G503" s="18" t="str">
        <f>IFERROR(__xludf.DUMMYFUNCTION("REGEXREPLACE(F503,$A$7, )"),"Udah berapakali saya coba error terus mendaftar akun")</f>
        <v>Udah berapakali saya coba error terus mendaftar akun</v>
      </c>
      <c r="H503" s="17" t="str">
        <f t="shared" si="1"/>
        <v>udah berapakali saya coba error terus mendaftar akun</v>
      </c>
    </row>
    <row r="504">
      <c r="A504" s="16" t="s">
        <v>499</v>
      </c>
      <c r="B504" s="17" t="str">
        <f>IFERROR(__xludf.DUMMYFUNCTION("REGEXREPLACE(A504,$A$2, )"),"Ga bisa ngajuin eror mulu perbaiki donk")</f>
        <v>Ga bisa ngajuin eror mulu perbaiki donk</v>
      </c>
      <c r="C504" s="17" t="str">
        <f>IFERROR(__xludf.DUMMYFUNCTION("REGEXREPLACE(B504,$A$3, )"),"Ga bisa ngajuin eror mulu perbaiki donk")</f>
        <v>Ga bisa ngajuin eror mulu perbaiki donk</v>
      </c>
      <c r="D504" s="17" t="str">
        <f>IFERROR(__xludf.DUMMYFUNCTION("REGEXREPLACE(C504,$A$4, )"),"Ga bisa ngajuin eror mulu perbaiki donk")</f>
        <v>Ga bisa ngajuin eror mulu perbaiki donk</v>
      </c>
      <c r="E504" s="17" t="str">
        <f>IFERROR(__xludf.DUMMYFUNCTION("REGEXREPLACE(D504,$A$5, )"),"Ga bisa ngajuin eror mulu perbaiki donk")</f>
        <v>Ga bisa ngajuin eror mulu perbaiki donk</v>
      </c>
      <c r="F504" s="17" t="str">
        <f>IFERROR(__xludf.DUMMYFUNCTION("REGEXREPLACE(E504,$A$6, )"),"Ga bisa ngajuin eror mulu perbaiki donk")</f>
        <v>Ga bisa ngajuin eror mulu perbaiki donk</v>
      </c>
      <c r="G504" s="18" t="str">
        <f>IFERROR(__xludf.DUMMYFUNCTION("REGEXREPLACE(F504,$A$7, )"),"Ga bisa ngajuin eror mulu perbaiki donk")</f>
        <v>Ga bisa ngajuin eror mulu perbaiki donk</v>
      </c>
      <c r="H504" s="17" t="str">
        <f t="shared" si="1"/>
        <v>ga bisa ngajuin eror mulu perbaiki donk</v>
      </c>
    </row>
    <row r="505">
      <c r="A505" s="16" t="s">
        <v>500</v>
      </c>
      <c r="B505" s="17" t="str">
        <f>IFERROR(__xludf.DUMMYFUNCTION("REGEXREPLACE(A505,$A$2, )"),"aplikasi error terus,, aplikasi sekelas milik pemerintah kok amburadul gak beres, apakah hanya untuk ngeprank rakyat")</f>
        <v>aplikasi error terus,, aplikasi sekelas milik pemerintah kok amburadul gak beres, apakah hanya untuk ngeprank rakyat</v>
      </c>
      <c r="C505" s="17" t="str">
        <f>IFERROR(__xludf.DUMMYFUNCTION("REGEXREPLACE(B505,$A$3, )"),"aplikasi error terus,, aplikasi sekelas milik pemerintah kok amburadul gak beres, apakah hanya untuk ngeprank rakyat")</f>
        <v>aplikasi error terus,, aplikasi sekelas milik pemerintah kok amburadul gak beres, apakah hanya untuk ngeprank rakyat</v>
      </c>
      <c r="D505" s="17" t="str">
        <f>IFERROR(__xludf.DUMMYFUNCTION("REGEXREPLACE(C505,$A$4, )"),"aplikasi error terus,, aplikasi sekelas milik pemerintah kok amburadul gak beres, apakah hanya untuk ngeprank rakyat")</f>
        <v>aplikasi error terus,, aplikasi sekelas milik pemerintah kok amburadul gak beres, apakah hanya untuk ngeprank rakyat</v>
      </c>
      <c r="E505" s="17" t="str">
        <f>IFERROR(__xludf.DUMMYFUNCTION("REGEXREPLACE(D505,$A$5, )"),"aplikasi error terus,, aplikasi sekelas milik pemerintah kok amburadul gak beres, apakah hanya untuk ngeprank rakyat")</f>
        <v>aplikasi error terus,, aplikasi sekelas milik pemerintah kok amburadul gak beres, apakah hanya untuk ngeprank rakyat</v>
      </c>
      <c r="F505" s="17" t="str">
        <f>IFERROR(__xludf.DUMMYFUNCTION("REGEXREPLACE(E505,$A$6, )"),"aplikasi error terus aplikasi sekelas milik pemerintah kok amburadul gak beres apakah hanya untuk ngeprank rakyat")</f>
        <v>aplikasi error terus aplikasi sekelas milik pemerintah kok amburadul gak beres apakah hanya untuk ngeprank rakyat</v>
      </c>
      <c r="G505" s="18" t="str">
        <f>IFERROR(__xludf.DUMMYFUNCTION("REGEXREPLACE(F505,$A$7, )"),"aplikasi error terus aplikasi sekelas milik pemerintah kok amburadul gak beres apakah hanya untuk ngeprank rakyat")</f>
        <v>aplikasi error terus aplikasi sekelas milik pemerintah kok amburadul gak beres apakah hanya untuk ngeprank rakyat</v>
      </c>
      <c r="H505" s="17" t="str">
        <f t="shared" si="1"/>
        <v>aplikasi error terus aplikasi sekelas milik pemerintah kok amburadul gak beres apakah hanya untuk ngeprank rakyat</v>
      </c>
    </row>
    <row r="506">
      <c r="A506" s="16" t="s">
        <v>501</v>
      </c>
      <c r="B506" s="17" t="str">
        <f>IFERROR(__xludf.DUMMYFUNCTION("REGEXREPLACE(A506,$A$2, )"),"Eror trs mau buka link yg dikirim ke email buat password baru")</f>
        <v>Eror trs mau buka link yg dikirim ke email buat password baru</v>
      </c>
      <c r="C506" s="17" t="str">
        <f>IFERROR(__xludf.DUMMYFUNCTION("REGEXREPLACE(B506,$A$3, )"),"Eror trs mau buka link yg dikirim ke email buat password baru")</f>
        <v>Eror trs mau buka link yg dikirim ke email buat password baru</v>
      </c>
      <c r="D506" s="17" t="str">
        <f>IFERROR(__xludf.DUMMYFUNCTION("REGEXREPLACE(C506,$A$4, )"),"Eror trs mau buka link yg dikirim ke email buat password baru")</f>
        <v>Eror trs mau buka link yg dikirim ke email buat password baru</v>
      </c>
      <c r="E506" s="17" t="str">
        <f>IFERROR(__xludf.DUMMYFUNCTION("REGEXREPLACE(D506,$A$5, )"),"Eror trs mau buka link yg dikirim ke email buat password baru")</f>
        <v>Eror trs mau buka link yg dikirim ke email buat password baru</v>
      </c>
      <c r="F506" s="17" t="str">
        <f>IFERROR(__xludf.DUMMYFUNCTION("REGEXREPLACE(E506,$A$6, )"),"Eror trs mau buka link yg dikirim ke email buat password baru")</f>
        <v>Eror trs mau buka link yg dikirim ke email buat password baru</v>
      </c>
      <c r="G506" s="18" t="str">
        <f>IFERROR(__xludf.DUMMYFUNCTION("REGEXREPLACE(F506,$A$7, )"),"Eror trs mau buka link yg dikirim ke email buat password baru")</f>
        <v>Eror trs mau buka link yg dikirim ke email buat password baru</v>
      </c>
      <c r="H506" s="17" t="str">
        <f t="shared" si="1"/>
        <v>eror trs mau buka link yg dikirim ke email buat password baru</v>
      </c>
    </row>
    <row r="507">
      <c r="A507" s="16" t="s">
        <v>502</v>
      </c>
      <c r="B507" s="17" t="str">
        <f>IFERROR(__xludf.DUMMYFUNCTION("REGEXREPLACE(A507,$A$2, )"),"Apk nya Error terus,kenapa tuh?!")</f>
        <v>Apk nya Error terus,kenapa tuh?!</v>
      </c>
      <c r="C507" s="17" t="str">
        <f>IFERROR(__xludf.DUMMYFUNCTION("REGEXREPLACE(B507,$A$3, )"),"Apk nya Error terus,kenapa tuh?!")</f>
        <v>Apk nya Error terus,kenapa tuh?!</v>
      </c>
      <c r="D507" s="17" t="str">
        <f>IFERROR(__xludf.DUMMYFUNCTION("REGEXREPLACE(C507,$A$4, )"),"Apk nya Error terus,kenapa tuh?!")</f>
        <v>Apk nya Error terus,kenapa tuh?!</v>
      </c>
      <c r="E507" s="17" t="str">
        <f>IFERROR(__xludf.DUMMYFUNCTION("REGEXREPLACE(D507,$A$5, )"),"Apk nya Error terus,kenapa tuh?!")</f>
        <v>Apk nya Error terus,kenapa tuh?!</v>
      </c>
      <c r="F507" s="17" t="str">
        <f>IFERROR(__xludf.DUMMYFUNCTION("REGEXREPLACE(E507,$A$6, )"),"Apk nya Error teruskenapa tuh")</f>
        <v>Apk nya Error teruskenapa tuh</v>
      </c>
      <c r="G507" s="18" t="str">
        <f>IFERROR(__xludf.DUMMYFUNCTION("REGEXREPLACE(F507,$A$7, )"),"Apk nya Error teruskenapa tuh")</f>
        <v>Apk nya Error teruskenapa tuh</v>
      </c>
      <c r="H507" s="17" t="str">
        <f t="shared" si="1"/>
        <v>apk nya error teruskenapa tuh</v>
      </c>
    </row>
    <row r="508">
      <c r="A508" s="16" t="s">
        <v>503</v>
      </c>
      <c r="B508" s="17" t="str">
        <f>IFERROR(__xludf.DUMMYFUNCTION("REGEXREPLACE(A508,$A$2, )"),"Aplikasi sulit masuk utk login")</f>
        <v>Aplikasi sulit masuk utk login</v>
      </c>
      <c r="C508" s="17" t="str">
        <f>IFERROR(__xludf.DUMMYFUNCTION("REGEXREPLACE(B508,$A$3, )"),"Aplikasi sulit masuk utk login")</f>
        <v>Aplikasi sulit masuk utk login</v>
      </c>
      <c r="D508" s="17" t="str">
        <f>IFERROR(__xludf.DUMMYFUNCTION("REGEXREPLACE(C508,$A$4, )"),"Aplikasi sulit masuk utk login")</f>
        <v>Aplikasi sulit masuk utk login</v>
      </c>
      <c r="E508" s="17" t="str">
        <f>IFERROR(__xludf.DUMMYFUNCTION("REGEXREPLACE(D508,$A$5, )"),"Aplikasi sulit masuk utk login")</f>
        <v>Aplikasi sulit masuk utk login</v>
      </c>
      <c r="F508" s="17" t="str">
        <f>IFERROR(__xludf.DUMMYFUNCTION("REGEXREPLACE(E508,$A$6, )"),"Aplikasi sulit masuk utk login")</f>
        <v>Aplikasi sulit masuk utk login</v>
      </c>
      <c r="G508" s="18" t="str">
        <f>IFERROR(__xludf.DUMMYFUNCTION("REGEXREPLACE(F508,$A$7, )"),"Aplikasi sulit masuk utk login")</f>
        <v>Aplikasi sulit masuk utk login</v>
      </c>
      <c r="H508" s="17" t="str">
        <f t="shared" si="1"/>
        <v>aplikasi sulit masuk utk login</v>
      </c>
    </row>
    <row r="509">
      <c r="A509" s="16" t="s">
        <v>504</v>
      </c>
      <c r="B509" s="17" t="str">
        <f>IFERROR(__xludf.DUMMYFUNCTION("REGEXREPLACE(A509,$A$2, )"),"Tidak bisa login, sedangkan saya gak pernah dapat bantuan apapun")</f>
        <v>Tidak bisa login, sedangkan saya gak pernah dapat bantuan apapun</v>
      </c>
      <c r="C509" s="17" t="str">
        <f>IFERROR(__xludf.DUMMYFUNCTION("REGEXREPLACE(B509,$A$3, )"),"Tidak bisa login, sedangkan saya gak pernah dapat bantuan apapun")</f>
        <v>Tidak bisa login, sedangkan saya gak pernah dapat bantuan apapun</v>
      </c>
      <c r="D509" s="17" t="str">
        <f>IFERROR(__xludf.DUMMYFUNCTION("REGEXREPLACE(C509,$A$4, )"),"Tidak bisa login, sedangkan saya gak pernah dapat bantuan apapun")</f>
        <v>Tidak bisa login, sedangkan saya gak pernah dapat bantuan apapun</v>
      </c>
      <c r="E509" s="17" t="str">
        <f>IFERROR(__xludf.DUMMYFUNCTION("REGEXREPLACE(D509,$A$5, )"),"Tidak bisa login, sedangkan saya gak pernah dapat bantuan apapun")</f>
        <v>Tidak bisa login, sedangkan saya gak pernah dapat bantuan apapun</v>
      </c>
      <c r="F509" s="17" t="str">
        <f>IFERROR(__xludf.DUMMYFUNCTION("REGEXREPLACE(E509,$A$6, )"),"Tidak bisa login sedangkan saya gak pernah dapat bantuan apapun")</f>
        <v>Tidak bisa login sedangkan saya gak pernah dapat bantuan apapun</v>
      </c>
      <c r="G509" s="18" t="str">
        <f>IFERROR(__xludf.DUMMYFUNCTION("REGEXREPLACE(F509,$A$7, )"),"Tidak bisa login sedangkan saya gak pernah dapat bantuan apapun")</f>
        <v>Tidak bisa login sedangkan saya gak pernah dapat bantuan apapun</v>
      </c>
      <c r="H509" s="17" t="str">
        <f t="shared" si="1"/>
        <v>tidak bisa login sedangkan saya gak pernah dapat bantuan apapun</v>
      </c>
    </row>
    <row r="510">
      <c r="A510" s="16" t="s">
        <v>505</v>
      </c>
      <c r="B510" s="17" t="str">
        <f>IFERROR(__xludf.DUMMYFUNCTION("REGEXREPLACE(A510,$A$2, )"),"Baru upload data aplikasi berhenti trus")</f>
        <v>Baru upload data aplikasi berhenti trus</v>
      </c>
      <c r="C510" s="17" t="str">
        <f>IFERROR(__xludf.DUMMYFUNCTION("REGEXREPLACE(B510,$A$3, )"),"Baru upload data aplikasi berhenti trus")</f>
        <v>Baru upload data aplikasi berhenti trus</v>
      </c>
      <c r="D510" s="17" t="str">
        <f>IFERROR(__xludf.DUMMYFUNCTION("REGEXREPLACE(C510,$A$4, )"),"Baru upload data aplikasi berhenti trus")</f>
        <v>Baru upload data aplikasi berhenti trus</v>
      </c>
      <c r="E510" s="17" t="str">
        <f>IFERROR(__xludf.DUMMYFUNCTION("REGEXREPLACE(D510,$A$5, )"),"Baru upload data aplikasi berhenti trus")</f>
        <v>Baru upload data aplikasi berhenti trus</v>
      </c>
      <c r="F510" s="17" t="str">
        <f>IFERROR(__xludf.DUMMYFUNCTION("REGEXREPLACE(E510,$A$6, )"),"Baru upload data aplikasi berhenti trus")</f>
        <v>Baru upload data aplikasi berhenti trus</v>
      </c>
      <c r="G510" s="18" t="str">
        <f>IFERROR(__xludf.DUMMYFUNCTION("REGEXREPLACE(F510,$A$7, )"),"Baru upload data aplikasi berhenti trus")</f>
        <v>Baru upload data aplikasi berhenti trus</v>
      </c>
      <c r="H510" s="17" t="str">
        <f t="shared" si="1"/>
        <v>baru upload data aplikasi berhenti trus</v>
      </c>
    </row>
    <row r="511">
      <c r="A511" s="16" t="s">
        <v>506</v>
      </c>
      <c r="B511" s="17" t="str">
        <f>IFERROR(__xludf.DUMMYFUNCTION("REGEXREPLACE(A511,$A$2, )"),"Saya sudah daftar tapi pas mau masuk eror terus")</f>
        <v>Saya sudah daftar tapi pas mau masuk eror terus</v>
      </c>
      <c r="C511" s="17" t="str">
        <f>IFERROR(__xludf.DUMMYFUNCTION("REGEXREPLACE(B511,$A$3, )"),"Saya sudah daftar tapi pas mau masuk eror terus")</f>
        <v>Saya sudah daftar tapi pas mau masuk eror terus</v>
      </c>
      <c r="D511" s="17" t="str">
        <f>IFERROR(__xludf.DUMMYFUNCTION("REGEXREPLACE(C511,$A$4, )"),"Saya sudah daftar tapi pas mau masuk eror terus")</f>
        <v>Saya sudah daftar tapi pas mau masuk eror terus</v>
      </c>
      <c r="E511" s="17" t="str">
        <f>IFERROR(__xludf.DUMMYFUNCTION("REGEXREPLACE(D511,$A$5, )"),"Saya sudah daftar tapi pas mau masuk eror terus")</f>
        <v>Saya sudah daftar tapi pas mau masuk eror terus</v>
      </c>
      <c r="F511" s="17" t="str">
        <f>IFERROR(__xludf.DUMMYFUNCTION("REGEXREPLACE(E511,$A$6, )"),"Saya sudah daftar tapi pas mau masuk eror terus")</f>
        <v>Saya sudah daftar tapi pas mau masuk eror terus</v>
      </c>
      <c r="G511" s="18" t="str">
        <f>IFERROR(__xludf.DUMMYFUNCTION("REGEXREPLACE(F511,$A$7, )"),"Saya sudah daftar tapi pas mau masuk eror terus")</f>
        <v>Saya sudah daftar tapi pas mau masuk eror terus</v>
      </c>
      <c r="H511" s="17" t="str">
        <f t="shared" si="1"/>
        <v>saya sudah daftar tapi pas mau masuk eror terus</v>
      </c>
    </row>
    <row r="512">
      <c r="A512" s="16" t="s">
        <v>507</v>
      </c>
      <c r="B512" s="17" t="str">
        <f>IFERROR(__xludf.DUMMYFUNCTION("REGEXREPLACE(A512,$A$2, )"),"Ko saya ga bisa daftar ya terjadi error terus")</f>
        <v>Ko saya ga bisa daftar ya terjadi error terus</v>
      </c>
      <c r="C512" s="17" t="str">
        <f>IFERROR(__xludf.DUMMYFUNCTION("REGEXREPLACE(B512,$A$3, )"),"Ko saya ga bisa daftar ya terjadi error terus")</f>
        <v>Ko saya ga bisa daftar ya terjadi error terus</v>
      </c>
      <c r="D512" s="17" t="str">
        <f>IFERROR(__xludf.DUMMYFUNCTION("REGEXREPLACE(C512,$A$4, )"),"Ko saya ga bisa daftar ya terjadi error terus")</f>
        <v>Ko saya ga bisa daftar ya terjadi error terus</v>
      </c>
      <c r="E512" s="17" t="str">
        <f>IFERROR(__xludf.DUMMYFUNCTION("REGEXREPLACE(D512,$A$5, )"),"Ko saya ga bisa daftar ya terjadi error terus")</f>
        <v>Ko saya ga bisa daftar ya terjadi error terus</v>
      </c>
      <c r="F512" s="17" t="str">
        <f>IFERROR(__xludf.DUMMYFUNCTION("REGEXREPLACE(E512,$A$6, )"),"Ko saya ga bisa daftar ya terjadi error terus")</f>
        <v>Ko saya ga bisa daftar ya terjadi error terus</v>
      </c>
      <c r="G512" s="18" t="str">
        <f>IFERROR(__xludf.DUMMYFUNCTION("REGEXREPLACE(F512,$A$7, )"),"Ko saya ga bisa daftar ya terjadi error terus")</f>
        <v>Ko saya ga bisa daftar ya terjadi error terus</v>
      </c>
      <c r="H512" s="17" t="str">
        <f t="shared" si="1"/>
        <v>ko saya ga bisa daftar ya terjadi error terus</v>
      </c>
    </row>
    <row r="513">
      <c r="A513" s="16" t="s">
        <v>508</v>
      </c>
      <c r="B513" s="17" t="str">
        <f>IFERROR(__xludf.DUMMYFUNCTION("REGEXREPLACE(A513,$A$2, )"),"Aplikasi palsu penyadab data lengkap ini mah . Bahaya.")</f>
        <v>Aplikasi palsu penyadab data lengkap ini mah . Bahaya.</v>
      </c>
      <c r="C513" s="17" t="str">
        <f>IFERROR(__xludf.DUMMYFUNCTION("REGEXREPLACE(B513,$A$3, )"),"Aplikasi palsu penyadab data lengkap ini mah . Bahaya.")</f>
        <v>Aplikasi palsu penyadab data lengkap ini mah . Bahaya.</v>
      </c>
      <c r="D513" s="17" t="str">
        <f>IFERROR(__xludf.DUMMYFUNCTION("REGEXREPLACE(C513,$A$4, )"),"Aplikasi palsu penyadab data lengkap ini mah . Bahaya.")</f>
        <v>Aplikasi palsu penyadab data lengkap ini mah . Bahaya.</v>
      </c>
      <c r="E513" s="17" t="str">
        <f>IFERROR(__xludf.DUMMYFUNCTION("REGEXREPLACE(D513,$A$5, )"),"Aplikasi palsu penyadab data lengkap ini mah . Bahaya.")</f>
        <v>Aplikasi palsu penyadab data lengkap ini mah . Bahaya.</v>
      </c>
      <c r="F513" s="17" t="str">
        <f>IFERROR(__xludf.DUMMYFUNCTION("REGEXREPLACE(E513,$A$6, )"),"Aplikasi palsu penyadab data lengkap ini mah  Bahaya")</f>
        <v>Aplikasi palsu penyadab data lengkap ini mah  Bahaya</v>
      </c>
      <c r="G513" s="18" t="str">
        <f>IFERROR(__xludf.DUMMYFUNCTION("REGEXREPLACE(F513,$A$7, )"),"Aplikasi palsu penyadab data lengkap ini mah  Bahaya")</f>
        <v>Aplikasi palsu penyadab data lengkap ini mah  Bahaya</v>
      </c>
      <c r="H513" s="17" t="str">
        <f t="shared" si="1"/>
        <v>aplikasi palsu penyadab data lengkap ini mah  bahaya</v>
      </c>
    </row>
    <row r="514">
      <c r="A514" s="16" t="s">
        <v>509</v>
      </c>
      <c r="B514" s="17" t="str">
        <f>IFERROR(__xludf.DUMMYFUNCTION("REGEXREPLACE(A514,$A$2, )"),"Aplikasi eror terus ketika registrasi")</f>
        <v>Aplikasi eror terus ketika registrasi</v>
      </c>
      <c r="C514" s="17" t="str">
        <f>IFERROR(__xludf.DUMMYFUNCTION("REGEXREPLACE(B514,$A$3, )"),"Aplikasi eror terus ketika registrasi")</f>
        <v>Aplikasi eror terus ketika registrasi</v>
      </c>
      <c r="D514" s="17" t="str">
        <f>IFERROR(__xludf.DUMMYFUNCTION("REGEXREPLACE(C514,$A$4, )"),"Aplikasi eror terus ketika registrasi")</f>
        <v>Aplikasi eror terus ketika registrasi</v>
      </c>
      <c r="E514" s="17" t="str">
        <f>IFERROR(__xludf.DUMMYFUNCTION("REGEXREPLACE(D514,$A$5, )"),"Aplikasi eror terus ketika registrasi")</f>
        <v>Aplikasi eror terus ketika registrasi</v>
      </c>
      <c r="F514" s="17" t="str">
        <f>IFERROR(__xludf.DUMMYFUNCTION("REGEXREPLACE(E514,$A$6, )"),"Aplikasi eror terus ketika registrasi")</f>
        <v>Aplikasi eror terus ketika registrasi</v>
      </c>
      <c r="G514" s="18" t="str">
        <f>IFERROR(__xludf.DUMMYFUNCTION("REGEXREPLACE(F514,$A$7, )"),"Aplikasi eror terus ketika registrasi")</f>
        <v>Aplikasi eror terus ketika registrasi</v>
      </c>
      <c r="H514" s="17" t="str">
        <f t="shared" si="1"/>
        <v>aplikasi eror terus ketika registrasi</v>
      </c>
    </row>
    <row r="515">
      <c r="A515" s="16" t="s">
        <v>510</v>
      </c>
      <c r="B515" s="17" t="str">
        <f>IFERROR(__xludf.DUMMYFUNCTION("REGEXREPLACE(A515,$A$2, )"),"belom pernah daftar udah ada yg make aja🤦🤦🤦🤦")</f>
        <v>belom pernah daftar udah ada yg make aja🤦🤦🤦🤦</v>
      </c>
      <c r="C515" s="17" t="str">
        <f>IFERROR(__xludf.DUMMYFUNCTION("REGEXREPLACE(B515,$A$3, )"),"belom pernah daftar udah ada yg make aja🤦🤦🤦🤦")</f>
        <v>belom pernah daftar udah ada yg make aja🤦🤦🤦🤦</v>
      </c>
      <c r="D515" s="17" t="str">
        <f>IFERROR(__xludf.DUMMYFUNCTION("REGEXREPLACE(C515,$A$4, )"),"belom pernah daftar udah ada yg make aja🤦🤦🤦🤦")</f>
        <v>belom pernah daftar udah ada yg make aja🤦🤦🤦🤦</v>
      </c>
      <c r="E515" s="17" t="str">
        <f>IFERROR(__xludf.DUMMYFUNCTION("REGEXREPLACE(D515,$A$5, )"),"belom pernah daftar udah ada yg make aja🤦🤦🤦🤦")</f>
        <v>belom pernah daftar udah ada yg make aja🤦🤦🤦🤦</v>
      </c>
      <c r="F515" s="17" t="str">
        <f>IFERROR(__xludf.DUMMYFUNCTION("REGEXREPLACE(E515,$A$6, )"),"belom pernah daftar udah ada yg make aja🤦🤦🤦🤦")</f>
        <v>belom pernah daftar udah ada yg make aja🤦🤦🤦🤦</v>
      </c>
      <c r="G515" s="18" t="str">
        <f>IFERROR(__xludf.DUMMYFUNCTION("REGEXREPLACE(F515,$A$7, )"),"belom pernah daftar udah ada yg make aja")</f>
        <v>belom pernah daftar udah ada yg make aja</v>
      </c>
      <c r="H515" s="17" t="str">
        <f t="shared" si="1"/>
        <v>belom pernah daftar udah ada yg make aja</v>
      </c>
    </row>
    <row r="516">
      <c r="A516" s="16" t="s">
        <v>511</v>
      </c>
      <c r="B516" s="17" t="str">
        <f>IFERROR(__xludf.DUMMYFUNCTION("REGEXREPLACE(A516,$A$2, )"),"Tidak bisa masuk, aplikasi eror")</f>
        <v>Tidak bisa masuk, aplikasi eror</v>
      </c>
      <c r="C516" s="17" t="str">
        <f>IFERROR(__xludf.DUMMYFUNCTION("REGEXREPLACE(B516,$A$3, )"),"Tidak bisa masuk, aplikasi eror")</f>
        <v>Tidak bisa masuk, aplikasi eror</v>
      </c>
      <c r="D516" s="17" t="str">
        <f>IFERROR(__xludf.DUMMYFUNCTION("REGEXREPLACE(C516,$A$4, )"),"Tidak bisa masuk, aplikasi eror")</f>
        <v>Tidak bisa masuk, aplikasi eror</v>
      </c>
      <c r="E516" s="17" t="str">
        <f>IFERROR(__xludf.DUMMYFUNCTION("REGEXREPLACE(D516,$A$5, )"),"Tidak bisa masuk, aplikasi eror")</f>
        <v>Tidak bisa masuk, aplikasi eror</v>
      </c>
      <c r="F516" s="17" t="str">
        <f>IFERROR(__xludf.DUMMYFUNCTION("REGEXREPLACE(E516,$A$6, )"),"Tidak bisa masuk aplikasi eror")</f>
        <v>Tidak bisa masuk aplikasi eror</v>
      </c>
      <c r="G516" s="18" t="str">
        <f>IFERROR(__xludf.DUMMYFUNCTION("REGEXREPLACE(F516,$A$7, )"),"Tidak bisa masuk aplikasi eror")</f>
        <v>Tidak bisa masuk aplikasi eror</v>
      </c>
      <c r="H516" s="17" t="str">
        <f t="shared" si="1"/>
        <v>tidak bisa masuk aplikasi eror</v>
      </c>
    </row>
    <row r="517">
      <c r="A517" s="16" t="s">
        <v>512</v>
      </c>
      <c r="B517" s="17" t="str">
        <f>IFERROR(__xludf.DUMMYFUNCTION("REGEXREPLACE(A517,$A$2, )"),"Ko daftar gk bisa-bisa loding melulu kalau da jelas gak bisa bilang bos....jangan gasi arap kerna orang susah kaya kami ini memang butuh bos....")</f>
        <v>Ko daftar gk bisa-bisa loding melulu kalau da jelas gak bisa bilang bos....jangan gasi arap kerna orang susah kaya kami ini memang butuh bos....</v>
      </c>
      <c r="C517" s="17" t="str">
        <f>IFERROR(__xludf.DUMMYFUNCTION("REGEXREPLACE(B517,$A$3, )"),"Ko daftar gk bisa-bisa loding melulu kalau da jelas gak bisa bilang bos....jangan gasi arap kerna orang susah kaya kami ini memang butuh bos....")</f>
        <v>Ko daftar gk bisa-bisa loding melulu kalau da jelas gak bisa bilang bos....jangan gasi arap kerna orang susah kaya kami ini memang butuh bos....</v>
      </c>
      <c r="D517" s="17" t="str">
        <f>IFERROR(__xludf.DUMMYFUNCTION("REGEXREPLACE(C517,$A$4, )"),"Ko daftar gk bisa-bisa loding melulu kalau da jelas gak bisa bilang bos....jangan gasi arap kerna orang susah kaya kami ini memang butuh bos....")</f>
        <v>Ko daftar gk bisa-bisa loding melulu kalau da jelas gak bisa bilang bos....jangan gasi arap kerna orang susah kaya kami ini memang butuh bos....</v>
      </c>
      <c r="E517" s="17" t="str">
        <f>IFERROR(__xludf.DUMMYFUNCTION("REGEXREPLACE(D517,$A$5, )"),"Ko daftar gk bisa-bisa loding melulu kalau da jelas gak bisa bilang bos....jangan gasi arap kerna orang susah kaya kami ini memang butuh bos....")</f>
        <v>Ko daftar gk bisa-bisa loding melulu kalau da jelas gak bisa bilang bos....jangan gasi arap kerna orang susah kaya kami ini memang butuh bos....</v>
      </c>
      <c r="F517" s="17" t="str">
        <f>IFERROR(__xludf.DUMMYFUNCTION("REGEXREPLACE(E517,$A$6, )"),"Ko daftar gk bisabisa loding melulu kalau da jelas gak bisa bilang bosjangan gasi arap kerna orang susah kaya kami ini memang butuh bos")</f>
        <v>Ko daftar gk bisabisa loding melulu kalau da jelas gak bisa bilang bosjangan gasi arap kerna orang susah kaya kami ini memang butuh bos</v>
      </c>
      <c r="G517" s="18" t="str">
        <f>IFERROR(__xludf.DUMMYFUNCTION("REGEXREPLACE(F517,$A$7, )"),"Ko daftar gk bisabisa loding melulu kalau da jelas gak bisa bilang bosjangan gasi arap kerna orang susah kaya kami ini memang butuh bos")</f>
        <v>Ko daftar gk bisabisa loding melulu kalau da jelas gak bisa bilang bosjangan gasi arap kerna orang susah kaya kami ini memang butuh bos</v>
      </c>
      <c r="H517" s="17" t="str">
        <f t="shared" si="1"/>
        <v>ko daftar gk bisabisa loding melulu kalau da jelas gak bisa bilang bosjangan gasi arap kerna orang susah kaya kami ini memang butuh bos</v>
      </c>
    </row>
    <row r="518">
      <c r="A518" s="16" t="s">
        <v>513</v>
      </c>
      <c r="B518" s="17" t="str">
        <f>IFERROR(__xludf.DUMMYFUNCTION("REGEXREPLACE(A518,$A$2, )"),"Saya sudah lebih dari 3 bulan belum dpt email aktivasi.....hadehhhhhhhhhhh")</f>
        <v>Saya sudah lebih dari 3 bulan belum dpt email aktivasi.....hadehhhhhhhhhhh</v>
      </c>
      <c r="C518" s="17" t="str">
        <f>IFERROR(__xludf.DUMMYFUNCTION("REGEXREPLACE(B518,$A$3, )"),"Saya sudah lebih dari 3 bulan belum dpt email aktivasi.....hadehhhhhhhhhhh")</f>
        <v>Saya sudah lebih dari 3 bulan belum dpt email aktivasi.....hadehhhhhhhhhhh</v>
      </c>
      <c r="D518" s="17" t="str">
        <f>IFERROR(__xludf.DUMMYFUNCTION("REGEXREPLACE(C518,$A$4, )"),"Saya sudah lebih dari 3 bulan belum dpt email aktivasi.....hadehhhhhhhhhhh")</f>
        <v>Saya sudah lebih dari 3 bulan belum dpt email aktivasi.....hadehhhhhhhhhhh</v>
      </c>
      <c r="E518" s="17" t="str">
        <f>IFERROR(__xludf.DUMMYFUNCTION("REGEXREPLACE(D518,$A$5, )"),"Saya sudah lebih dari  bulan belum dpt email aktivasi.....hadehhhhhhhhhhh")</f>
        <v>Saya sudah lebih dari  bulan belum dpt email aktivasi.....hadehhhhhhhhhhh</v>
      </c>
      <c r="F518" s="17" t="str">
        <f>IFERROR(__xludf.DUMMYFUNCTION("REGEXREPLACE(E518,$A$6, )"),"Saya sudah lebih dari  bulan belum dpt email aktivasihadehhhhhhhhhhh")</f>
        <v>Saya sudah lebih dari  bulan belum dpt email aktivasihadehhhhhhhhhhh</v>
      </c>
      <c r="G518" s="18" t="str">
        <f>IFERROR(__xludf.DUMMYFUNCTION("REGEXREPLACE(F518,$A$7, )"),"Saya sudah lebih dari  bulan belum dpt email aktivasihadehhhhhhhhhhh")</f>
        <v>Saya sudah lebih dari  bulan belum dpt email aktivasihadehhhhhhhhhhh</v>
      </c>
      <c r="H518" s="17" t="str">
        <f t="shared" si="1"/>
        <v>saya sudah lebih dari  bulan belum dpt email aktivasihadehhhhhhhhhhh</v>
      </c>
    </row>
    <row r="519">
      <c r="A519" s="16" t="s">
        <v>514</v>
      </c>
      <c r="B519" s="17" t="str">
        <f>IFERROR(__xludf.DUMMYFUNCTION("REGEXREPLACE(A519,$A$2, )"),"Kerja woi di bayar pemerintah gak memperbaiki bugnya bug dftr ngisi provinsi error")</f>
        <v>Kerja woi di bayar pemerintah gak memperbaiki bugnya bug dftr ngisi provinsi error</v>
      </c>
      <c r="C519" s="17" t="str">
        <f>IFERROR(__xludf.DUMMYFUNCTION("REGEXREPLACE(B519,$A$3, )"),"Kerja woi di bayar pemerintah gak memperbaiki bugnya bug dftr ngisi provinsi error")</f>
        <v>Kerja woi di bayar pemerintah gak memperbaiki bugnya bug dftr ngisi provinsi error</v>
      </c>
      <c r="D519" s="17" t="str">
        <f>IFERROR(__xludf.DUMMYFUNCTION("REGEXREPLACE(C519,$A$4, )"),"Kerja woi di bayar pemerintah gak memperbaiki bugnya bug dftr ngisi provinsi error")</f>
        <v>Kerja woi di bayar pemerintah gak memperbaiki bugnya bug dftr ngisi provinsi error</v>
      </c>
      <c r="E519" s="17" t="str">
        <f>IFERROR(__xludf.DUMMYFUNCTION("REGEXREPLACE(D519,$A$5, )"),"Kerja woi di bayar pemerintah gak memperbaiki bugnya bug dftr ngisi provinsi error")</f>
        <v>Kerja woi di bayar pemerintah gak memperbaiki bugnya bug dftr ngisi provinsi error</v>
      </c>
      <c r="F519" s="17" t="str">
        <f>IFERROR(__xludf.DUMMYFUNCTION("REGEXREPLACE(E519,$A$6, )"),"Kerja woi di bayar pemerintah gak memperbaiki bugnya bug dftr ngisi provinsi error")</f>
        <v>Kerja woi di bayar pemerintah gak memperbaiki bugnya bug dftr ngisi provinsi error</v>
      </c>
      <c r="G519" s="18" t="str">
        <f>IFERROR(__xludf.DUMMYFUNCTION("REGEXREPLACE(F519,$A$7, )"),"Kerja woi di bayar pemerintah gak memperbaiki bugnya bug dftr ngisi provinsi error")</f>
        <v>Kerja woi di bayar pemerintah gak memperbaiki bugnya bug dftr ngisi provinsi error</v>
      </c>
      <c r="H519" s="17" t="str">
        <f t="shared" si="1"/>
        <v>kerja woi di bayar pemerintah gak memperbaiki bugnya bug dftr ngisi provinsi error</v>
      </c>
    </row>
    <row r="520">
      <c r="A520" s="16" t="s">
        <v>515</v>
      </c>
      <c r="B520" s="17" t="str">
        <f>IFERROR(__xludf.DUMMYFUNCTION("REGEXREPLACE(A520,$A$2, )"),"Kecewa sma apk ny baru download baru pertama kali daftar akun, gk bisa² json eror trus, capek ngulang² ngisi formulir ny, apk erornya eror trus")</f>
        <v>Kecewa sma apk ny baru download baru pertama kali daftar akun, gk bisa² json eror trus, capek ngulang² ngisi formulir ny, apk erornya eror trus</v>
      </c>
      <c r="C520" s="17" t="str">
        <f>IFERROR(__xludf.DUMMYFUNCTION("REGEXREPLACE(B520,$A$3, )"),"Kecewa sma apk ny baru download baru pertama kali daftar akun, gk bisa² json eror trus, capek ngulang² ngisi formulir ny, apk erornya eror trus")</f>
        <v>Kecewa sma apk ny baru download baru pertama kali daftar akun, gk bisa² json eror trus, capek ngulang² ngisi formulir ny, apk erornya eror trus</v>
      </c>
      <c r="D520" s="17" t="str">
        <f>IFERROR(__xludf.DUMMYFUNCTION("REGEXREPLACE(C520,$A$4, )"),"Kecewa sma apk ny baru download baru pertama kali daftar akun, gk bisa² json eror trus, capek ngulang² ngisi formulir ny, apk erornya eror trus")</f>
        <v>Kecewa sma apk ny baru download baru pertama kali daftar akun, gk bisa² json eror trus, capek ngulang² ngisi formulir ny, apk erornya eror trus</v>
      </c>
      <c r="E520" s="17" t="str">
        <f>IFERROR(__xludf.DUMMYFUNCTION("REGEXREPLACE(D520,$A$5, )"),"Kecewa sma apk ny baru download baru pertama kali daftar akun, gk bisa² json eror trus, capek ngulang² ngisi formulir ny, apk erornya eror trus")</f>
        <v>Kecewa sma apk ny baru download baru pertama kali daftar akun, gk bisa² json eror trus, capek ngulang² ngisi formulir ny, apk erornya eror trus</v>
      </c>
      <c r="F520" s="17" t="str">
        <f>IFERROR(__xludf.DUMMYFUNCTION("REGEXREPLACE(E520,$A$6, )"),"Kecewa sma apk ny baru download baru pertama kali daftar akun gk bisa² json eror trus capek ngulang² ngisi formulir ny apk erornya eror trus")</f>
        <v>Kecewa sma apk ny baru download baru pertama kali daftar akun gk bisa² json eror trus capek ngulang² ngisi formulir ny apk erornya eror trus</v>
      </c>
      <c r="G520" s="18" t="str">
        <f>IFERROR(__xludf.DUMMYFUNCTION("REGEXREPLACE(F520,$A$7, )"),"Kecewa sma apk ny baru download baru pertama kali daftar akun gk bisa² json eror trus capek ngulang² ngisi formulir ny apk erornya eror trus")</f>
        <v>Kecewa sma apk ny baru download baru pertama kali daftar akun gk bisa² json eror trus capek ngulang² ngisi formulir ny apk erornya eror trus</v>
      </c>
      <c r="H520" s="17" t="str">
        <f t="shared" si="1"/>
        <v>kecewa sma apk ny baru download baru pertama kali daftar akun gk bisa² json eror trus capek ngulang² ngisi formulir ny apk erornya eror trus</v>
      </c>
    </row>
    <row r="521">
      <c r="A521" s="16" t="s">
        <v>516</v>
      </c>
      <c r="B521" s="17" t="str">
        <f>IFERROR(__xludf.DUMMYFUNCTION("REGEXREPLACE(A521,$A$2, )"),"Aplikasi error, ngak bisa daftar")</f>
        <v>Aplikasi error, ngak bisa daftar</v>
      </c>
      <c r="C521" s="17" t="str">
        <f>IFERROR(__xludf.DUMMYFUNCTION("REGEXREPLACE(B521,$A$3, )"),"Aplikasi error, ngak bisa daftar")</f>
        <v>Aplikasi error, ngak bisa daftar</v>
      </c>
      <c r="D521" s="17" t="str">
        <f>IFERROR(__xludf.DUMMYFUNCTION("REGEXREPLACE(C521,$A$4, )"),"Aplikasi error, ngak bisa daftar")</f>
        <v>Aplikasi error, ngak bisa daftar</v>
      </c>
      <c r="E521" s="17" t="str">
        <f>IFERROR(__xludf.DUMMYFUNCTION("REGEXREPLACE(D521,$A$5, )"),"Aplikasi error, ngak bisa daftar")</f>
        <v>Aplikasi error, ngak bisa daftar</v>
      </c>
      <c r="F521" s="17" t="str">
        <f>IFERROR(__xludf.DUMMYFUNCTION("REGEXREPLACE(E521,$A$6, )"),"Aplikasi error ngak bisa daftar")</f>
        <v>Aplikasi error ngak bisa daftar</v>
      </c>
      <c r="G521" s="18" t="str">
        <f>IFERROR(__xludf.DUMMYFUNCTION("REGEXREPLACE(F521,$A$7, )"),"Aplikasi error ngak bisa daftar")</f>
        <v>Aplikasi error ngak bisa daftar</v>
      </c>
      <c r="H521" s="17" t="str">
        <f t="shared" si="1"/>
        <v>aplikasi error ngak bisa daftar</v>
      </c>
    </row>
    <row r="522">
      <c r="A522" s="16" t="s">
        <v>517</v>
      </c>
      <c r="B522" s="17" t="str">
        <f>IFERROR(__xludf.DUMMYFUNCTION("REGEXREPLACE(A522,$A$2, )"),"Saran..Untuk masuk atau daftar seharusnya menggunakan akun google aja, tidak perlu memasukan no kk ktp dan swaphoto. Kan cuma ngecek bansos, seharusnya seperti di situsnya, tanpa login bisa cek data. Kecuali kalau untuk pendaftaran bantuan baru menggunaka"&amp;"n kk ktp dan lain sebagainya. Terimakasih.")</f>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c r="C522" s="17" t="str">
        <f>IFERROR(__xludf.DUMMYFUNCTION("REGEXREPLACE(B522,$A$3, )"),"Saran..Untuk masuk atau daftar seharusnya menggunakan akun google aja, tidak perlu memasukan no kk ktp dan swaphoto. Kan cuma ngecek bansos, seharusnya seperti di situsnya, tanpa login bisa cek data. Kecuali kalau untuk pendaftaran bantuan baru menggunaka"&amp;"n kk ktp dan lain sebagainya. Terimakasih.")</f>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c r="D522" s="17" t="str">
        <f>IFERROR(__xludf.DUMMYFUNCTION("REGEXREPLACE(C522,$A$4, )"),"Saran..Untuk masuk atau daftar seharusnya menggunakan akun google aja, tidak perlu memasukan no kk ktp dan swaphoto. Kan cuma ngecek bansos, seharusnya seperti di situsnya, tanpa login bisa cek data. Kecuali kalau untuk pendaftaran bantuan baru menggunaka"&amp;"n kk ktp dan lain sebagainya. Terimakasih.")</f>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c r="E522" s="17" t="str">
        <f>IFERROR(__xludf.DUMMYFUNCTION("REGEXREPLACE(D522,$A$5, )"),"Saran..Untuk masuk atau daftar seharusnya menggunakan akun google aja, tidak perlu memasukan no kk ktp dan swaphoto. Kan cuma ngecek bansos, seharusnya seperti di situsnya, tanpa login bisa cek data. Kecuali kalau untuk pendaftaran bantuan baru menggunaka"&amp;"n kk ktp dan lain sebagainya. Terimakasih.")</f>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c r="F522" s="17" t="str">
        <f>IFERROR(__xludf.DUMMYFUNCTION("REGEXREPLACE(E522,$A$6, )"),"SaranUntuk masuk atau daftar seharusnya menggunakan akun google aja tidak perlu memasukan no kk ktp dan swaphoto Kan cuma ngecek bansos seharusnya seperti di situsnya tanpa login bisa cek data Kecuali kalau untuk pendaftaran bantuan baru menggunakan kk kt"&amp;"p dan lain sebagainya Terimakasih")</f>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c r="G522" s="18" t="str">
        <f>IFERROR(__xludf.DUMMYFUNCTION("REGEXREPLACE(F522,$A$7, )"),"SaranUntuk masuk atau daftar seharusnya menggunakan akun google aja tidak perlu memasukan no kk ktp dan swaphoto Kan cuma ngecek bansos seharusnya seperti di situsnya tanpa login bisa cek data Kecuali kalau untuk pendaftaran bantuan baru menggunakan kk kt"&amp;"p dan lain sebagainya Terimakasih")</f>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c r="H522" s="17" t="str">
        <f t="shared" si="1"/>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row>
    <row r="523">
      <c r="A523" s="16" t="s">
        <v>518</v>
      </c>
      <c r="B523" s="17" t="str">
        <f>IFERROR(__xludf.DUMMYFUNCTION("REGEXREPLACE(A523,$A$2, )"),"Aplikasi tidal bermutu, 3hari gagal terus")</f>
        <v>Aplikasi tidal bermutu, 3hari gagal terus</v>
      </c>
      <c r="C523" s="17" t="str">
        <f>IFERROR(__xludf.DUMMYFUNCTION("REGEXREPLACE(B523,$A$3, )"),"Aplikasi tidal bermutu, 3hari gagal terus")</f>
        <v>Aplikasi tidal bermutu, 3hari gagal terus</v>
      </c>
      <c r="D523" s="17" t="str">
        <f>IFERROR(__xludf.DUMMYFUNCTION("REGEXREPLACE(C523,$A$4, )"),"Aplikasi tidal bermutu, 3hari gagal terus")</f>
        <v>Aplikasi tidal bermutu, 3hari gagal terus</v>
      </c>
      <c r="E523" s="17" t="str">
        <f>IFERROR(__xludf.DUMMYFUNCTION("REGEXREPLACE(D523,$A$5, )"),"Aplikasi tidal bermutu, hari gagal terus")</f>
        <v>Aplikasi tidal bermutu, hari gagal terus</v>
      </c>
      <c r="F523" s="17" t="str">
        <f>IFERROR(__xludf.DUMMYFUNCTION("REGEXREPLACE(E523,$A$6, )"),"Aplikasi tidal bermutu hari gagal terus")</f>
        <v>Aplikasi tidal bermutu hari gagal terus</v>
      </c>
      <c r="G523" s="18" t="str">
        <f>IFERROR(__xludf.DUMMYFUNCTION("REGEXREPLACE(F523,$A$7, )"),"Aplikasi tidal bermutu hari gagal terus")</f>
        <v>Aplikasi tidal bermutu hari gagal terus</v>
      </c>
      <c r="H523" s="17" t="str">
        <f t="shared" si="1"/>
        <v>aplikasi tidal bermutu hari gagal terus</v>
      </c>
    </row>
    <row r="524">
      <c r="A524" s="16" t="s">
        <v>519</v>
      </c>
      <c r="B524" s="17" t="str">
        <f>IFERROR(__xludf.DUMMYFUNCTION("REGEXREPLACE(A524,$A$2, )"),"Error saat pendaftaran. Developer tolong direspon secepatnya. Buat kemensos, kalo bisa yang ngurus aplikasi digital kaya gini jangan hanya sekedar sarjana, tapi pilih yang benar2 mampu bekerja. Banyak yang asal sarjana tapi ga mampu mengelola tugasnya, se"&amp;"perti apalikasi ini. Banyak juga yang ga sekola tapi skill mumpuni. Terima kasih")</f>
        <v>Error saat pendaftaran. Developer tolong direspon secepatnya. Buat kemensos, kalo bisa yang ngurus aplikasi digital kaya gini jangan hanya sekedar sarjana, tapi pilih yang benar2 mampu bekerja. Banyak yang asal sarjana tapi ga mampu mengelola tugasnya, seperti apalikasi ini. Banyak juga yang ga sekola tapi skill mumpuni. Terima kasih</v>
      </c>
      <c r="C524" s="17" t="str">
        <f>IFERROR(__xludf.DUMMYFUNCTION("REGEXREPLACE(B524,$A$3, )"),"Error saat pendaftaran. Developer tolong direspon secepatnya. Buat kemensos, kalo bisa yang ngurus aplikasi digital kaya gini jangan hanya sekedar sarjana, tapi pilih yang benar2 mampu bekerja. Banyak yang asal sarjana tapi ga mampu mengelola tugasnya, se"&amp;"perti apalikasi ini. Banyak juga yang ga sekola tapi skill mumpuni. Terima kasih")</f>
        <v>Error saat pendaftaran. Developer tolong direspon secepatnya. Buat kemensos, kalo bisa yang ngurus aplikasi digital kaya gini jangan hanya sekedar sarjana, tapi pilih yang benar2 mampu bekerja. Banyak yang asal sarjana tapi ga mampu mengelola tugasnya, seperti apalikasi ini. Banyak juga yang ga sekola tapi skill mumpuni. Terima kasih</v>
      </c>
      <c r="D524" s="17" t="str">
        <f>IFERROR(__xludf.DUMMYFUNCTION("REGEXREPLACE(C524,$A$4, )"),"Error saat pendaftaran. Developer tolong direspon secepatnya. Buat kemensos, kalo bisa yang ngurus aplikasi digital kaya gini jangan hanya sekedar sarjana, tapi pilih yang benar2 mampu bekerja. Banyak yang asal sarjana tapi ga mampu mengelola tugasnya, se"&amp;"perti apalikasi ini. Banyak juga yang ga sekola tapi skill mumpuni. Terima kasih")</f>
        <v>Error saat pendaftaran. Developer tolong direspon secepatnya. Buat kemensos, kalo bisa yang ngurus aplikasi digital kaya gini jangan hanya sekedar sarjana, tapi pilih yang benar2 mampu bekerja. Banyak yang asal sarjana tapi ga mampu mengelola tugasnya, seperti apalikasi ini. Banyak juga yang ga sekola tapi skill mumpuni. Terima kasih</v>
      </c>
      <c r="E524" s="17" t="str">
        <f>IFERROR(__xludf.DUMMYFUNCTION("REGEXREPLACE(D524,$A$5, )"),"Error saat pendaftaran. Developer tolong direspon secepatnya. Buat kemensos, kalo bisa yang ngurus aplikasi digital kaya gini jangan hanya sekedar sarjana, tapi pilih yang benar mampu bekerja. Banyak yang asal sarjana tapi ga mampu mengelola tugasnya, sep"&amp;"erti apalikasi ini. Banyak juga yang ga sekola tapi skill mumpuni. Terima kasih")</f>
        <v>Error saat pendaftaran. Developer tolong direspon secepatnya. Buat kemensos, kalo bisa yang ngurus aplikasi digital kaya gini jangan hanya sekedar sarjana, tapi pilih yang benar mampu bekerja. Banyak yang asal sarjana tapi ga mampu mengelola tugasnya, seperti apalikasi ini. Banyak juga yang ga sekola tapi skill mumpuni. Terima kasih</v>
      </c>
      <c r="F524" s="17" t="str">
        <f>IFERROR(__xludf.DUMMYFUNCTION("REGEXREPLACE(E524,$A$6, )"),"Error saat pendaftaran Developer tolong direspon secepatnya Buat kemensos kalo bisa yang ngurus aplikasi digital kaya gini jangan hanya sekedar sarjana tapi pilih yang benar mampu bekerja Banyak yang asal sarjana tapi ga mampu mengelola tugasnya seperti a"&amp;"palikasi ini Banyak juga yang ga sekola tapi skill mumpuni Terima kasih")</f>
        <v>Error saat pendaftaran Developer tolong direspon secepatnya Buat kemensos kalo bisa yang ngurus aplikasi digital kaya gini jangan hanya sekedar sarjana tapi pilih yang benar mampu bekerja Banyak yang asal sarjana tapi ga mampu mengelola tugasnya seperti apalikasi ini Banyak juga yang ga sekola tapi skill mumpuni Terima kasih</v>
      </c>
      <c r="G524" s="18" t="str">
        <f>IFERROR(__xludf.DUMMYFUNCTION("REGEXREPLACE(F524,$A$7, )"),"Error saat pendaftaran Developer tolong direspon secepatnya Buat kemensos kalo bisa yang ngurus aplikasi digital kaya gini jangan hanya sekedar sarjana tapi pilih yang benar mampu bekerja Banyak yang asal sarjana tapi ga mampu mengelola tugasnya seperti a"&amp;"palikasi ini Banyak juga yang ga sekola tapi skill mumpuni Terima kasih")</f>
        <v>Error saat pendaftaran Developer tolong direspon secepatnya Buat kemensos kalo bisa yang ngurus aplikasi digital kaya gini jangan hanya sekedar sarjana tapi pilih yang benar mampu bekerja Banyak yang asal sarjana tapi ga mampu mengelola tugasnya seperti apalikasi ini Banyak juga yang ga sekola tapi skill mumpuni Terima kasih</v>
      </c>
      <c r="H524" s="17" t="str">
        <f t="shared" si="1"/>
        <v>error saat pendaftaran developer tolong direspon secepatnya buat kemensos kalo bisa yang ngurus aplikasi digital kaya gini jangan hanya sekedar sarjana tapi pilih yang benar mampu bekerja banyak yang asal sarjana tapi ga mampu mengelola tugasnya seperti apalikasi ini banyak juga yang ga sekola tapi skill mumpuni terima kasih</v>
      </c>
    </row>
    <row r="525">
      <c r="A525" s="16" t="s">
        <v>520</v>
      </c>
      <c r="B525" s="17" t="str">
        <f>IFERROR(__xludf.DUMMYFUNCTION("REGEXREPLACE(A525,$A$2, )"),"Daftar tgl 6 September, tgl 22 baru di ACC akun pendaftaran nya dan diterima, eh pas mau login kesalahan koneksi, wkwkwk Ini bagaimana aplikasi tidak berfungsi sebagai mana mestinya, tolong dunk ITnya atau Programmer nya diperbaharui.")</f>
        <v>Daftar tgl 6 September, tgl 22 baru di ACC akun pendaftaran nya dan diterima, eh pas mau login kesalahan koneksi, wkwkwk Ini bagaimana aplikasi tidak berfungsi sebagai mana mestinya, tolong dunk ITnya atau Programmer nya diperbaharui.</v>
      </c>
      <c r="C525" s="17" t="str">
        <f>IFERROR(__xludf.DUMMYFUNCTION("REGEXREPLACE(B525,$A$3, )"),"Daftar tgl 6 September, tgl 22 baru di ACC akun pendaftaran nya dan diterima, eh pas mau login kesalahan koneksi, wkwkwk Ini bagaimana aplikasi tidak berfungsi sebagai mana mestinya, tolong dunk ITnya atau Programmer nya diperbaharui.")</f>
        <v>Daftar tgl 6 September, tgl 22 baru di ACC akun pendaftaran nya dan diterima, eh pas mau login kesalahan koneksi, wkwkwk Ini bagaimana aplikasi tidak berfungsi sebagai mana mestinya, tolong dunk ITnya atau Programmer nya diperbaharui.</v>
      </c>
      <c r="D525" s="17" t="str">
        <f>IFERROR(__xludf.DUMMYFUNCTION("REGEXREPLACE(C525,$A$4, )"),"Daftar tgl 6 September, tgl 22 baru di ACC akun pendaftaran nya dan diterima, eh pas mau login kesalahan koneksi, wkwkwk Ini bagaimana aplikasi tidak berfungsi sebagai mana mestinya, tolong dunk ITnya atau Programmer nya diperbaharui.")</f>
        <v>Daftar tgl 6 September, tgl 22 baru di ACC akun pendaftaran nya dan diterima, eh pas mau login kesalahan koneksi, wkwkwk Ini bagaimana aplikasi tidak berfungsi sebagai mana mestinya, tolong dunk ITnya atau Programmer nya diperbaharui.</v>
      </c>
      <c r="E525" s="17" t="str">
        <f>IFERROR(__xludf.DUMMYFUNCTION("REGEXREPLACE(D525,$A$5, )"),"Daftar tgl  September, tgl  baru di ACC akun pendaftaran nya dan diterima, eh pas mau login kesalahan koneksi, wkwkwk Ini bagaimana aplikasi tidak berfungsi sebagai mana mestinya, tolong dunk ITnya atau Programmer nya diperbaharui.")</f>
        <v>Daftar tgl  September, tgl  baru di ACC akun pendaftaran nya dan diterima, eh pas mau login kesalahan koneksi, wkwkwk Ini bagaimana aplikasi tidak berfungsi sebagai mana mestinya, tolong dunk ITnya atau Programmer nya diperbaharui.</v>
      </c>
      <c r="F525" s="17" t="str">
        <f>IFERROR(__xludf.DUMMYFUNCTION("REGEXREPLACE(E525,$A$6, )"),"Daftar tgl  September tgl  baru di ACC akun pendaftaran nya dan diterima eh pas mau login kesalahan koneksi wkwkwk Ini bagaimana aplikasi tidak berfungsi sebagai mana mestinya tolong dunk ITnya atau Programmer nya diperbaharui")</f>
        <v>Daftar tgl  September tgl  baru di ACC akun pendaftaran nya dan diterima eh pas mau login kesalahan koneksi wkwkwk Ini bagaimana aplikasi tidak berfungsi sebagai mana mestinya tolong dunk ITnya atau Programmer nya diperbaharui</v>
      </c>
      <c r="G525" s="18" t="str">
        <f>IFERROR(__xludf.DUMMYFUNCTION("REGEXREPLACE(F525,$A$7, )"),"Daftar tgl  September tgl  baru di ACC akun pendaftaran nya dan diterima eh pas mau login kesalahan koneksi wkwkwk Ini bagaimana aplikasi tidak berfungsi sebagai mana mestinya tolong dunk ITnya atau Programmer nya diperbaharui")</f>
        <v>Daftar tgl  September tgl  baru di ACC akun pendaftaran nya dan diterima eh pas mau login kesalahan koneksi wkwkwk Ini bagaimana aplikasi tidak berfungsi sebagai mana mestinya tolong dunk ITnya atau Programmer nya diperbaharui</v>
      </c>
      <c r="H525" s="17" t="str">
        <f t="shared" si="1"/>
        <v>daftar tgl  september tgl  baru di acc akun pendaftaran nya dan diterima eh pas mau login kesalahan koneksi wkwkwk ini bagaimana aplikasi tidak berfungsi sebagai mana mestinya tolong dunk itnya atau programmer nya diperbaharui</v>
      </c>
    </row>
    <row r="526">
      <c r="A526" s="16" t="s">
        <v>521</v>
      </c>
      <c r="B526" s="17" t="str">
        <f>IFERROR(__xludf.DUMMYFUNCTION("REGEXREPLACE(A526,$A$2, )"),"ga bisa registrasi tolong diperbaiki")</f>
        <v>ga bisa registrasi tolong diperbaiki</v>
      </c>
      <c r="C526" s="17" t="str">
        <f>IFERROR(__xludf.DUMMYFUNCTION("REGEXREPLACE(B526,$A$3, )"),"ga bisa registrasi tolong diperbaiki")</f>
        <v>ga bisa registrasi tolong diperbaiki</v>
      </c>
      <c r="D526" s="17" t="str">
        <f>IFERROR(__xludf.DUMMYFUNCTION("REGEXREPLACE(C526,$A$4, )"),"ga bisa registrasi tolong diperbaiki")</f>
        <v>ga bisa registrasi tolong diperbaiki</v>
      </c>
      <c r="E526" s="17" t="str">
        <f>IFERROR(__xludf.DUMMYFUNCTION("REGEXREPLACE(D526,$A$5, )"),"ga bisa registrasi tolong diperbaiki")</f>
        <v>ga bisa registrasi tolong diperbaiki</v>
      </c>
      <c r="F526" s="17" t="str">
        <f>IFERROR(__xludf.DUMMYFUNCTION("REGEXREPLACE(E526,$A$6, )"),"ga bisa registrasi tolong diperbaiki")</f>
        <v>ga bisa registrasi tolong diperbaiki</v>
      </c>
      <c r="G526" s="18" t="str">
        <f>IFERROR(__xludf.DUMMYFUNCTION("REGEXREPLACE(F526,$A$7, )"),"ga bisa registrasi tolong diperbaiki")</f>
        <v>ga bisa registrasi tolong diperbaiki</v>
      </c>
      <c r="H526" s="17" t="str">
        <f t="shared" si="1"/>
        <v>ga bisa registrasi tolong diperbaiki</v>
      </c>
    </row>
    <row r="527">
      <c r="A527" s="16" t="s">
        <v>522</v>
      </c>
      <c r="B527" s="17" t="str">
        <f>IFERROR(__xludf.DUMMYFUNCTION("REGEXREPLACE(A527,$A$2, )"),"Ikut teman,,,apk ga bermanfaat banget,,cuma mau ngumpuli data🐃")</f>
        <v>Ikut teman,,,apk ga bermanfaat banget,,cuma mau ngumpuli data🐃</v>
      </c>
      <c r="C527" s="17" t="str">
        <f>IFERROR(__xludf.DUMMYFUNCTION("REGEXREPLACE(B527,$A$3, )"),"Ikut teman,,,apk ga bermanfaat banget,,cuma mau ngumpuli data🐃")</f>
        <v>Ikut teman,,,apk ga bermanfaat banget,,cuma mau ngumpuli data🐃</v>
      </c>
      <c r="D527" s="17" t="str">
        <f>IFERROR(__xludf.DUMMYFUNCTION("REGEXREPLACE(C527,$A$4, )"),"Ikut teman,,,apk ga bermanfaat banget,,cuma mau ngumpuli data🐃")</f>
        <v>Ikut teman,,,apk ga bermanfaat banget,,cuma mau ngumpuli data🐃</v>
      </c>
      <c r="E527" s="17" t="str">
        <f>IFERROR(__xludf.DUMMYFUNCTION("REGEXREPLACE(D527,$A$5, )"),"Ikut teman,,,apk ga bermanfaat banget,,cuma mau ngumpuli data🐃")</f>
        <v>Ikut teman,,,apk ga bermanfaat banget,,cuma mau ngumpuli data🐃</v>
      </c>
      <c r="F527" s="17" t="str">
        <f>IFERROR(__xludf.DUMMYFUNCTION("REGEXREPLACE(E527,$A$6, )"),"Ikut temanapk ga bermanfaat bangetcuma mau ngumpuli data🐃")</f>
        <v>Ikut temanapk ga bermanfaat bangetcuma mau ngumpuli data🐃</v>
      </c>
      <c r="G527" s="18" t="str">
        <f>IFERROR(__xludf.DUMMYFUNCTION("REGEXREPLACE(F527,$A$7, )"),"Ikut temanapk ga bermanfaat bangetcuma mau ngumpuli data")</f>
        <v>Ikut temanapk ga bermanfaat bangetcuma mau ngumpuli data</v>
      </c>
      <c r="H527" s="17" t="str">
        <f t="shared" si="1"/>
        <v>ikut temanapk ga bermanfaat bangetcuma mau ngumpuli data</v>
      </c>
    </row>
    <row r="528">
      <c r="A528" s="16" t="s">
        <v>523</v>
      </c>
      <c r="B528" s="17" t="str">
        <f>IFERROR(__xludf.DUMMYFUNCTION("REGEXREPLACE(A528,$A$2, )"),"Semua pasti butuh bantuan tapi kalau yang namanya sistem pasti tidak jelas arah tujuannya, kembali untuk yang manual jelas2 ibu saya yang janda dapat lansia, bansos,dan sekarang blt bbm sudah ada di sistem developer website yang bisa di lihat semua kalang"&amp;"an, tapi apa kenyataannya setelah konfirmasi ke kelurahan dengan mudahnya cuma bilang surat sudah di kembalikan dengan alasan tidak menetap, padahal setiap bulan ibu saya bayar iuran rt/rw dan sering melihat rumahnya.")</f>
        <v>Semua pasti butuh bantuan tapi kalau yang namanya sistem pasti tidak jelas arah tujuannya, kembali untuk yang manual jelas2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c r="C528" s="17" t="str">
        <f>IFERROR(__xludf.DUMMYFUNCTION("REGEXREPLACE(B528,$A$3, )"),"Semua pasti butuh bantuan tapi kalau yang namanya sistem pasti tidak jelas arah tujuannya, kembali untuk yang manual jelas2 ibu saya yang janda dapat lansia, bansos,dan sekarang blt bbm sudah ada di sistem developer website yang bisa di lihat semua kalang"&amp;"an, tapi apa kenyataannya setelah konfirmasi ke kelurahan dengan mudahnya cuma bilang surat sudah di kembalikan dengan alasan tidak menetap, padahal setiap bulan ibu saya bayar iuran rt/rw dan sering melihat rumahnya.")</f>
        <v>Semua pasti butuh bantuan tapi kalau yang namanya sistem pasti tidak jelas arah tujuannya, kembali untuk yang manual jelas2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c r="D528" s="17" t="str">
        <f>IFERROR(__xludf.DUMMYFUNCTION("REGEXREPLACE(C528,$A$4, )"),"Semua pasti butuh bantuan tapi kalau yang namanya sistem pasti tidak jelas arah tujuannya, kembali untuk yang manual jelas2 ibu saya yang janda dapat lansia, bansos,dan sekarang blt bbm sudah ada di sistem developer website yang bisa di lihat semua kalang"&amp;"an, tapi apa kenyataannya setelah konfirmasi ke kelurahan dengan mudahnya cuma bilang surat sudah di kembalikan dengan alasan tidak menetap, padahal setiap bulan ibu saya bayar iuran rt/rw dan sering melihat rumahnya.")</f>
        <v>Semua pasti butuh bantuan tapi kalau yang namanya sistem pasti tidak jelas arah tujuannya, kembali untuk yang manual jelas2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c r="E528" s="17" t="str">
        <f>IFERROR(__xludf.DUMMYFUNCTION("REGEXREPLACE(D528,$A$5, )"),"Semua pasti butuh bantuan tapi kalau yang namanya sistem pasti tidak jelas arah tujuannya, kembali untuk yang manual jelas ibu saya yang janda dapat lansia, bansos,dan sekarang blt bbm sudah ada di sistem developer website yang bisa di lihat semua kalanga"&amp;"n, tapi apa kenyataannya setelah konfirmasi ke kelurahan dengan mudahnya cuma bilang surat sudah di kembalikan dengan alasan tidak menetap, padahal setiap bulan ibu saya bayar iuran rt/rw dan sering melihat rumahnya.")</f>
        <v>Semua pasti butuh bantuan tapi kalau yang namanya sistem pasti tidak jelas arah tujuannya, kembali untuk yang manual jelas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c r="F528" s="17" t="str">
        <f>IFERROR(__xludf.DUMMYFUNCTION("REGEXREPLACE(E528,$A$6, )"),"Semua pasti butuh bantuan tapi kalau yang namanya sistem pasti tidak jelas arah tujuannya kembali untuk yang manual jelas ibu saya yang janda dapat lansia bansosdan sekarang blt bbm sudah ada di sistem developer website yang bisa di lihat semua kalangan t"&amp;"api apa kenyataannya setelah konfirmasi ke kelurahan dengan mudahnya cuma bilang surat sudah di kembalikan dengan alasan tidak menetap padahal setiap bulan ibu saya bayar iuran rtrw dan sering melihat rumahnya")</f>
        <v>Semua pasti butuh bantuan tapi kalau yang namanya sistem pasti tidak jelas arah tujuannya kembali untuk yang manual jelas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c r="G528" s="18" t="str">
        <f>IFERROR(__xludf.DUMMYFUNCTION("REGEXREPLACE(F528,$A$7, )"),"Semua pasti butuh bantuan tapi kalau yang namanya sistem pasti tidak jelas arah tujuannya kembali untuk yang manual jelas ibu saya yang janda dapat lansia bansosdan sekarang blt bbm sudah ada di sistem developer website yang bisa di lihat semua kalangan t"&amp;"api apa kenyataannya setelah konfirmasi ke kelurahan dengan mudahnya cuma bilang surat sudah di kembalikan dengan alasan tidak menetap padahal setiap bulan ibu saya bayar iuran rtrw dan sering melihat rumahnya")</f>
        <v>Semua pasti butuh bantuan tapi kalau yang namanya sistem pasti tidak jelas arah tujuannya kembali untuk yang manual jelas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c r="H528" s="17" t="str">
        <f t="shared" si="1"/>
        <v>semua pasti butuh bantuan tapi kalau yang namanya sistem pasti tidak jelas arah tujuannya kembali untuk yang manual jelas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row>
    <row r="529">
      <c r="A529" s="16" t="s">
        <v>524</v>
      </c>
      <c r="B529" s="17" t="str">
        <f>IFERROR(__xludf.DUMMYFUNCTION("REGEXREPLACE(A529,$A$2, )"),"Aplikasi rusak benerin bug aja ga bisa, masa iya aplikasi kek begini bisa dilolosin sama developer sekelas pemerintahan pake otak lah kalo mau begoin rakyat, berkali kali daftar tetep aja eror. Mungkin emang udah settingan biar pada ga bisa daftar supaya "&amp;"bisa dikorupsiin.")</f>
        <v>Aplikasi rusak benerin bug aja ga bisa, masa iya aplikasi kek begini bisa dilolosin sama developer sekelas pemerintahan pake otak lah kalo mau begoin rakyat, berkali kali daftar tetep aja eror. Mungkin emang udah settingan biar pada ga bisa daftar supaya bisa dikorupsiin.</v>
      </c>
      <c r="C529" s="17" t="str">
        <f>IFERROR(__xludf.DUMMYFUNCTION("REGEXREPLACE(B529,$A$3, )"),"Aplikasi rusak benerin bug aja ga bisa, masa iya aplikasi kek begini bisa dilolosin sama developer sekelas pemerintahan pake otak lah kalo mau begoin rakyat, berkali kali daftar tetep aja eror. Mungkin emang udah settingan biar pada ga bisa daftar supaya "&amp;"bisa dikorupsiin.")</f>
        <v>Aplikasi rusak benerin bug aja ga bisa, masa iya aplikasi kek begini bisa dilolosin sama developer sekelas pemerintahan pake otak lah kalo mau begoin rakyat, berkali kali daftar tetep aja eror. Mungkin emang udah settingan biar pada ga bisa daftar supaya bisa dikorupsiin.</v>
      </c>
      <c r="D529" s="17" t="str">
        <f>IFERROR(__xludf.DUMMYFUNCTION("REGEXREPLACE(C529,$A$4, )"),"Aplikasi rusak benerin bug aja ga bisa, masa iya aplikasi kek begini bisa dilolosin sama developer sekelas pemerintahan pake otak lah kalo mau begoin rakyat, berkali kali daftar tetep aja eror. Mungkin emang udah settingan biar pada ga bisa daftar supaya "&amp;"bisa dikorupsiin.")</f>
        <v>Aplikasi rusak benerin bug aja ga bisa, masa iya aplikasi kek begini bisa dilolosin sama developer sekelas pemerintahan pake otak lah kalo mau begoin rakyat, berkali kali daftar tetep aja eror. Mungkin emang udah settingan biar pada ga bisa daftar supaya bisa dikorupsiin.</v>
      </c>
      <c r="E529" s="17" t="str">
        <f>IFERROR(__xludf.DUMMYFUNCTION("REGEXREPLACE(D529,$A$5, )"),"Aplikasi rusak benerin bug aja ga bisa, masa iya aplikasi kek begini bisa dilolosin sama developer sekelas pemerintahan pake otak lah kalo mau begoin rakyat, berkali kali daftar tetep aja eror. Mungkin emang udah settingan biar pada ga bisa daftar supaya "&amp;"bisa dikorupsiin.")</f>
        <v>Aplikasi rusak benerin bug aja ga bisa, masa iya aplikasi kek begini bisa dilolosin sama developer sekelas pemerintahan pake otak lah kalo mau begoin rakyat, berkali kali daftar tetep aja eror. Mungkin emang udah settingan biar pada ga bisa daftar supaya bisa dikorupsiin.</v>
      </c>
      <c r="F529" s="17" t="str">
        <f>IFERROR(__xludf.DUMMYFUNCTION("REGEXREPLACE(E529,$A$6, )"),"Aplikasi rusak benerin bug aja ga bisa masa iya aplikasi kek begini bisa dilolosin sama developer sekelas pemerintahan pake otak lah kalo mau begoin rakyat berkali kali daftar tetep aja eror Mungkin emang udah settingan biar pada ga bisa daftar supaya bis"&amp;"a dikorupsiin")</f>
        <v>Aplikasi rusak benerin bug aja ga bisa masa iya aplikasi kek begini bisa dilolosin sama developer sekelas pemerintahan pake otak lah kalo mau begoin rakyat berkali kali daftar tetep aja eror Mungkin emang udah settingan biar pada ga bisa daftar supaya bisa dikorupsiin</v>
      </c>
      <c r="G529" s="18" t="str">
        <f>IFERROR(__xludf.DUMMYFUNCTION("REGEXREPLACE(F529,$A$7, )"),"Aplikasi rusak benerin bug aja ga bisa masa iya aplikasi kek begini bisa dilolosin sama developer sekelas pemerintahan pake otak lah kalo mau begoin rakyat berkali kali daftar tetep aja eror Mungkin emang udah settingan biar pada ga bisa daftar supaya bis"&amp;"a dikorupsiin")</f>
        <v>Aplikasi rusak benerin bug aja ga bisa masa iya aplikasi kek begini bisa dilolosin sama developer sekelas pemerintahan pake otak lah kalo mau begoin rakyat berkali kali daftar tetep aja eror Mungkin emang udah settingan biar pada ga bisa daftar supaya bisa dikorupsiin</v>
      </c>
      <c r="H529" s="17" t="str">
        <f t="shared" si="1"/>
        <v>aplikasi rusak benerin bug aja ga bisa masa iya aplikasi kek begini bisa dilolosin sama developer sekelas pemerintahan pake otak lah kalo mau begoin rakyat berkali kali daftar tetep aja eror mungkin emang udah settingan biar pada ga bisa daftar supaya bisa dikorupsiin</v>
      </c>
    </row>
    <row r="530">
      <c r="A530" s="16" t="s">
        <v>525</v>
      </c>
      <c r="B530" s="17" t="str">
        <f>IFERROR(__xludf.DUMMYFUNCTION("REGEXREPLACE(A530,$A$2, )"),"Data sudah diisi semua, tapi pas klik buat akun baru selalu muncul tulisan connection reset. Maksudnya apa ya? Koq sesulit ini mau daftar aja. Please perbaiki bug yg mengganggu. Aplikasi seharusnya memudahkan bukan menyulitkan.")</f>
        <v>Data sudah diisi semua, tapi pas klik buat akun baru selalu muncul tulisan connection reset. Maksudnya apa ya? Koq sesulit ini mau daftar aja. Please perbaiki bug yg mengganggu. Aplikasi seharusnya memudahkan bukan menyulitkan.</v>
      </c>
      <c r="C530" s="17" t="str">
        <f>IFERROR(__xludf.DUMMYFUNCTION("REGEXREPLACE(B530,$A$3, )"),"Data sudah diisi semua, tapi pas klik buat akun baru selalu muncul tulisan connection reset. Maksudnya apa ya? Koq sesulit ini mau daftar aja. Please perbaiki bug yg mengganggu. Aplikasi seharusnya memudahkan bukan menyulitkan.")</f>
        <v>Data sudah diisi semua, tapi pas klik buat akun baru selalu muncul tulisan connection reset. Maksudnya apa ya? Koq sesulit ini mau daftar aja. Please perbaiki bug yg mengganggu. Aplikasi seharusnya memudahkan bukan menyulitkan.</v>
      </c>
      <c r="D530" s="17" t="str">
        <f>IFERROR(__xludf.DUMMYFUNCTION("REGEXREPLACE(C530,$A$4, )"),"Data sudah diisi semua, tapi pas klik buat akun baru selalu muncul tulisan connection reset. Maksudnya apa ya? Koq sesulit ini mau daftar aja. Please perbaiki bug yg mengganggu. Aplikasi seharusnya memudahkan bukan menyulitkan.")</f>
        <v>Data sudah diisi semua, tapi pas klik buat akun baru selalu muncul tulisan connection reset. Maksudnya apa ya? Koq sesulit ini mau daftar aja. Please perbaiki bug yg mengganggu. Aplikasi seharusnya memudahkan bukan menyulitkan.</v>
      </c>
      <c r="E530" s="17" t="str">
        <f>IFERROR(__xludf.DUMMYFUNCTION("REGEXREPLACE(D530,$A$5, )"),"Data sudah diisi semua, tapi pas klik buat akun baru selalu muncul tulisan connection reset. Maksudnya apa ya? Koq sesulit ini mau daftar aja. Please perbaiki bug yg mengganggu. Aplikasi seharusnya memudahkan bukan menyulitkan.")</f>
        <v>Data sudah diisi semua, tapi pas klik buat akun baru selalu muncul tulisan connection reset. Maksudnya apa ya? Koq sesulit ini mau daftar aja. Please perbaiki bug yg mengganggu. Aplikasi seharusnya memudahkan bukan menyulitkan.</v>
      </c>
      <c r="F530" s="17" t="str">
        <f>IFERROR(__xludf.DUMMYFUNCTION("REGEXREPLACE(E530,$A$6, )"),"Data sudah diisi semua tapi pas klik buat akun baru selalu muncul tulisan connection reset Maksudnya apa ya Koq sesulit ini mau daftar aja Please perbaiki bug yg mengganggu Aplikasi seharusnya memudahkan bukan menyulitkan")</f>
        <v>Data sudah diisi semua tapi pas klik buat akun baru selalu muncul tulisan connection reset Maksudnya apa ya Koq sesulit ini mau daftar aja Please perbaiki bug yg mengganggu Aplikasi seharusnya memudahkan bukan menyulitkan</v>
      </c>
      <c r="G530" s="18" t="str">
        <f>IFERROR(__xludf.DUMMYFUNCTION("REGEXREPLACE(F530,$A$7, )"),"Data sudah diisi semua tapi pas klik buat akun baru selalu muncul tulisan connection reset Maksudnya apa ya Koq sesulit ini mau daftar aja Please perbaiki bug yg mengganggu Aplikasi seharusnya memudahkan bukan menyulitkan")</f>
        <v>Data sudah diisi semua tapi pas klik buat akun baru selalu muncul tulisan connection reset Maksudnya apa ya Koq sesulit ini mau daftar aja Please perbaiki bug yg mengganggu Aplikasi seharusnya memudahkan bukan menyulitkan</v>
      </c>
      <c r="H530" s="17" t="str">
        <f t="shared" si="1"/>
        <v>data sudah diisi semua tapi pas klik buat akun baru selalu muncul tulisan connection reset maksudnya apa ya koq sesulit ini mau daftar aja please perbaiki bug yg mengganggu aplikasi seharusnya memudahkan bukan menyulitkan</v>
      </c>
    </row>
    <row r="531">
      <c r="A531" s="16" t="s">
        <v>526</v>
      </c>
      <c r="B531" s="17" t="str">
        <f>IFERROR(__xludf.DUMMYFUNCTION("REGEXREPLACE(A531,$A$2, )"),"Aplikasi macam apa ini?! Bukannya memudahkan masyarakan malah mempersulit masyarakat. Pas mau daftar malah muncul tulisan connection error padahal koneksi lancar jaya. APLIKASI JELEK MENYUSAHKAN RAKYAT")</f>
        <v>Aplikasi macam apa ini?! Bukannya memudahkan masyarakan malah mempersulit masyarakat. Pas mau daftar malah muncul tulisan connection error padahal koneksi lancar jaya. APLIKASI JELEK MENYUSAHKAN RAKYAT</v>
      </c>
      <c r="C531" s="17" t="str">
        <f>IFERROR(__xludf.DUMMYFUNCTION("REGEXREPLACE(B531,$A$3, )"),"Aplikasi macam apa ini?! Bukannya memudahkan masyarakan malah mempersulit masyarakat. Pas mau daftar malah muncul tulisan connection error padahal koneksi lancar jaya. APLIKASI JELEK MENYUSAHKAN RAKYAT")</f>
        <v>Aplikasi macam apa ini?! Bukannya memudahkan masyarakan malah mempersulit masyarakat. Pas mau daftar malah muncul tulisan connection error padahal koneksi lancar jaya. APLIKASI JELEK MENYUSAHKAN RAKYAT</v>
      </c>
      <c r="D531" s="17" t="str">
        <f>IFERROR(__xludf.DUMMYFUNCTION("REGEXREPLACE(C531,$A$4, )"),"Aplikasi macam apa ini?! Bukannya memudahkan masyarakan malah mempersulit masyarakat. Pas mau daftar malah muncul tulisan connection error padahal koneksi lancar jaya. APLIKASI JELEK MENYUSAHKAN RAKYAT")</f>
        <v>Aplikasi macam apa ini?! Bukannya memudahkan masyarakan malah mempersulit masyarakat. Pas mau daftar malah muncul tulisan connection error padahal koneksi lancar jaya. APLIKASI JELEK MENYUSAHKAN RAKYAT</v>
      </c>
      <c r="E531" s="17" t="str">
        <f>IFERROR(__xludf.DUMMYFUNCTION("REGEXREPLACE(D531,$A$5, )"),"Aplikasi macam apa ini?! Bukannya memudahkan masyarakan malah mempersulit masyarakat. Pas mau daftar malah muncul tulisan connection error padahal koneksi lancar jaya. APLIKASI JELEK MENYUSAHKAN RAKYAT")</f>
        <v>Aplikasi macam apa ini?! Bukannya memudahkan masyarakan malah mempersulit masyarakat. Pas mau daftar malah muncul tulisan connection error padahal koneksi lancar jaya. APLIKASI JELEK MENYUSAHKAN RAKYAT</v>
      </c>
      <c r="F531" s="17" t="str">
        <f>IFERROR(__xludf.DUMMYFUNCTION("REGEXREPLACE(E531,$A$6, )"),"Aplikasi macam apa ini Bukannya memudahkan masyarakan malah mempersulit masyarakat Pas mau daftar malah muncul tulisan connection error padahal koneksi lancar jaya APLIKASI JELEK MENYUSAHKAN RAKYAT")</f>
        <v>Aplikasi macam apa ini Bukannya memudahkan masyarakan malah mempersulit masyarakat Pas mau daftar malah muncul tulisan connection error padahal koneksi lancar jaya APLIKASI JELEK MENYUSAHKAN RAKYAT</v>
      </c>
      <c r="G531" s="18" t="str">
        <f>IFERROR(__xludf.DUMMYFUNCTION("REGEXREPLACE(F531,$A$7, )"),"Aplikasi macam apa ini Bukannya memudahkan masyarakan malah mempersulit masyarakat Pas mau daftar malah muncul tulisan connection error padahal koneksi lancar jaya APLIKASI JELEK MENYUSAHKAN RAKYAT")</f>
        <v>Aplikasi macam apa ini Bukannya memudahkan masyarakan malah mempersulit masyarakat Pas mau daftar malah muncul tulisan connection error padahal koneksi lancar jaya APLIKASI JELEK MENYUSAHKAN RAKYAT</v>
      </c>
      <c r="H531" s="17" t="str">
        <f t="shared" si="1"/>
        <v>aplikasi macam apa ini bukannya memudahkan masyarakan malah mempersulit masyarakat pas mau daftar malah muncul tulisan connection error padahal koneksi lancar jaya aplikasi jelek menyusahkan rakyat</v>
      </c>
    </row>
    <row r="532">
      <c r="A532" s="16" t="s">
        <v>527</v>
      </c>
      <c r="B532" s="17" t="str">
        <f>IFERROR(__xludf.DUMMYFUNCTION("REGEXREPLACE(A532,$A$2, )"),"Aplikasi yg katanya buat mempermudah masyarakat emang gada yg bener.. sengaja kali ya ngeprank rakyatnya.")</f>
        <v>Aplikasi yg katanya buat mempermudah masyarakat emang gada yg bener.. sengaja kali ya ngeprank rakyatnya.</v>
      </c>
      <c r="C532" s="17" t="str">
        <f>IFERROR(__xludf.DUMMYFUNCTION("REGEXREPLACE(B532,$A$3, )"),"Aplikasi yg katanya buat mempermudah masyarakat emang gada yg bener.. sengaja kali ya ngeprank rakyatnya.")</f>
        <v>Aplikasi yg katanya buat mempermudah masyarakat emang gada yg bener.. sengaja kali ya ngeprank rakyatnya.</v>
      </c>
      <c r="D532" s="17" t="str">
        <f>IFERROR(__xludf.DUMMYFUNCTION("REGEXREPLACE(C532,$A$4, )"),"Aplikasi yg katanya buat mempermudah masyarakat emang gada yg bener.. sengaja kali ya ngeprank rakyatnya.")</f>
        <v>Aplikasi yg katanya buat mempermudah masyarakat emang gada yg bener.. sengaja kali ya ngeprank rakyatnya.</v>
      </c>
      <c r="E532" s="17" t="str">
        <f>IFERROR(__xludf.DUMMYFUNCTION("REGEXREPLACE(D532,$A$5, )"),"Aplikasi yg katanya buat mempermudah masyarakat emang gada yg bener.. sengaja kali ya ngeprank rakyatnya.")</f>
        <v>Aplikasi yg katanya buat mempermudah masyarakat emang gada yg bener.. sengaja kali ya ngeprank rakyatnya.</v>
      </c>
      <c r="F532" s="17" t="str">
        <f>IFERROR(__xludf.DUMMYFUNCTION("REGEXREPLACE(E532,$A$6, )"),"Aplikasi yg katanya buat mempermudah masyarakat emang gada yg bener sengaja kali ya ngeprank rakyatnya")</f>
        <v>Aplikasi yg katanya buat mempermudah masyarakat emang gada yg bener sengaja kali ya ngeprank rakyatnya</v>
      </c>
      <c r="G532" s="18" t="str">
        <f>IFERROR(__xludf.DUMMYFUNCTION("REGEXREPLACE(F532,$A$7, )"),"Aplikasi yg katanya buat mempermudah masyarakat emang gada yg bener sengaja kali ya ngeprank rakyatnya")</f>
        <v>Aplikasi yg katanya buat mempermudah masyarakat emang gada yg bener sengaja kali ya ngeprank rakyatnya</v>
      </c>
      <c r="H532" s="17" t="str">
        <f t="shared" si="1"/>
        <v>aplikasi yg katanya buat mempermudah masyarakat emang gada yg bener sengaja kali ya ngeprank rakyatnya</v>
      </c>
    </row>
    <row r="533">
      <c r="A533" s="16" t="s">
        <v>528</v>
      </c>
      <c r="B533" s="17" t="str">
        <f>IFERROR(__xludf.DUMMYFUNCTION("REGEXREPLACE(A533,$A$2, )"),"Aplikasinya ADA ERROR bos, perbaiki lagi aplikasinya bos. Muncul POPUP error saat kita pilih kecamatan, dengan tulisan ""Error Json Parse"". Saran kami, serahkan kepada orang yg punya kemampuan dan ahlinya bikin aplikasi untuk urusan orang banyak ini supa"&amp;"ya tidak error terus, dan sebelum di upload ke online di playstore di tes dulu secara offline lakukan cek dan ricek. Satu lagi untuk Proses verifikasi mendaftar dan verifikasi usulan tolong dipercepat juga. Semoga lebih baik lagi aplikasinya.")</f>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c r="C533" s="17" t="str">
        <f>IFERROR(__xludf.DUMMYFUNCTION("REGEXREPLACE(B533,$A$3, )"),"Aplikasinya ADA ERROR bos, perbaiki lagi aplikasinya bos. Muncul POPUP error saat kita pilih kecamatan, dengan tulisan ""Error Json Parse"". Saran kami, serahkan kepada orang yg punya kemampuan dan ahlinya bikin aplikasi untuk urusan orang banyak ini supa"&amp;"ya tidak error terus, dan sebelum di upload ke online di playstore di tes dulu secara offline lakukan cek dan ricek. Satu lagi untuk Proses verifikasi mendaftar dan verifikasi usulan tolong dipercepat juga. Semoga lebih baik lagi aplikasinya.")</f>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c r="D533" s="17" t="str">
        <f>IFERROR(__xludf.DUMMYFUNCTION("REGEXREPLACE(C533,$A$4, )"),"Aplikasinya ADA ERROR bos, perbaiki lagi aplikasinya bos. Muncul POPUP error saat kita pilih kecamatan, dengan tulisan ""Error Json Parse"". Saran kami, serahkan kepada orang yg punya kemampuan dan ahlinya bikin aplikasi untuk urusan orang banyak ini supa"&amp;"ya tidak error terus, dan sebelum di upload ke online di playstore di tes dulu secara offline lakukan cek dan ricek. Satu lagi untuk Proses verifikasi mendaftar dan verifikasi usulan tolong dipercepat juga. Semoga lebih baik lagi aplikasinya.")</f>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c r="E533" s="17" t="str">
        <f>IFERROR(__xludf.DUMMYFUNCTION("REGEXREPLACE(D533,$A$5, )"),"Aplikasinya ADA ERROR bos, perbaiki lagi aplikasinya bos. Muncul POPUP error saat kita pilih kecamatan, dengan tulisan ""Error Json Parse"". Saran kami, serahkan kepada orang yg punya kemampuan dan ahlinya bikin aplikasi untuk urusan orang banyak ini supa"&amp;"ya tidak error terus, dan sebelum di upload ke online di playstore di tes dulu secara offline lakukan cek dan ricek. Satu lagi untuk Proses verifikasi mendaftar dan verifikasi usulan tolong dipercepat juga. Semoga lebih baik lagi aplikasinya.")</f>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c r="F533" s="17" t="str">
        <f>IFERROR(__xludf.DUMMYFUNCTION("REGEXREPLACE(E533,$A$6, )"),"Aplikasinya ADA ERROR bos perbaiki lagi aplikasinya bos Muncul POPUP error saat kita pilih kecamatan dengan tulisan Error Json Parse Saran kami serahkan kepada orang yg punya kemampuan dan ahlinya bikin aplikasi untuk urusan orang banyak ini supaya tidak "&amp;"error terus dan sebelum di upload ke online di playstore di tes dulu secara offline lakukan cek dan ricek Satu lagi untuk Proses verifikasi mendaftar dan verifikasi usulan tolong dipercepat juga Semoga lebih baik lagi aplikasinya")</f>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c r="G533" s="18" t="str">
        <f>IFERROR(__xludf.DUMMYFUNCTION("REGEXREPLACE(F533,$A$7, )"),"Aplikasinya ADA ERROR bos perbaiki lagi aplikasinya bos Muncul POPUP error saat kita pilih kecamatan dengan tulisan Error Json Parse Saran kami serahkan kepada orang yg punya kemampuan dan ahlinya bikin aplikasi untuk urusan orang banyak ini supaya tidak "&amp;"error terus dan sebelum di upload ke online di playstore di tes dulu secara offline lakukan cek dan ricek Satu lagi untuk Proses verifikasi mendaftar dan verifikasi usulan tolong dipercepat juga Semoga lebih baik lagi aplikasinya")</f>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c r="H533" s="17" t="str">
        <f t="shared" si="1"/>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row>
    <row r="534">
      <c r="A534" s="16" t="s">
        <v>529</v>
      </c>
      <c r="B534" s="17" t="str">
        <f>IFERROR(__xludf.DUMMYFUNCTION("REGEXREPLACE(A534,$A$2, )"),"Saya sudah daftar akun baru dan swafoto bersama ktp dan foto ktp dan semua data sya isi dengan lengkap dan benar. Kenapa setelah semua data masuk malah tdk bisa login dan klo login muncul username tidak terdeteksi. Padahal semua data sdh sya isi dgn benar"&amp;". Mohon penjelasannya admin. Terimakasih")</f>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c r="C534" s="17" t="str">
        <f>IFERROR(__xludf.DUMMYFUNCTION("REGEXREPLACE(B534,$A$3, )"),"Saya sudah daftar akun baru dan swafoto bersama ktp dan foto ktp dan semua data sya isi dengan lengkap dan benar. Kenapa setelah semua data masuk malah tdk bisa login dan klo login muncul username tidak terdeteksi. Padahal semua data sdh sya isi dgn benar"&amp;". Mohon penjelasannya admin. Terimakasih")</f>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c r="D534" s="17" t="str">
        <f>IFERROR(__xludf.DUMMYFUNCTION("REGEXREPLACE(C534,$A$4, )"),"Saya sudah daftar akun baru dan swafoto bersama ktp dan foto ktp dan semua data sya isi dengan lengkap dan benar. Kenapa setelah semua data masuk malah tdk bisa login dan klo login muncul username tidak terdeteksi. Padahal semua data sdh sya isi dgn benar"&amp;". Mohon penjelasannya admin. Terimakasih")</f>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c r="E534" s="17" t="str">
        <f>IFERROR(__xludf.DUMMYFUNCTION("REGEXREPLACE(D534,$A$5, )"),"Saya sudah daftar akun baru dan swafoto bersama ktp dan foto ktp dan semua data sya isi dengan lengkap dan benar. Kenapa setelah semua data masuk malah tdk bisa login dan klo login muncul username tidak terdeteksi. Padahal semua data sdh sya isi dgn benar"&amp;". Mohon penjelasannya admin. Terimakasih")</f>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c r="F534" s="17" t="str">
        <f>IFERROR(__xludf.DUMMYFUNCTION("REGEXREPLACE(E534,$A$6, )"),"Saya sudah daftar akun baru dan swafoto bersama ktp dan foto ktp dan semua data sya isi dengan lengkap dan benar Kenapa setelah semua data masuk malah tdk bisa login dan klo login muncul username tidak terdeteksi Padahal semua data sdh sya isi dgn benar M"&amp;"ohon penjelasannya admin Terimakasih")</f>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c r="G534" s="18" t="str">
        <f>IFERROR(__xludf.DUMMYFUNCTION("REGEXREPLACE(F534,$A$7, )"),"Saya sudah daftar akun baru dan swafoto bersama ktp dan foto ktp dan semua data sya isi dengan lengkap dan benar Kenapa setelah semua data masuk malah tdk bisa login dan klo login muncul username tidak terdeteksi Padahal semua data sdh sya isi dgn benar M"&amp;"ohon penjelasannya admin Terimakasih")</f>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c r="H534" s="17" t="str">
        <f t="shared" si="1"/>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row>
    <row r="535">
      <c r="A535" s="16" t="s">
        <v>530</v>
      </c>
      <c r="B535" s="17" t="str">
        <f>IFERROR(__xludf.DUMMYFUNCTION("REGEXREPLACE(A535,$A$2, )"),"Aplikasi ini tidak bisa digunakan/setiap kali mau masuk yg muncul di layar cuma username dan password tidak di kenal/belum di aktivasi, sampai berkali-kali Sy coba &amp; menunggu kapan di aktivasi Bolak-balik cek email tp belum ada balasan dari aplikasi ini.")</f>
        <v>Aplikasi ini tidak bisa digunakan/setiap kali mau masuk yg muncul di layar cuma username dan password tidak di kenal/belum di aktivasi, sampai berkali-kali Sy coba &amp; menunggu kapan di aktivasi Bolak-balik cek email tp belum ada balasan dari aplikasi ini.</v>
      </c>
      <c r="C535" s="17" t="str">
        <f>IFERROR(__xludf.DUMMYFUNCTION("REGEXREPLACE(B535,$A$3, )"),"Aplikasi ini tidak bisa digunakan/setiap kali mau masuk yg muncul di layar cuma username dan password tidak di kenal/belum di aktivasi, sampai berkali-kali Sy coba &amp; menunggu kapan di aktivasi Bolak-balik cek email tp belum ada balasan dari aplikasi ini.")</f>
        <v>Aplikasi ini tidak bisa digunakan/setiap kali mau masuk yg muncul di layar cuma username dan password tidak di kenal/belum di aktivasi, sampai berkali-kali Sy coba &amp; menunggu kapan di aktivasi Bolak-balik cek email tp belum ada balasan dari aplikasi ini.</v>
      </c>
      <c r="D535" s="17" t="str">
        <f>IFERROR(__xludf.DUMMYFUNCTION("REGEXREPLACE(C535,$A$4, )"),"Aplikasi ini tidak bisa digunakan/setiap kali mau masuk yg muncul di layar cuma username dan password tidak di kenal/belum di aktivasi, sampai berkali-kali Sy coba &amp; menunggu kapan di aktivasi Bolak-balik cek email tp belum ada balasan dari aplikasi ini.")</f>
        <v>Aplikasi ini tidak bisa digunakan/setiap kali mau masuk yg muncul di layar cuma username dan password tidak di kenal/belum di aktivasi, sampai berkali-kali Sy coba &amp; menunggu kapan di aktivasi Bolak-balik cek email tp belum ada balasan dari aplikasi ini.</v>
      </c>
      <c r="E535" s="17" t="str">
        <f>IFERROR(__xludf.DUMMYFUNCTION("REGEXREPLACE(D535,$A$5, )"),"Aplikasi ini tidak bisa digunakan/setiap kali mau masuk yg muncul di layar cuma username dan password tidak di kenal/belum di aktivasi, sampai berkali-kali Sy coba &amp; menunggu kapan di aktivasi Bolak-balik cek email tp belum ada balasan dari aplikasi ini.")</f>
        <v>Aplikasi ini tidak bisa digunakan/setiap kali mau masuk yg muncul di layar cuma username dan password tidak di kenal/belum di aktivasi, sampai berkali-kali Sy coba &amp; menunggu kapan di aktivasi Bolak-balik cek email tp belum ada balasan dari aplikasi ini.</v>
      </c>
      <c r="F535" s="17" t="str">
        <f>IFERROR(__xludf.DUMMYFUNCTION("REGEXREPLACE(E535,$A$6, )"),"Aplikasi ini tidak bisa digunakansetiap kali mau masuk yg muncul di layar cuma username dan password tidak di kenalbelum di aktivasi sampai berkalikali Sy coba &amp; menunggu kapan di aktivasi Bolakbalik cek email tp belum ada balasan dari aplikasi ini")</f>
        <v>Aplikasi ini tidak bisa digunakansetiap kali mau masuk yg muncul di layar cuma username dan password tidak di kenalbelum di aktivasi sampai berkalikali Sy coba &amp; menunggu kapan di aktivasi Bolakbalik cek email tp belum ada balasan dari aplikasi ini</v>
      </c>
      <c r="G535" s="18" t="str">
        <f>IFERROR(__xludf.DUMMYFUNCTION("REGEXREPLACE(F535,$A$7, )"),"Aplikasi ini tidak bisa digunakansetiap kali mau masuk yg muncul di layar cuma username dan password tidak di kenalbelum di aktivasi sampai berkalikali Sy coba &amp; menunggu kapan di aktivasi Bolakbalik cek email tp belum ada balasan dari aplikasi ini")</f>
        <v>Aplikasi ini tidak bisa digunakansetiap kali mau masuk yg muncul di layar cuma username dan password tidak di kenalbelum di aktivasi sampai berkalikali Sy coba &amp; menunggu kapan di aktivasi Bolakbalik cek email tp belum ada balasan dari aplikasi ini</v>
      </c>
      <c r="H535" s="17" t="str">
        <f t="shared" si="1"/>
        <v>aplikasi ini tidak bisa digunakansetiap kali mau masuk yg muncul di layar cuma username dan password tidak di kenalbelum di aktivasi sampai berkalikali sy coba &amp; menunggu kapan di aktivasi bolakbalik cek email tp belum ada balasan dari aplikasi ini</v>
      </c>
    </row>
    <row r="536">
      <c r="A536" s="16" t="s">
        <v>531</v>
      </c>
      <c r="B536" s="17" t="str">
        <f>IFERROR(__xludf.DUMMYFUNCTION("REGEXREPLACE(A536,$A$2, )"),"Aplikasi eror mulu mau daftar gak bisa terus")</f>
        <v>Aplikasi eror mulu mau daftar gak bisa terus</v>
      </c>
      <c r="C536" s="17" t="str">
        <f>IFERROR(__xludf.DUMMYFUNCTION("REGEXREPLACE(B536,$A$3, )"),"Aplikasi eror mulu mau daftar gak bisa terus")</f>
        <v>Aplikasi eror mulu mau daftar gak bisa terus</v>
      </c>
      <c r="D536" s="17" t="str">
        <f>IFERROR(__xludf.DUMMYFUNCTION("REGEXREPLACE(C536,$A$4, )"),"Aplikasi eror mulu mau daftar gak bisa terus")</f>
        <v>Aplikasi eror mulu mau daftar gak bisa terus</v>
      </c>
      <c r="E536" s="17" t="str">
        <f>IFERROR(__xludf.DUMMYFUNCTION("REGEXREPLACE(D536,$A$5, )"),"Aplikasi eror mulu mau daftar gak bisa terus")</f>
        <v>Aplikasi eror mulu mau daftar gak bisa terus</v>
      </c>
      <c r="F536" s="17" t="str">
        <f>IFERROR(__xludf.DUMMYFUNCTION("REGEXREPLACE(E536,$A$6, )"),"Aplikasi eror mulu mau daftar gak bisa terus")</f>
        <v>Aplikasi eror mulu mau daftar gak bisa terus</v>
      </c>
      <c r="G536" s="18" t="str">
        <f>IFERROR(__xludf.DUMMYFUNCTION("REGEXREPLACE(F536,$A$7, )"),"Aplikasi eror mulu mau daftar gak bisa terus")</f>
        <v>Aplikasi eror mulu mau daftar gak bisa terus</v>
      </c>
      <c r="H536" s="17" t="str">
        <f t="shared" si="1"/>
        <v>aplikasi eror mulu mau daftar gak bisa terus</v>
      </c>
    </row>
    <row r="537">
      <c r="A537" s="16" t="s">
        <v>532</v>
      </c>
      <c r="B537" s="17" t="str">
        <f>IFERROR(__xludf.DUMMYFUNCTION("REGEXREPLACE(A537,$A$2, )"),"Kok apk nya eror sihh.. baru juga mau daftar")</f>
        <v>Kok apk nya eror sihh.. baru juga mau daftar</v>
      </c>
      <c r="C537" s="17" t="str">
        <f>IFERROR(__xludf.DUMMYFUNCTION("REGEXREPLACE(B537,$A$3, )"),"Kok apk nya eror sihh.. baru juga mau daftar")</f>
        <v>Kok apk nya eror sihh.. baru juga mau daftar</v>
      </c>
      <c r="D537" s="17" t="str">
        <f>IFERROR(__xludf.DUMMYFUNCTION("REGEXREPLACE(C537,$A$4, )"),"Kok apk nya eror sihh.. baru juga mau daftar")</f>
        <v>Kok apk nya eror sihh.. baru juga mau daftar</v>
      </c>
      <c r="E537" s="17" t="str">
        <f>IFERROR(__xludf.DUMMYFUNCTION("REGEXREPLACE(D537,$A$5, )"),"Kok apk nya eror sihh.. baru juga mau daftar")</f>
        <v>Kok apk nya eror sihh.. baru juga mau daftar</v>
      </c>
      <c r="F537" s="17" t="str">
        <f>IFERROR(__xludf.DUMMYFUNCTION("REGEXREPLACE(E537,$A$6, )"),"Kok apk nya eror sihh baru juga mau daftar")</f>
        <v>Kok apk nya eror sihh baru juga mau daftar</v>
      </c>
      <c r="G537" s="18" t="str">
        <f>IFERROR(__xludf.DUMMYFUNCTION("REGEXREPLACE(F537,$A$7, )"),"Kok apk nya eror sihh baru juga mau daftar")</f>
        <v>Kok apk nya eror sihh baru juga mau daftar</v>
      </c>
      <c r="H537" s="17" t="str">
        <f t="shared" si="1"/>
        <v>kok apk nya eror sihh baru juga mau daftar</v>
      </c>
    </row>
    <row r="538">
      <c r="A538" s="16" t="s">
        <v>533</v>
      </c>
      <c r="B538" s="17" t="str">
        <f>IFERROR(__xludf.DUMMYFUNCTION("REGEXREPLACE(A538,$A$2, )"),"Saya sudah beberapa kali coba daftar tapi error terus, sengaja di persulit nih!!")</f>
        <v>Saya sudah beberapa kali coba daftar tapi error terus, sengaja di persulit nih!!</v>
      </c>
      <c r="C538" s="17" t="str">
        <f>IFERROR(__xludf.DUMMYFUNCTION("REGEXREPLACE(B538,$A$3, )"),"Saya sudah beberapa kali coba daftar tapi error terus, sengaja di persulit nih!!")</f>
        <v>Saya sudah beberapa kali coba daftar tapi error terus, sengaja di persulit nih!!</v>
      </c>
      <c r="D538" s="17" t="str">
        <f>IFERROR(__xludf.DUMMYFUNCTION("REGEXREPLACE(C538,$A$4, )"),"Saya sudah beberapa kali coba daftar tapi error terus, sengaja di persulit nih!!")</f>
        <v>Saya sudah beberapa kali coba daftar tapi error terus, sengaja di persulit nih!!</v>
      </c>
      <c r="E538" s="17" t="str">
        <f>IFERROR(__xludf.DUMMYFUNCTION("REGEXREPLACE(D538,$A$5, )"),"Saya sudah beberapa kali coba daftar tapi error terus, sengaja di persulit nih!!")</f>
        <v>Saya sudah beberapa kali coba daftar tapi error terus, sengaja di persulit nih!!</v>
      </c>
      <c r="F538" s="17" t="str">
        <f>IFERROR(__xludf.DUMMYFUNCTION("REGEXREPLACE(E538,$A$6, )"),"Saya sudah beberapa kali coba daftar tapi error terus sengaja di persulit nih")</f>
        <v>Saya sudah beberapa kali coba daftar tapi error terus sengaja di persulit nih</v>
      </c>
      <c r="G538" s="18" t="str">
        <f>IFERROR(__xludf.DUMMYFUNCTION("REGEXREPLACE(F538,$A$7, )"),"Saya sudah beberapa kali coba daftar tapi error terus sengaja di persulit nih")</f>
        <v>Saya sudah beberapa kali coba daftar tapi error terus sengaja di persulit nih</v>
      </c>
      <c r="H538" s="17" t="str">
        <f t="shared" si="1"/>
        <v>saya sudah beberapa kali coba daftar tapi error terus sengaja di persulit nih</v>
      </c>
    </row>
    <row r="539">
      <c r="A539" s="16" t="s">
        <v>534</v>
      </c>
      <c r="B539" s="17" t="str">
        <f>IFERROR(__xludf.DUMMYFUNCTION("REGEXREPLACE(A539,$A$2, )"),"Kenapa tiap mau tambah usulan eror terus tolong perbaiki aplikasinya")</f>
        <v>Kenapa tiap mau tambah usulan eror terus tolong perbaiki aplikasinya</v>
      </c>
      <c r="C539" s="17" t="str">
        <f>IFERROR(__xludf.DUMMYFUNCTION("REGEXREPLACE(B539,$A$3, )"),"Kenapa tiap mau tambah usulan eror terus tolong perbaiki aplikasinya")</f>
        <v>Kenapa tiap mau tambah usulan eror terus tolong perbaiki aplikasinya</v>
      </c>
      <c r="D539" s="17" t="str">
        <f>IFERROR(__xludf.DUMMYFUNCTION("REGEXREPLACE(C539,$A$4, )"),"Kenapa tiap mau tambah usulan eror terus tolong perbaiki aplikasinya")</f>
        <v>Kenapa tiap mau tambah usulan eror terus tolong perbaiki aplikasinya</v>
      </c>
      <c r="E539" s="17" t="str">
        <f>IFERROR(__xludf.DUMMYFUNCTION("REGEXREPLACE(D539,$A$5, )"),"Kenapa tiap mau tambah usulan eror terus tolong perbaiki aplikasinya")</f>
        <v>Kenapa tiap mau tambah usulan eror terus tolong perbaiki aplikasinya</v>
      </c>
      <c r="F539" s="17" t="str">
        <f>IFERROR(__xludf.DUMMYFUNCTION("REGEXREPLACE(E539,$A$6, )"),"Kenapa tiap mau tambah usulan eror terus tolong perbaiki aplikasinya")</f>
        <v>Kenapa tiap mau tambah usulan eror terus tolong perbaiki aplikasinya</v>
      </c>
      <c r="G539" s="18" t="str">
        <f>IFERROR(__xludf.DUMMYFUNCTION("REGEXREPLACE(F539,$A$7, )"),"Kenapa tiap mau tambah usulan eror terus tolong perbaiki aplikasinya")</f>
        <v>Kenapa tiap mau tambah usulan eror terus tolong perbaiki aplikasinya</v>
      </c>
      <c r="H539" s="17" t="str">
        <f t="shared" si="1"/>
        <v>kenapa tiap mau tambah usulan eror terus tolong perbaiki aplikasinya</v>
      </c>
    </row>
    <row r="540">
      <c r="A540" s="16" t="s">
        <v>535</v>
      </c>
      <c r="B540" s="17" t="str">
        <f>IFERROR(__xludf.DUMMYFUNCTION("REGEXREPLACE(A540,$A$2, )"),"Apknya error terus sudah diisi dengan bener")</f>
        <v>Apknya error terus sudah diisi dengan bener</v>
      </c>
      <c r="C540" s="17" t="str">
        <f>IFERROR(__xludf.DUMMYFUNCTION("REGEXREPLACE(B540,$A$3, )"),"Apknya error terus sudah diisi dengan bener")</f>
        <v>Apknya error terus sudah diisi dengan bener</v>
      </c>
      <c r="D540" s="17" t="str">
        <f>IFERROR(__xludf.DUMMYFUNCTION("REGEXREPLACE(C540,$A$4, )"),"Apknya error terus sudah diisi dengan bener")</f>
        <v>Apknya error terus sudah diisi dengan bener</v>
      </c>
      <c r="E540" s="17" t="str">
        <f>IFERROR(__xludf.DUMMYFUNCTION("REGEXREPLACE(D540,$A$5, )"),"Apknya error terus sudah diisi dengan bener")</f>
        <v>Apknya error terus sudah diisi dengan bener</v>
      </c>
      <c r="F540" s="17" t="str">
        <f>IFERROR(__xludf.DUMMYFUNCTION("REGEXREPLACE(E540,$A$6, )"),"Apknya error terus sudah diisi dengan bener")</f>
        <v>Apknya error terus sudah diisi dengan bener</v>
      </c>
      <c r="G540" s="18" t="str">
        <f>IFERROR(__xludf.DUMMYFUNCTION("REGEXREPLACE(F540,$A$7, )"),"Apknya error terus sudah diisi dengan bener")</f>
        <v>Apknya error terus sudah diisi dengan bener</v>
      </c>
      <c r="H540" s="17" t="str">
        <f t="shared" si="1"/>
        <v>apknya error terus sudah diisi dengan bener</v>
      </c>
    </row>
    <row r="541">
      <c r="A541" s="16" t="s">
        <v>536</v>
      </c>
      <c r="B541" s="17" t="str">
        <f>IFERROR(__xludf.DUMMYFUNCTION("REGEXREPLACE(A541,$A$2, )"),"aplikasi gak jelas login malah error")</f>
        <v>aplikasi gak jelas login malah error</v>
      </c>
      <c r="C541" s="17" t="str">
        <f>IFERROR(__xludf.DUMMYFUNCTION("REGEXREPLACE(B541,$A$3, )"),"aplikasi gak jelas login malah error")</f>
        <v>aplikasi gak jelas login malah error</v>
      </c>
      <c r="D541" s="17" t="str">
        <f>IFERROR(__xludf.DUMMYFUNCTION("REGEXREPLACE(C541,$A$4, )"),"aplikasi gak jelas login malah error")</f>
        <v>aplikasi gak jelas login malah error</v>
      </c>
      <c r="E541" s="17" t="str">
        <f>IFERROR(__xludf.DUMMYFUNCTION("REGEXREPLACE(D541,$A$5, )"),"aplikasi gak jelas login malah error")</f>
        <v>aplikasi gak jelas login malah error</v>
      </c>
      <c r="F541" s="17" t="str">
        <f>IFERROR(__xludf.DUMMYFUNCTION("REGEXREPLACE(E541,$A$6, )"),"aplikasi gak jelas login malah error")</f>
        <v>aplikasi gak jelas login malah error</v>
      </c>
      <c r="G541" s="18" t="str">
        <f>IFERROR(__xludf.DUMMYFUNCTION("REGEXREPLACE(F541,$A$7, )"),"aplikasi gak jelas login malah error")</f>
        <v>aplikasi gak jelas login malah error</v>
      </c>
      <c r="H541" s="17" t="str">
        <f t="shared" si="1"/>
        <v>aplikasi gak jelas login malah error</v>
      </c>
    </row>
    <row r="542">
      <c r="A542" s="16" t="s">
        <v>537</v>
      </c>
      <c r="B542" s="17" t="str">
        <f>IFERROR(__xludf.DUMMYFUNCTION("REGEXREPLACE(A542,$A$2, )"),"Aplikasi tidak berguna sama sekali Sudah daftar buat akun baru malah ga bisa login Daftar ulang katanya nik anda sudah terdaftar Balik login lagi katanya username dan password anda tidak ditemukan belum di aktivasi Kesannya kayak dibodohin aplikasi. Aplik"&amp;"asi nya aja kayak gini. Setiap ada bantuan cek nama saya nik saya selalu ga ada dan tidak terdaftar sebagai penerima, padahal saya bukan PNS dan gaji dibawah UMR.")</f>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c r="C542" s="17" t="str">
        <f>IFERROR(__xludf.DUMMYFUNCTION("REGEXREPLACE(B542,$A$3, )"),"Aplikasi tidak berguna sama sekali Sudah daftar buat akun baru malah ga bisa login Daftar ulang katanya nik anda sudah terdaftar Balik login lagi katanya username dan password anda tidak ditemukan belum di aktivasi Kesannya kayak dibodohin aplikasi. Aplik"&amp;"asi nya aja kayak gini. Setiap ada bantuan cek nama saya nik saya selalu ga ada dan tidak terdaftar sebagai penerima, padahal saya bukan PNS dan gaji dibawah UMR.")</f>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c r="D542" s="17" t="str">
        <f>IFERROR(__xludf.DUMMYFUNCTION("REGEXREPLACE(C542,$A$4, )"),"Aplikasi tidak berguna sama sekali Sudah daftar buat akun baru malah ga bisa login Daftar ulang katanya nik anda sudah terdaftar Balik login lagi katanya username dan password anda tidak ditemukan belum di aktivasi Kesannya kayak dibodohin aplikasi. Aplik"&amp;"asi nya aja kayak gini. Setiap ada bantuan cek nama saya nik saya selalu ga ada dan tidak terdaftar sebagai penerima, padahal saya bukan PNS dan gaji dibawah UMR.")</f>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c r="E542" s="17" t="str">
        <f>IFERROR(__xludf.DUMMYFUNCTION("REGEXREPLACE(D542,$A$5, )"),"Aplikasi tidak berguna sama sekali Sudah daftar buat akun baru malah ga bisa login Daftar ulang katanya nik anda sudah terdaftar Balik login lagi katanya username dan password anda tidak ditemukan belum di aktivasi Kesannya kayak dibodohin aplikasi. Aplik"&amp;"asi nya aja kayak gini. Setiap ada bantuan cek nama saya nik saya selalu ga ada dan tidak terdaftar sebagai penerima, padahal saya bukan PNS dan gaji dibawah UMR.")</f>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c r="F542" s="17" t="str">
        <f>IFERROR(__xludf.DUMMYFUNCTION("REGEXREPLACE(E542,$A$6, )"),"Aplikasi tidak berguna sama sekali Sudah daftar buat akun baru malah ga bisa login Daftar ulang katanya nik anda sudah terdaftar Balik login lagi katanya username dan password anda tidak ditemukan belum di aktivasi Kesannya kayak dibodohin aplikasi Aplika"&amp;"si nya aja kayak gini Setiap ada bantuan cek nama saya nik saya selalu ga ada dan tidak terdaftar sebagai penerima padahal saya bukan PNS dan gaji dibawah UMR")</f>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c r="G542" s="18" t="str">
        <f>IFERROR(__xludf.DUMMYFUNCTION("REGEXREPLACE(F542,$A$7, )"),"Aplikasi tidak berguna sama sekali Sudah daftar buat akun baru malah ga bisa login Daftar ulang katanya nik anda sudah terdaftar Balik login lagi katanya username dan password anda tidak ditemukan belum di aktivasi Kesannya kayak dibodohin aplikasi Aplika"&amp;"si nya aja kayak gini Setiap ada bantuan cek nama saya nik saya selalu ga ada dan tidak terdaftar sebagai penerima padahal saya bukan PNS dan gaji dibawah UMR")</f>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c r="H542" s="17" t="str">
        <f t="shared" si="1"/>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row>
    <row r="543">
      <c r="A543" s="16" t="s">
        <v>538</v>
      </c>
      <c r="B543" s="17" t="str">
        <f>IFERROR(__xludf.DUMMYFUNCTION("REGEXREPLACE(A543,$A$2, )"),"Udah dapat email verifikasi tapi setelah mencoba login email/sandi belum terverifikasi Bikin naik darah gula aja")</f>
        <v>Udah dapat email verifikasi tapi setelah mencoba login email/sandi belum terverifikasi Bikin naik darah gula aja</v>
      </c>
      <c r="C543" s="17" t="str">
        <f>IFERROR(__xludf.DUMMYFUNCTION("REGEXREPLACE(B543,$A$3, )"),"Udah dapat email verifikasi tapi setelah mencoba login email/sandi belum terverifikasi Bikin naik darah gula aja")</f>
        <v>Udah dapat email verifikasi tapi setelah mencoba login email/sandi belum terverifikasi Bikin naik darah gula aja</v>
      </c>
      <c r="D543" s="17" t="str">
        <f>IFERROR(__xludf.DUMMYFUNCTION("REGEXREPLACE(C543,$A$4, )"),"Udah dapat email verifikasi tapi setelah mencoba login email/sandi belum terverifikasi Bikin naik darah gula aja")</f>
        <v>Udah dapat email verifikasi tapi setelah mencoba login email/sandi belum terverifikasi Bikin naik darah gula aja</v>
      </c>
      <c r="E543" s="17" t="str">
        <f>IFERROR(__xludf.DUMMYFUNCTION("REGEXREPLACE(D543,$A$5, )"),"Udah dapat email verifikasi tapi setelah mencoba login email/sandi belum terverifikasi Bikin naik darah gula aja")</f>
        <v>Udah dapat email verifikasi tapi setelah mencoba login email/sandi belum terverifikasi Bikin naik darah gula aja</v>
      </c>
      <c r="F543" s="17" t="str">
        <f>IFERROR(__xludf.DUMMYFUNCTION("REGEXREPLACE(E543,$A$6, )"),"Udah dapat email verifikasi tapi setelah mencoba login emailsandi belum terverifikasi Bikin naik darah gula aja")</f>
        <v>Udah dapat email verifikasi tapi setelah mencoba login emailsandi belum terverifikasi Bikin naik darah gula aja</v>
      </c>
      <c r="G543" s="18" t="str">
        <f>IFERROR(__xludf.DUMMYFUNCTION("REGEXREPLACE(F543,$A$7, )"),"Udah dapat email verifikasi tapi setelah mencoba login emailsandi belum terverifikasi Bikin naik darah gula aja")</f>
        <v>Udah dapat email verifikasi tapi setelah mencoba login emailsandi belum terverifikasi Bikin naik darah gula aja</v>
      </c>
      <c r="H543" s="17" t="str">
        <f t="shared" si="1"/>
        <v>udah dapat email verifikasi tapi setelah mencoba login emailsandi belum terverifikasi bikin naik darah gula aja</v>
      </c>
    </row>
    <row r="544">
      <c r="A544" s="16" t="s">
        <v>539</v>
      </c>
      <c r="B544" s="17" t="str">
        <f>IFERROR(__xludf.DUMMYFUNCTION("REGEXREPLACE(A544,$A$2, )"),"Aplikasi apa ini data diri uda lenggkap mala eror terus sama sekali nggak guna")</f>
        <v>Aplikasi apa ini data diri uda lenggkap mala eror terus sama sekali nggak guna</v>
      </c>
      <c r="C544" s="17" t="str">
        <f>IFERROR(__xludf.DUMMYFUNCTION("REGEXREPLACE(B544,$A$3, )"),"Aplikasi apa ini data diri uda lenggkap mala eror terus sama sekali nggak guna")</f>
        <v>Aplikasi apa ini data diri uda lenggkap mala eror terus sama sekali nggak guna</v>
      </c>
      <c r="D544" s="17" t="str">
        <f>IFERROR(__xludf.DUMMYFUNCTION("REGEXREPLACE(C544,$A$4, )"),"Aplikasi apa ini data diri uda lenggkap mala eror terus sama sekali nggak guna")</f>
        <v>Aplikasi apa ini data diri uda lenggkap mala eror terus sama sekali nggak guna</v>
      </c>
      <c r="E544" s="17" t="str">
        <f>IFERROR(__xludf.DUMMYFUNCTION("REGEXREPLACE(D544,$A$5, )"),"Aplikasi apa ini data diri uda lenggkap mala eror terus sama sekali nggak guna")</f>
        <v>Aplikasi apa ini data diri uda lenggkap mala eror terus sama sekali nggak guna</v>
      </c>
      <c r="F544" s="17" t="str">
        <f>IFERROR(__xludf.DUMMYFUNCTION("REGEXREPLACE(E544,$A$6, )"),"Aplikasi apa ini data diri uda lenggkap mala eror terus sama sekali nggak guna")</f>
        <v>Aplikasi apa ini data diri uda lenggkap mala eror terus sama sekali nggak guna</v>
      </c>
      <c r="G544" s="18" t="str">
        <f>IFERROR(__xludf.DUMMYFUNCTION("REGEXREPLACE(F544,$A$7, )"),"Aplikasi apa ini data diri uda lenggkap mala eror terus sama sekali nggak guna")</f>
        <v>Aplikasi apa ini data diri uda lenggkap mala eror terus sama sekali nggak guna</v>
      </c>
      <c r="H544" s="17" t="str">
        <f t="shared" si="1"/>
        <v>aplikasi apa ini data diri uda lenggkap mala eror terus sama sekali nggak guna</v>
      </c>
    </row>
    <row r="545">
      <c r="A545" s="16" t="s">
        <v>540</v>
      </c>
      <c r="B545" s="17" t="str">
        <f>IFERROR(__xludf.DUMMYFUNCTION("REGEXREPLACE(A545,$A$2, )"),"Kok habis daftar gak bisa dibuka.")</f>
        <v>Kok habis daftar gak bisa dibuka.</v>
      </c>
      <c r="C545" s="17" t="str">
        <f>IFERROR(__xludf.DUMMYFUNCTION("REGEXREPLACE(B545,$A$3, )"),"Kok habis daftar gak bisa dibuka.")</f>
        <v>Kok habis daftar gak bisa dibuka.</v>
      </c>
      <c r="D545" s="17" t="str">
        <f>IFERROR(__xludf.DUMMYFUNCTION("REGEXREPLACE(C545,$A$4, )"),"Kok habis daftar gak bisa dibuka.")</f>
        <v>Kok habis daftar gak bisa dibuka.</v>
      </c>
      <c r="E545" s="17" t="str">
        <f>IFERROR(__xludf.DUMMYFUNCTION("REGEXREPLACE(D545,$A$5, )"),"Kok habis daftar gak bisa dibuka.")</f>
        <v>Kok habis daftar gak bisa dibuka.</v>
      </c>
      <c r="F545" s="17" t="str">
        <f>IFERROR(__xludf.DUMMYFUNCTION("REGEXREPLACE(E545,$A$6, )"),"Kok habis daftar gak bisa dibuka")</f>
        <v>Kok habis daftar gak bisa dibuka</v>
      </c>
      <c r="G545" s="18" t="str">
        <f>IFERROR(__xludf.DUMMYFUNCTION("REGEXREPLACE(F545,$A$7, )"),"Kok habis daftar gak bisa dibuka")</f>
        <v>Kok habis daftar gak bisa dibuka</v>
      </c>
      <c r="H545" s="17" t="str">
        <f t="shared" si="1"/>
        <v>kok habis daftar gak bisa dibuka</v>
      </c>
    </row>
    <row r="546">
      <c r="A546" s="16" t="s">
        <v>541</v>
      </c>
      <c r="B546" s="17" t="str">
        <f>IFERROR(__xludf.DUMMYFUNCTION("REGEXREPLACE(A546,$A$2, )"),"Ini niat nggak sih bikin aplikasi. Kalo nggak niat mending hapus aja dari playstore nggak usah ada aplikasinya daripada bikin pusing orang lain. Udah berhasil daftar, tapi pas login malah nggak bisa kan konyol")</f>
        <v>Ini niat nggak sih bikin aplikasi. Kalo nggak niat mending hapus aja dari playstore nggak usah ada aplikasinya daripada bikin pusing orang lain. Udah berhasil daftar, tapi pas login malah nggak bisa kan konyol</v>
      </c>
      <c r="C546" s="17" t="str">
        <f>IFERROR(__xludf.DUMMYFUNCTION("REGEXREPLACE(B546,$A$3, )"),"Ini niat nggak sih bikin aplikasi. Kalo nggak niat mending hapus aja dari playstore nggak usah ada aplikasinya daripada bikin pusing orang lain. Udah berhasil daftar, tapi pas login malah nggak bisa kan konyol")</f>
        <v>Ini niat nggak sih bikin aplikasi. Kalo nggak niat mending hapus aja dari playstore nggak usah ada aplikasinya daripada bikin pusing orang lain. Udah berhasil daftar, tapi pas login malah nggak bisa kan konyol</v>
      </c>
      <c r="D546" s="17" t="str">
        <f>IFERROR(__xludf.DUMMYFUNCTION("REGEXREPLACE(C546,$A$4, )"),"Ini niat nggak sih bikin aplikasi. Kalo nggak niat mending hapus aja dari playstore nggak usah ada aplikasinya daripada bikin pusing orang lain. Udah berhasil daftar, tapi pas login malah nggak bisa kan konyol")</f>
        <v>Ini niat nggak sih bikin aplikasi. Kalo nggak niat mending hapus aja dari playstore nggak usah ada aplikasinya daripada bikin pusing orang lain. Udah berhasil daftar, tapi pas login malah nggak bisa kan konyol</v>
      </c>
      <c r="E546" s="17" t="str">
        <f>IFERROR(__xludf.DUMMYFUNCTION("REGEXREPLACE(D546,$A$5, )"),"Ini niat nggak sih bikin aplikasi. Kalo nggak niat mending hapus aja dari playstore nggak usah ada aplikasinya daripada bikin pusing orang lain. Udah berhasil daftar, tapi pas login malah nggak bisa kan konyol")</f>
        <v>Ini niat nggak sih bikin aplikasi. Kalo nggak niat mending hapus aja dari playstore nggak usah ada aplikasinya daripada bikin pusing orang lain. Udah berhasil daftar, tapi pas login malah nggak bisa kan konyol</v>
      </c>
      <c r="F546" s="17" t="str">
        <f>IFERROR(__xludf.DUMMYFUNCTION("REGEXREPLACE(E546,$A$6, )"),"Ini niat nggak sih bikin aplikasi Kalo nggak niat mending hapus aja dari playstore nggak usah ada aplikasinya daripada bikin pusing orang lain Udah berhasil daftar tapi pas login malah nggak bisa kan konyol")</f>
        <v>Ini niat nggak sih bikin aplikasi Kalo nggak niat mending hapus aja dari playstore nggak usah ada aplikasinya daripada bikin pusing orang lain Udah berhasil daftar tapi pas login malah nggak bisa kan konyol</v>
      </c>
      <c r="G546" s="18" t="str">
        <f>IFERROR(__xludf.DUMMYFUNCTION("REGEXREPLACE(F546,$A$7, )"),"Ini niat nggak sih bikin aplikasi Kalo nggak niat mending hapus aja dari playstore nggak usah ada aplikasinya daripada bikin pusing orang lain Udah berhasil daftar tapi pas login malah nggak bisa kan konyol")</f>
        <v>Ini niat nggak sih bikin aplikasi Kalo nggak niat mending hapus aja dari playstore nggak usah ada aplikasinya daripada bikin pusing orang lain Udah berhasil daftar tapi pas login malah nggak bisa kan konyol</v>
      </c>
      <c r="H546" s="17" t="str">
        <f t="shared" si="1"/>
        <v>ini niat nggak sih bikin aplikasi kalo nggak niat mending hapus aja dari playstore nggak usah ada aplikasinya daripada bikin pusing orang lain udah berhasil daftar tapi pas login malah nggak bisa kan konyol</v>
      </c>
    </row>
    <row r="547">
      <c r="A547" s="16" t="s">
        <v>542</v>
      </c>
      <c r="B547" s="17" t="str">
        <f>IFERROR(__xludf.DUMMYFUNCTION("REGEXREPLACE(A547,$A$2, )"),"ketika buat akun eror terusssssss, gk pernah bisa trsambung")</f>
        <v>ketika buat akun eror terusssssss, gk pernah bisa trsambung</v>
      </c>
      <c r="C547" s="17" t="str">
        <f>IFERROR(__xludf.DUMMYFUNCTION("REGEXREPLACE(B547,$A$3, )"),"ketika buat akun eror terusssssss, gk pernah bisa trsambung")</f>
        <v>ketika buat akun eror terusssssss, gk pernah bisa trsambung</v>
      </c>
      <c r="D547" s="17" t="str">
        <f>IFERROR(__xludf.DUMMYFUNCTION("REGEXREPLACE(C547,$A$4, )"),"ketika buat akun eror terusssssss, gk pernah bisa trsambung")</f>
        <v>ketika buat akun eror terusssssss, gk pernah bisa trsambung</v>
      </c>
      <c r="E547" s="17" t="str">
        <f>IFERROR(__xludf.DUMMYFUNCTION("REGEXREPLACE(D547,$A$5, )"),"ketika buat akun eror terusssssss, gk pernah bisa trsambung")</f>
        <v>ketika buat akun eror terusssssss, gk pernah bisa trsambung</v>
      </c>
      <c r="F547" s="17" t="str">
        <f>IFERROR(__xludf.DUMMYFUNCTION("REGEXREPLACE(E547,$A$6, )"),"ketika buat akun eror terusssssss gk pernah bisa trsambung")</f>
        <v>ketika buat akun eror terusssssss gk pernah bisa trsambung</v>
      </c>
      <c r="G547" s="18" t="str">
        <f>IFERROR(__xludf.DUMMYFUNCTION("REGEXREPLACE(F547,$A$7, )"),"ketika buat akun eror terusssssss gk pernah bisa trsambung")</f>
        <v>ketika buat akun eror terusssssss gk pernah bisa trsambung</v>
      </c>
      <c r="H547" s="17" t="str">
        <f t="shared" si="1"/>
        <v>ketika buat akun eror terusssssss gk pernah bisa trsambung</v>
      </c>
    </row>
    <row r="548">
      <c r="A548" s="16" t="s">
        <v>543</v>
      </c>
      <c r="B548" s="17" t="str">
        <f>IFERROR(__xludf.DUMMYFUNCTION("REGEXREPLACE(A548,$A$2, )"),"Kecewa kenapa saya mau daftar tidak bisa selalu saja Eror sudah mengulangi mengulangi masih saja Eror gak bisa mendaftar")</f>
        <v>Kecewa kenapa saya mau daftar tidak bisa selalu saja Eror sudah mengulangi mengulangi masih saja Eror gak bisa mendaftar</v>
      </c>
      <c r="C548" s="17" t="str">
        <f>IFERROR(__xludf.DUMMYFUNCTION("REGEXREPLACE(B548,$A$3, )"),"Kecewa kenapa saya mau daftar tidak bisa selalu saja Eror sudah mengulangi mengulangi masih saja Eror gak bisa mendaftar")</f>
        <v>Kecewa kenapa saya mau daftar tidak bisa selalu saja Eror sudah mengulangi mengulangi masih saja Eror gak bisa mendaftar</v>
      </c>
      <c r="D548" s="17" t="str">
        <f>IFERROR(__xludf.DUMMYFUNCTION("REGEXREPLACE(C548,$A$4, )"),"Kecewa kenapa saya mau daftar tidak bisa selalu saja Eror sudah mengulangi mengulangi masih saja Eror gak bisa mendaftar")</f>
        <v>Kecewa kenapa saya mau daftar tidak bisa selalu saja Eror sudah mengulangi mengulangi masih saja Eror gak bisa mendaftar</v>
      </c>
      <c r="E548" s="17" t="str">
        <f>IFERROR(__xludf.DUMMYFUNCTION("REGEXREPLACE(D548,$A$5, )"),"Kecewa kenapa saya mau daftar tidak bisa selalu saja Eror sudah mengulangi mengulangi masih saja Eror gak bisa mendaftar")</f>
        <v>Kecewa kenapa saya mau daftar tidak bisa selalu saja Eror sudah mengulangi mengulangi masih saja Eror gak bisa mendaftar</v>
      </c>
      <c r="F548" s="17" t="str">
        <f>IFERROR(__xludf.DUMMYFUNCTION("REGEXREPLACE(E548,$A$6, )"),"Kecewa kenapa saya mau daftar tidak bisa selalu saja Eror sudah mengulangi mengulangi masih saja Eror gak bisa mendaftar")</f>
        <v>Kecewa kenapa saya mau daftar tidak bisa selalu saja Eror sudah mengulangi mengulangi masih saja Eror gak bisa mendaftar</v>
      </c>
      <c r="G548" s="18" t="str">
        <f>IFERROR(__xludf.DUMMYFUNCTION("REGEXREPLACE(F548,$A$7, )"),"Kecewa kenapa saya mau daftar tidak bisa selalu saja Eror sudah mengulangi mengulangi masih saja Eror gak bisa mendaftar")</f>
        <v>Kecewa kenapa saya mau daftar tidak bisa selalu saja Eror sudah mengulangi mengulangi masih saja Eror gak bisa mendaftar</v>
      </c>
      <c r="H548" s="17" t="str">
        <f t="shared" si="1"/>
        <v>kecewa kenapa saya mau daftar tidak bisa selalu saja eror sudah mengulangi mengulangi masih saja eror gak bisa mendaftar</v>
      </c>
    </row>
    <row r="549">
      <c r="A549" s="16" t="s">
        <v>544</v>
      </c>
      <c r="B549" s="17" t="str">
        <f>IFERROR(__xludf.DUMMYFUNCTION("REGEXREPLACE(A549,$A$2, )"),"Bagi pemeritah kalau bikin aplikasi kyk gini ya dirawat dong gk membantu sama sekali mlh dibikin pusing")</f>
        <v>Bagi pemeritah kalau bikin aplikasi kyk gini ya dirawat dong gk membantu sama sekali mlh dibikin pusing</v>
      </c>
      <c r="C549" s="17" t="str">
        <f>IFERROR(__xludf.DUMMYFUNCTION("REGEXREPLACE(B549,$A$3, )"),"Bagi pemeritah kalau bikin aplikasi kyk gini ya dirawat dong gk membantu sama sekali mlh dibikin pusing")</f>
        <v>Bagi pemeritah kalau bikin aplikasi kyk gini ya dirawat dong gk membantu sama sekali mlh dibikin pusing</v>
      </c>
      <c r="D549" s="17" t="str">
        <f>IFERROR(__xludf.DUMMYFUNCTION("REGEXREPLACE(C549,$A$4, )"),"Bagi pemeritah kalau bikin aplikasi kyk gini ya dirawat dong gk membantu sama sekali mlh dibikin pusing")</f>
        <v>Bagi pemeritah kalau bikin aplikasi kyk gini ya dirawat dong gk membantu sama sekali mlh dibikin pusing</v>
      </c>
      <c r="E549" s="17" t="str">
        <f>IFERROR(__xludf.DUMMYFUNCTION("REGEXREPLACE(D549,$A$5, )"),"Bagi pemeritah kalau bikin aplikasi kyk gini ya dirawat dong gk membantu sama sekali mlh dibikin pusing")</f>
        <v>Bagi pemeritah kalau bikin aplikasi kyk gini ya dirawat dong gk membantu sama sekali mlh dibikin pusing</v>
      </c>
      <c r="F549" s="17" t="str">
        <f>IFERROR(__xludf.DUMMYFUNCTION("REGEXREPLACE(E549,$A$6, )"),"Bagi pemeritah kalau bikin aplikasi kyk gini ya dirawat dong gk membantu sama sekali mlh dibikin pusing")</f>
        <v>Bagi pemeritah kalau bikin aplikasi kyk gini ya dirawat dong gk membantu sama sekali mlh dibikin pusing</v>
      </c>
      <c r="G549" s="18" t="str">
        <f>IFERROR(__xludf.DUMMYFUNCTION("REGEXREPLACE(F549,$A$7, )"),"Bagi pemeritah kalau bikin aplikasi kyk gini ya dirawat dong gk membantu sama sekali mlh dibikin pusing")</f>
        <v>Bagi pemeritah kalau bikin aplikasi kyk gini ya dirawat dong gk membantu sama sekali mlh dibikin pusing</v>
      </c>
      <c r="H549" s="17" t="str">
        <f t="shared" si="1"/>
        <v>bagi pemeritah kalau bikin aplikasi kyk gini ya dirawat dong gk membantu sama sekali mlh dibikin pusing</v>
      </c>
    </row>
    <row r="550">
      <c r="A550" s="16" t="s">
        <v>545</v>
      </c>
      <c r="B550" s="17" t="str">
        <f>IFERROR(__xludf.DUMMYFUNCTION("REGEXREPLACE(A550,$A$2, )"),"Ngk jelas dan ngk ada manfaatnya hanya ingin jual aplikasi saja")</f>
        <v>Ngk jelas dan ngk ada manfaatnya hanya ingin jual aplikasi saja</v>
      </c>
      <c r="C550" s="17" t="str">
        <f>IFERROR(__xludf.DUMMYFUNCTION("REGEXREPLACE(B550,$A$3, )"),"Ngk jelas dan ngk ada manfaatnya hanya ingin jual aplikasi saja")</f>
        <v>Ngk jelas dan ngk ada manfaatnya hanya ingin jual aplikasi saja</v>
      </c>
      <c r="D550" s="17" t="str">
        <f>IFERROR(__xludf.DUMMYFUNCTION("REGEXREPLACE(C550,$A$4, )"),"Ngk jelas dan ngk ada manfaatnya hanya ingin jual aplikasi saja")</f>
        <v>Ngk jelas dan ngk ada manfaatnya hanya ingin jual aplikasi saja</v>
      </c>
      <c r="E550" s="17" t="str">
        <f>IFERROR(__xludf.DUMMYFUNCTION("REGEXREPLACE(D550,$A$5, )"),"Ngk jelas dan ngk ada manfaatnya hanya ingin jual aplikasi saja")</f>
        <v>Ngk jelas dan ngk ada manfaatnya hanya ingin jual aplikasi saja</v>
      </c>
      <c r="F550" s="17" t="str">
        <f>IFERROR(__xludf.DUMMYFUNCTION("REGEXREPLACE(E550,$A$6, )"),"Ngk jelas dan ngk ada manfaatnya hanya ingin jual aplikasi saja")</f>
        <v>Ngk jelas dan ngk ada manfaatnya hanya ingin jual aplikasi saja</v>
      </c>
      <c r="G550" s="18" t="str">
        <f>IFERROR(__xludf.DUMMYFUNCTION("REGEXREPLACE(F550,$A$7, )"),"Ngk jelas dan ngk ada manfaatnya hanya ingin jual aplikasi saja")</f>
        <v>Ngk jelas dan ngk ada manfaatnya hanya ingin jual aplikasi saja</v>
      </c>
      <c r="H550" s="17" t="str">
        <f t="shared" si="1"/>
        <v>ngk jelas dan ngk ada manfaatnya hanya ingin jual aplikasi saja</v>
      </c>
    </row>
    <row r="551">
      <c r="A551" s="16" t="s">
        <v>546</v>
      </c>
      <c r="B551" s="17" t="str">
        <f>IFERROR(__xludf.DUMMYFUNCTION("REGEXREPLACE(A551,$A$2, )"),"Mantap..sangat membantu masyarakat banyak, terutama temanku si Lukman yang ada di Kabupaten tanah tidung")</f>
        <v>Mantap..sangat membantu masyarakat banyak, terutama temanku si Lukman yang ada di Kabupaten tanah tidung</v>
      </c>
      <c r="C551" s="17" t="str">
        <f>IFERROR(__xludf.DUMMYFUNCTION("REGEXREPLACE(B551,$A$3, )"),"Mantap..sangat membantu masyarakat banyak, terutama temanku si Lukman yang ada di Kabupaten tanah tidung")</f>
        <v>Mantap..sangat membantu masyarakat banyak, terutama temanku si Lukman yang ada di Kabupaten tanah tidung</v>
      </c>
      <c r="D551" s="17" t="str">
        <f>IFERROR(__xludf.DUMMYFUNCTION("REGEXREPLACE(C551,$A$4, )"),"Mantap..sangat membantu masyarakat banyak, terutama temanku si Lukman yang ada di Kabupaten tanah tidung")</f>
        <v>Mantap..sangat membantu masyarakat banyak, terutama temanku si Lukman yang ada di Kabupaten tanah tidung</v>
      </c>
      <c r="E551" s="17" t="str">
        <f>IFERROR(__xludf.DUMMYFUNCTION("REGEXREPLACE(D551,$A$5, )"),"Mantap..sangat membantu masyarakat banyak, terutama temanku si Lukman yang ada di Kabupaten tanah tidung")</f>
        <v>Mantap..sangat membantu masyarakat banyak, terutama temanku si Lukman yang ada di Kabupaten tanah tidung</v>
      </c>
      <c r="F551" s="17" t="str">
        <f>IFERROR(__xludf.DUMMYFUNCTION("REGEXREPLACE(E551,$A$6, )"),"Mantapsangat membantu masyarakat banyak terutama temanku si Lukman yang ada di Kabupaten tanah tidung")</f>
        <v>Mantapsangat membantu masyarakat banyak terutama temanku si Lukman yang ada di Kabupaten tanah tidung</v>
      </c>
      <c r="G551" s="18" t="str">
        <f>IFERROR(__xludf.DUMMYFUNCTION("REGEXREPLACE(F551,$A$7, )"),"Mantapsangat membantu masyarakat banyak terutama temanku si Lukman yang ada di Kabupaten tanah tidung")</f>
        <v>Mantapsangat membantu masyarakat banyak terutama temanku si Lukman yang ada di Kabupaten tanah tidung</v>
      </c>
      <c r="H551" s="17" t="str">
        <f t="shared" si="1"/>
        <v>mantapsangat membantu masyarakat banyak terutama temanku si lukman yang ada di kabupaten tanah tidung</v>
      </c>
    </row>
    <row r="552">
      <c r="A552" s="16" t="s">
        <v>547</v>
      </c>
      <c r="B552" s="17" t="str">
        <f>IFERROR(__xludf.DUMMYFUNCTION("REGEXREPLACE(A552,$A$2, )"),"Aplikasinya payah,,,sering error.")</f>
        <v>Aplikasinya payah,,,sering error.</v>
      </c>
      <c r="C552" s="17" t="str">
        <f>IFERROR(__xludf.DUMMYFUNCTION("REGEXREPLACE(B552,$A$3, )"),"Aplikasinya payah,,,sering error.")</f>
        <v>Aplikasinya payah,,,sering error.</v>
      </c>
      <c r="D552" s="17" t="str">
        <f>IFERROR(__xludf.DUMMYFUNCTION("REGEXREPLACE(C552,$A$4, )"),"Aplikasinya payah,,,sering error.")</f>
        <v>Aplikasinya payah,,,sering error.</v>
      </c>
      <c r="E552" s="17" t="str">
        <f>IFERROR(__xludf.DUMMYFUNCTION("REGEXREPLACE(D552,$A$5, )"),"Aplikasinya payah,,,sering error.")</f>
        <v>Aplikasinya payah,,,sering error.</v>
      </c>
      <c r="F552" s="17" t="str">
        <f>IFERROR(__xludf.DUMMYFUNCTION("REGEXREPLACE(E552,$A$6, )"),"Aplikasinya payahsering error")</f>
        <v>Aplikasinya payahsering error</v>
      </c>
      <c r="G552" s="18" t="str">
        <f>IFERROR(__xludf.DUMMYFUNCTION("REGEXREPLACE(F552,$A$7, )"),"Aplikasinya payahsering error")</f>
        <v>Aplikasinya payahsering error</v>
      </c>
      <c r="H552" s="17" t="str">
        <f t="shared" si="1"/>
        <v>aplikasinya payahsering error</v>
      </c>
    </row>
    <row r="553">
      <c r="A553" s="16" t="s">
        <v>548</v>
      </c>
      <c r="B553" s="17" t="str">
        <f>IFERROR(__xludf.DUMMYFUNCTION("REGEXREPLACE(A553,$A$2, )"),"Niat bantu masyarakat atau mau niat korupsi ini. Aplikasi sering eror, data sudah berulang kali di masukkan,tetap aja dibilang salah alamat. Dan kalo data sudah sesuai malah tetap aja gak bisa malah disuru cek koneksi.padahal jaringan 4G lancar.")</f>
        <v>Niat bantu masyarakat atau mau niat korupsi ini. Aplikasi sering eror, data sudah berulang kali di masukkan,tetap aja dibilang salah alamat. Dan kalo data sudah sesuai malah tetap aja gak bisa malah disuru cek koneksi.padahal jaringan 4G lancar.</v>
      </c>
      <c r="C553" s="17" t="str">
        <f>IFERROR(__xludf.DUMMYFUNCTION("REGEXREPLACE(B553,$A$3, )"),"Niat bantu masyarakat atau mau niat korupsi ini. Aplikasi sering eror, data sudah berulang kali di masukkan,tetap aja dibilang salah alamat. Dan kalo data sudah sesuai malah tetap aja gak bisa malah disuru cek koneksi.padahal jaringan 4G lancar.")</f>
        <v>Niat bantu masyarakat atau mau niat korupsi ini. Aplikasi sering eror, data sudah berulang kali di masukkan,tetap aja dibilang salah alamat. Dan kalo data sudah sesuai malah tetap aja gak bisa malah disuru cek koneksi.padahal jaringan 4G lancar.</v>
      </c>
      <c r="D553" s="17" t="str">
        <f>IFERROR(__xludf.DUMMYFUNCTION("REGEXREPLACE(C553,$A$4, )"),"Niat bantu masyarakat atau mau niat korupsi ini. Aplikasi sering eror, data sudah berulang kali di masukkan,tetap aja dibilang salah alamat. Dan kalo data sudah sesuai malah tetap aja gak bisa malah disuru cek koneksi.padahal jaringan 4G lancar.")</f>
        <v>Niat bantu masyarakat atau mau niat korupsi ini. Aplikasi sering eror, data sudah berulang kali di masukkan,tetap aja dibilang salah alamat. Dan kalo data sudah sesuai malah tetap aja gak bisa malah disuru cek koneksi.padahal jaringan 4G lancar.</v>
      </c>
      <c r="E553" s="17" t="str">
        <f>IFERROR(__xludf.DUMMYFUNCTION("REGEXREPLACE(D553,$A$5, )"),"Niat bantu masyarakat atau mau niat korupsi ini. Aplikasi sering eror, data sudah berulang kali di masukkan,tetap aja dibilang salah alamat. Dan kalo data sudah sesuai malah tetap aja gak bisa malah disuru cek koneksi.padahal jaringan G lancar.")</f>
        <v>Niat bantu masyarakat atau mau niat korupsi ini. Aplikasi sering eror, data sudah berulang kali di masukkan,tetap aja dibilang salah alamat. Dan kalo data sudah sesuai malah tetap aja gak bisa malah disuru cek koneksi.padahal jaringan G lancar.</v>
      </c>
      <c r="F553" s="17" t="str">
        <f>IFERROR(__xludf.DUMMYFUNCTION("REGEXREPLACE(E553,$A$6, )"),"Niat bantu masyarakat atau mau niat korupsi ini Aplikasi sering eror data sudah berulang kali di masukkantetap aja dibilang salah alamat Dan kalo data sudah sesuai malah tetap aja gak bisa malah disuru cek koneksipadahal jaringan G lancar")</f>
        <v>Niat bantu masyarakat atau mau niat korupsi ini Aplikasi sering eror data sudah berulang kali di masukkantetap aja dibilang salah alamat Dan kalo data sudah sesuai malah tetap aja gak bisa malah disuru cek koneksipadahal jaringan G lancar</v>
      </c>
      <c r="G553" s="18" t="str">
        <f>IFERROR(__xludf.DUMMYFUNCTION("REGEXREPLACE(F553,$A$7, )"),"Niat bantu masyarakat atau mau niat korupsi ini Aplikasi sering eror data sudah berulang kali di masukkantetap aja dibilang salah alamat Dan kalo data sudah sesuai malah tetap aja gak bisa malah disuru cek koneksipadahal jaringan G lancar")</f>
        <v>Niat bantu masyarakat atau mau niat korupsi ini Aplikasi sering eror data sudah berulang kali di masukkantetap aja dibilang salah alamat Dan kalo data sudah sesuai malah tetap aja gak bisa malah disuru cek koneksipadahal jaringan G lancar</v>
      </c>
      <c r="H553" s="17" t="str">
        <f t="shared" si="1"/>
        <v>niat bantu masyarakat atau mau niat korupsi ini aplikasi sering eror data sudah berulang kali di masukkantetap aja dibilang salah alamat dan kalo data sudah sesuai malah tetap aja gak bisa malah disuru cek koneksipadahal jaringan g lancar</v>
      </c>
    </row>
    <row r="554">
      <c r="A554" s="16" t="s">
        <v>549</v>
      </c>
      <c r="B554" s="17" t="str">
        <f>IFERROR(__xludf.DUMMYFUNCTION("REGEXREPLACE(A554,$A$2, )"),"penanganan yang sangat lambat...kinerja juga sangat lambat...gx ada balasan verivikasi email...cuma suruh nunggu aja.... nyoba2 login ulang gx bisa...juga krn belum diverivikasi...gx ada target waktu proses verivikasi berapa lama...jdi nggantung gitu data"&amp;"nya")</f>
        <v>penanganan yang sangat lambat...kinerja juga sangat lambat...gx ada balasan verivikasi email...cuma suruh nunggu aja.... nyoba2 login ulang gx bisa...juga krn belum diverivikasi...gx ada target waktu proses verivikasi berapa lama...jdi nggantung gitu datanya</v>
      </c>
      <c r="C554" s="17" t="str">
        <f>IFERROR(__xludf.DUMMYFUNCTION("REGEXREPLACE(B554,$A$3, )"),"penanganan yang sangat lambat...kinerja juga sangat lambat...gx ada balasan verivikasi email...cuma suruh nunggu aja.... nyoba2 login ulang gx bisa...juga krn belum diverivikasi...gx ada target waktu proses verivikasi berapa lama...jdi nggantung gitu data"&amp;"nya")</f>
        <v>penanganan yang sangat lambat...kinerja juga sangat lambat...gx ada balasan verivikasi email...cuma suruh nunggu aja.... nyoba2 login ulang gx bisa...juga krn belum diverivikasi...gx ada target waktu proses verivikasi berapa lama...jdi nggantung gitu datanya</v>
      </c>
      <c r="D554" s="17" t="str">
        <f>IFERROR(__xludf.DUMMYFUNCTION("REGEXREPLACE(C554,$A$4, )"),"penanganan yang sangat lambat...kinerja juga sangat lambat...gx ada balasan verivikasi email...cuma suruh nunggu aja.... nyoba2 login ulang gx bisa...juga krn belum diverivikasi...gx ada target waktu proses verivikasi berapa lama...jdi nggantung gitu data"&amp;"nya")</f>
        <v>penanganan yang sangat lambat...kinerja juga sangat lambat...gx ada balasan verivikasi email...cuma suruh nunggu aja.... nyoba2 login ulang gx bisa...juga krn belum diverivikasi...gx ada target waktu proses verivikasi berapa lama...jdi nggantung gitu datanya</v>
      </c>
      <c r="E554" s="17" t="str">
        <f>IFERROR(__xludf.DUMMYFUNCTION("REGEXREPLACE(D554,$A$5, )"),"penanganan yang sangat lambat...kinerja juga sangat lambat...gx ada balasan verivikasi email...cuma suruh nunggu aja.... nyoba login ulang gx bisa...juga krn belum diverivikasi...gx ada target waktu proses verivikasi berapa lama...jdi nggantung gitu datan"&amp;"ya")</f>
        <v>penanganan yang sangat lambat...kinerja juga sangat lambat...gx ada balasan verivikasi email...cuma suruh nunggu aja.... nyoba login ulang gx bisa...juga krn belum diverivikasi...gx ada target waktu proses verivikasi berapa lama...jdi nggantung gitu datanya</v>
      </c>
      <c r="F554" s="17" t="str">
        <f>IFERROR(__xludf.DUMMYFUNCTION("REGEXREPLACE(E554,$A$6, )"),"penanganan yang sangat lambatkinerja juga sangat lambatgx ada balasan verivikasi emailcuma suruh nunggu aja nyoba login ulang gx bisajuga krn belum diverivikasigx ada target waktu proses verivikasi berapa lamajdi nggantung gitu datanya")</f>
        <v>penanganan yang sangat lambatkinerja juga sangat lambatgx ada balasan verivikasi emailcuma suruh nunggu aja nyoba login ulang gx bisajuga krn belum diverivikasigx ada target waktu proses verivikasi berapa lamajdi nggantung gitu datanya</v>
      </c>
      <c r="G554" s="18" t="str">
        <f>IFERROR(__xludf.DUMMYFUNCTION("REGEXREPLACE(F554,$A$7, )"),"penanganan yang sangat lambatkinerja juga sangat lambatgx ada balasan verivikasi emailcuma suruh nunggu aja nyoba login ulang gx bisajuga krn belum diverivikasigx ada target waktu proses verivikasi berapa lamajdi nggantung gitu datanya")</f>
        <v>penanganan yang sangat lambatkinerja juga sangat lambatgx ada balasan verivikasi emailcuma suruh nunggu aja nyoba login ulang gx bisajuga krn belum diverivikasigx ada target waktu proses verivikasi berapa lamajdi nggantung gitu datanya</v>
      </c>
      <c r="H554" s="17" t="str">
        <f t="shared" si="1"/>
        <v>penanganan yang sangat lambatkinerja juga sangat lambatgx ada balasan verivikasi emailcuma suruh nunggu aja nyoba login ulang gx bisajuga krn belum diverivikasigx ada target waktu proses verivikasi berapa lamajdi nggantung gitu datanya</v>
      </c>
    </row>
    <row r="555">
      <c r="A555" s="16" t="s">
        <v>550</v>
      </c>
      <c r="B555" s="17" t="str">
        <f>IFERROR(__xludf.DUMMYFUNCTION("REGEXREPLACE(A555,$A$2, )"),"Aplikasi eror terus, tidak bisa di gunakan")</f>
        <v>Aplikasi eror terus, tidak bisa di gunakan</v>
      </c>
      <c r="C555" s="17" t="str">
        <f>IFERROR(__xludf.DUMMYFUNCTION("REGEXREPLACE(B555,$A$3, )"),"Aplikasi eror terus, tidak bisa di gunakan")</f>
        <v>Aplikasi eror terus, tidak bisa di gunakan</v>
      </c>
      <c r="D555" s="17" t="str">
        <f>IFERROR(__xludf.DUMMYFUNCTION("REGEXREPLACE(C555,$A$4, )"),"Aplikasi eror terus, tidak bisa di gunakan")</f>
        <v>Aplikasi eror terus, tidak bisa di gunakan</v>
      </c>
      <c r="E555" s="17" t="str">
        <f>IFERROR(__xludf.DUMMYFUNCTION("REGEXREPLACE(D555,$A$5, )"),"Aplikasi eror terus, tidak bisa di gunakan")</f>
        <v>Aplikasi eror terus, tidak bisa di gunakan</v>
      </c>
      <c r="F555" s="17" t="str">
        <f>IFERROR(__xludf.DUMMYFUNCTION("REGEXREPLACE(E555,$A$6, )"),"Aplikasi eror terus tidak bisa di gunakan")</f>
        <v>Aplikasi eror terus tidak bisa di gunakan</v>
      </c>
      <c r="G555" s="18" t="str">
        <f>IFERROR(__xludf.DUMMYFUNCTION("REGEXREPLACE(F555,$A$7, )"),"Aplikasi eror terus tidak bisa di gunakan")</f>
        <v>Aplikasi eror terus tidak bisa di gunakan</v>
      </c>
      <c r="H555" s="17" t="str">
        <f t="shared" si="1"/>
        <v>aplikasi eror terus tidak bisa di gunakan</v>
      </c>
    </row>
    <row r="556">
      <c r="A556" s="16" t="s">
        <v>551</v>
      </c>
      <c r="B556" s="17" t="str">
        <f>IFERROR(__xludf.DUMMYFUNCTION("REGEXREPLACE(A556,$A$2, )"),"Saya sudah mengajukan usulan namun sampai sekarang blom ada balasan /tanggapanya sudah hampir 4bulan lamanya??")</f>
        <v>Saya sudah mengajukan usulan namun sampai sekarang blom ada balasan /tanggapanya sudah hampir 4bulan lamanya??</v>
      </c>
      <c r="C556" s="17" t="str">
        <f>IFERROR(__xludf.DUMMYFUNCTION("REGEXREPLACE(B556,$A$3, )"),"Saya sudah mengajukan usulan namun sampai sekarang blom ada balasan /tanggapanya sudah hampir 4bulan lamanya??")</f>
        <v>Saya sudah mengajukan usulan namun sampai sekarang blom ada balasan /tanggapanya sudah hampir 4bulan lamanya??</v>
      </c>
      <c r="D556" s="17" t="str">
        <f>IFERROR(__xludf.DUMMYFUNCTION("REGEXREPLACE(C556,$A$4, )"),"Saya sudah mengajukan usulan namun sampai sekarang blom ada balasan /tanggapanya sudah hampir 4bulan lamanya??")</f>
        <v>Saya sudah mengajukan usulan namun sampai sekarang blom ada balasan /tanggapanya sudah hampir 4bulan lamanya??</v>
      </c>
      <c r="E556" s="17" t="str">
        <f>IFERROR(__xludf.DUMMYFUNCTION("REGEXREPLACE(D556,$A$5, )"),"Saya sudah mengajukan usulan namun sampai sekarang blom ada balasan /tanggapanya sudah hampir bulan lamanya??")</f>
        <v>Saya sudah mengajukan usulan namun sampai sekarang blom ada balasan /tanggapanya sudah hampir bulan lamanya??</v>
      </c>
      <c r="F556" s="17" t="str">
        <f>IFERROR(__xludf.DUMMYFUNCTION("REGEXREPLACE(E556,$A$6, )"),"Saya sudah mengajukan usulan namun sampai sekarang blom ada balasan tanggapanya sudah hampir bulan lamanya")</f>
        <v>Saya sudah mengajukan usulan namun sampai sekarang blom ada balasan tanggapanya sudah hampir bulan lamanya</v>
      </c>
      <c r="G556" s="18" t="str">
        <f>IFERROR(__xludf.DUMMYFUNCTION("REGEXREPLACE(F556,$A$7, )"),"Saya sudah mengajukan usulan namun sampai sekarang blom ada balasan tanggapanya sudah hampir bulan lamanya")</f>
        <v>Saya sudah mengajukan usulan namun sampai sekarang blom ada balasan tanggapanya sudah hampir bulan lamanya</v>
      </c>
      <c r="H556" s="17" t="str">
        <f t="shared" si="1"/>
        <v>saya sudah mengajukan usulan namun sampai sekarang blom ada balasan tanggapanya sudah hampir bulan lamanya</v>
      </c>
    </row>
    <row r="557">
      <c r="A557" s="16" t="s">
        <v>552</v>
      </c>
      <c r="B557" s="17" t="str">
        <f>IFERROR(__xludf.DUMMYFUNCTION("REGEXREPLACE(A557,$A$2, )"),"Saat buat akun baru, data sudah diisi dengan benar, tapi alasan nik tidak terdaftar... Lah selama ini ngurusin vaksin, stnk pakai nik ini tidak masalah, kenapa di aplikasi ini malah tidak terdaftar... Tolong kemensos, kan aplikasi langsung dari pusat, mas"&amp;"ak iya orang pusat tidak ada yang bisa benerin...?")</f>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c r="C557" s="17" t="str">
        <f>IFERROR(__xludf.DUMMYFUNCTION("REGEXREPLACE(B557,$A$3, )"),"Saat buat akun baru, data sudah diisi dengan benar, tapi alasan nik tidak terdaftar... Lah selama ini ngurusin vaksin, stnk pakai nik ini tidak masalah, kenapa di aplikasi ini malah tidak terdaftar... Tolong kemensos, kan aplikasi langsung dari pusat, mas"&amp;"ak iya orang pusat tidak ada yang bisa benerin...?")</f>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c r="D557" s="17" t="str">
        <f>IFERROR(__xludf.DUMMYFUNCTION("REGEXREPLACE(C557,$A$4, )"),"Saat buat akun baru, data sudah diisi dengan benar, tapi alasan nik tidak terdaftar... Lah selama ini ngurusin vaksin, stnk pakai nik ini tidak masalah, kenapa di aplikasi ini malah tidak terdaftar... Tolong kemensos, kan aplikasi langsung dari pusat, mas"&amp;"ak iya orang pusat tidak ada yang bisa benerin...?")</f>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c r="E557" s="17" t="str">
        <f>IFERROR(__xludf.DUMMYFUNCTION("REGEXREPLACE(D557,$A$5, )"),"Saat buat akun baru, data sudah diisi dengan benar, tapi alasan nik tidak terdaftar... Lah selama ini ngurusin vaksin, stnk pakai nik ini tidak masalah, kenapa di aplikasi ini malah tidak terdaftar... Tolong kemensos, kan aplikasi langsung dari pusat, mas"&amp;"ak iya orang pusat tidak ada yang bisa benerin...?")</f>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c r="F557" s="17" t="str">
        <f>IFERROR(__xludf.DUMMYFUNCTION("REGEXREPLACE(E557,$A$6, )"),"Saat buat akun baru data sudah diisi dengan benar tapi alasan nik tidak terdaftar Lah selama ini ngurusin vaksin stnk pakai nik ini tidak masalah kenapa di aplikasi ini malah tidak terdaftar Tolong kemensos kan aplikasi langsung dari pusat masak iya orang"&amp;" pusat tidak ada yang bisa benerin")</f>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c r="G557" s="18" t="str">
        <f>IFERROR(__xludf.DUMMYFUNCTION("REGEXREPLACE(F557,$A$7, )"),"Saat buat akun baru data sudah diisi dengan benar tapi alasan nik tidak terdaftar Lah selama ini ngurusin vaksin stnk pakai nik ini tidak masalah kenapa di aplikasi ini malah tidak terdaftar Tolong kemensos kan aplikasi langsung dari pusat masak iya orang"&amp;" pusat tidak ada yang bisa benerin")</f>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c r="H557" s="17" t="str">
        <f t="shared" si="1"/>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row>
    <row r="558">
      <c r="A558" s="16" t="s">
        <v>553</v>
      </c>
      <c r="B558" s="17" t="str">
        <f>IFERROR(__xludf.DUMMYFUNCTION("REGEXREPLACE(A558,$A$2, )"),"Udah di verifikasi aja tetep gx bisa login, gajelas ini aplikasi")</f>
        <v>Udah di verifikasi aja tetep gx bisa login, gajelas ini aplikasi</v>
      </c>
      <c r="C558" s="17" t="str">
        <f>IFERROR(__xludf.DUMMYFUNCTION("REGEXREPLACE(B558,$A$3, )"),"Udah di verifikasi aja tetep gx bisa login, gajelas ini aplikasi")</f>
        <v>Udah di verifikasi aja tetep gx bisa login, gajelas ini aplikasi</v>
      </c>
      <c r="D558" s="17" t="str">
        <f>IFERROR(__xludf.DUMMYFUNCTION("REGEXREPLACE(C558,$A$4, )"),"Udah di verifikasi aja tetep gx bisa login, gajelas ini aplikasi")</f>
        <v>Udah di verifikasi aja tetep gx bisa login, gajelas ini aplikasi</v>
      </c>
      <c r="E558" s="17" t="str">
        <f>IFERROR(__xludf.DUMMYFUNCTION("REGEXREPLACE(D558,$A$5, )"),"Udah di verifikasi aja tetep gx bisa login, gajelas ini aplikasi")</f>
        <v>Udah di verifikasi aja tetep gx bisa login, gajelas ini aplikasi</v>
      </c>
      <c r="F558" s="17" t="str">
        <f>IFERROR(__xludf.DUMMYFUNCTION("REGEXREPLACE(E558,$A$6, )"),"Udah di verifikasi aja tetep gx bisa login gajelas ini aplikasi")</f>
        <v>Udah di verifikasi aja tetep gx bisa login gajelas ini aplikasi</v>
      </c>
      <c r="G558" s="18" t="str">
        <f>IFERROR(__xludf.DUMMYFUNCTION("REGEXREPLACE(F558,$A$7, )"),"Udah di verifikasi aja tetep gx bisa login gajelas ini aplikasi")</f>
        <v>Udah di verifikasi aja tetep gx bisa login gajelas ini aplikasi</v>
      </c>
      <c r="H558" s="17" t="str">
        <f t="shared" si="1"/>
        <v>udah di verifikasi aja tetep gx bisa login gajelas ini aplikasi</v>
      </c>
    </row>
    <row r="559">
      <c r="A559" s="16" t="s">
        <v>554</v>
      </c>
      <c r="B559" s="17" t="str">
        <f>IFERROR(__xludf.DUMMYFUNCTION("REGEXREPLACE(A559,$A$2, )"),"Ga bisa masuk dan daftar gmna sih tolong di benerin dulu")</f>
        <v>Ga bisa masuk dan daftar gmna sih tolong di benerin dulu</v>
      </c>
      <c r="C559" s="17" t="str">
        <f>IFERROR(__xludf.DUMMYFUNCTION("REGEXREPLACE(B559,$A$3, )"),"Ga bisa masuk dan daftar gmna sih tolong di benerin dulu")</f>
        <v>Ga bisa masuk dan daftar gmna sih tolong di benerin dulu</v>
      </c>
      <c r="D559" s="17" t="str">
        <f>IFERROR(__xludf.DUMMYFUNCTION("REGEXREPLACE(C559,$A$4, )"),"Ga bisa masuk dan daftar gmna sih tolong di benerin dulu")</f>
        <v>Ga bisa masuk dan daftar gmna sih tolong di benerin dulu</v>
      </c>
      <c r="E559" s="17" t="str">
        <f>IFERROR(__xludf.DUMMYFUNCTION("REGEXREPLACE(D559,$A$5, )"),"Ga bisa masuk dan daftar gmna sih tolong di benerin dulu")</f>
        <v>Ga bisa masuk dan daftar gmna sih tolong di benerin dulu</v>
      </c>
      <c r="F559" s="17" t="str">
        <f>IFERROR(__xludf.DUMMYFUNCTION("REGEXREPLACE(E559,$A$6, )"),"Ga bisa masuk dan daftar gmna sih tolong di benerin dulu")</f>
        <v>Ga bisa masuk dan daftar gmna sih tolong di benerin dulu</v>
      </c>
      <c r="G559" s="18" t="str">
        <f>IFERROR(__xludf.DUMMYFUNCTION("REGEXREPLACE(F559,$A$7, )"),"Ga bisa masuk dan daftar gmna sih tolong di benerin dulu")</f>
        <v>Ga bisa masuk dan daftar gmna sih tolong di benerin dulu</v>
      </c>
      <c r="H559" s="17" t="str">
        <f t="shared" si="1"/>
        <v>ga bisa masuk dan daftar gmna sih tolong di benerin dulu</v>
      </c>
    </row>
    <row r="560">
      <c r="A560" s="16" t="s">
        <v>555</v>
      </c>
      <c r="B560" s="17" t="str">
        <f>IFERROR(__xludf.DUMMYFUNCTION("REGEXREPLACE(A560,$A$2, )"),"Sudah buat akun gak bisa masuk keterangan blm aktif padahal sudah dapat email")</f>
        <v>Sudah buat akun gak bisa masuk keterangan blm aktif padahal sudah dapat email</v>
      </c>
      <c r="C560" s="17" t="str">
        <f>IFERROR(__xludf.DUMMYFUNCTION("REGEXREPLACE(B560,$A$3, )"),"Sudah buat akun gak bisa masuk keterangan blm aktif padahal sudah dapat email")</f>
        <v>Sudah buat akun gak bisa masuk keterangan blm aktif padahal sudah dapat email</v>
      </c>
      <c r="D560" s="17" t="str">
        <f>IFERROR(__xludf.DUMMYFUNCTION("REGEXREPLACE(C560,$A$4, )"),"Sudah buat akun gak bisa masuk keterangan blm aktif padahal sudah dapat email")</f>
        <v>Sudah buat akun gak bisa masuk keterangan blm aktif padahal sudah dapat email</v>
      </c>
      <c r="E560" s="17" t="str">
        <f>IFERROR(__xludf.DUMMYFUNCTION("REGEXREPLACE(D560,$A$5, )"),"Sudah buat akun gak bisa masuk keterangan blm aktif padahal sudah dapat email")</f>
        <v>Sudah buat akun gak bisa masuk keterangan blm aktif padahal sudah dapat email</v>
      </c>
      <c r="F560" s="17" t="str">
        <f>IFERROR(__xludf.DUMMYFUNCTION("REGEXREPLACE(E560,$A$6, )"),"Sudah buat akun gak bisa masuk keterangan blm aktif padahal sudah dapat email")</f>
        <v>Sudah buat akun gak bisa masuk keterangan blm aktif padahal sudah dapat email</v>
      </c>
      <c r="G560" s="18" t="str">
        <f>IFERROR(__xludf.DUMMYFUNCTION("REGEXREPLACE(F560,$A$7, )"),"Sudah buat akun gak bisa masuk keterangan blm aktif padahal sudah dapat email")</f>
        <v>Sudah buat akun gak bisa masuk keterangan blm aktif padahal sudah dapat email</v>
      </c>
      <c r="H560" s="17" t="str">
        <f t="shared" si="1"/>
        <v>sudah buat akun gak bisa masuk keterangan blm aktif padahal sudah dapat email</v>
      </c>
    </row>
    <row r="561">
      <c r="A561" s="16" t="s">
        <v>556</v>
      </c>
      <c r="B561" s="17" t="str">
        <f>IFERROR(__xludf.DUMMYFUNCTION("REGEXREPLACE(A561,$A$2, )"),"Dari pertama daftar sampai sekarang sudah dapat email aktivasi masih saja di persulit. Mau login -tidak terdapat koneksi- padahal sinyal bagus dan kuota pun masih banyak. Tapi kenapa keterangan nya sperti ini.. ini kenapa, tolong segera di perbaiki!!!")</f>
        <v>Dari pertama daftar sampai sekarang sudah dapat email aktivasi masih saja di persulit. Mau login -tidak terdapat koneksi- padahal sinyal bagus dan kuota pun masih banyak. Tapi kenapa keterangan nya sperti ini.. ini kenapa, tolong segera di perbaiki!!!</v>
      </c>
      <c r="C561" s="17" t="str">
        <f>IFERROR(__xludf.DUMMYFUNCTION("REGEXREPLACE(B561,$A$3, )"),"Dari pertama daftar sampai sekarang sudah dapat email aktivasi masih saja di persulit. Mau login -tidak terdapat koneksi- padahal sinyal bagus dan kuota pun masih banyak. Tapi kenapa keterangan nya sperti ini.. ini kenapa, tolong segera di perbaiki!!!")</f>
        <v>Dari pertama daftar sampai sekarang sudah dapat email aktivasi masih saja di persulit. Mau login -tidak terdapat koneksi- padahal sinyal bagus dan kuota pun masih banyak. Tapi kenapa keterangan nya sperti ini.. ini kenapa, tolong segera di perbaiki!!!</v>
      </c>
      <c r="D561" s="17" t="str">
        <f>IFERROR(__xludf.DUMMYFUNCTION("REGEXREPLACE(C561,$A$4, )"),"Dari pertama daftar sampai sekarang sudah dapat email aktivasi masih saja di persulit. Mau login -tidak terdapat koneksi- padahal sinyal bagus dan kuota pun masih banyak. Tapi kenapa keterangan nya sperti ini.. ini kenapa, tolong segera di perbaiki!!!")</f>
        <v>Dari pertama daftar sampai sekarang sudah dapat email aktivasi masih saja di persulit. Mau login -tidak terdapat koneksi- padahal sinyal bagus dan kuota pun masih banyak. Tapi kenapa keterangan nya sperti ini.. ini kenapa, tolong segera di perbaiki!!!</v>
      </c>
      <c r="E561" s="17" t="str">
        <f>IFERROR(__xludf.DUMMYFUNCTION("REGEXREPLACE(D561,$A$5, )"),"Dari pertama daftar sampai sekarang sudah dapat email aktivasi masih saja di persulit. Mau login -tidak terdapat koneksi- padahal sinyal bagus dan kuota pun masih banyak. Tapi kenapa keterangan nya sperti ini.. ini kenapa, tolong segera di perbaiki!!!")</f>
        <v>Dari pertama daftar sampai sekarang sudah dapat email aktivasi masih saja di persulit. Mau login -tidak terdapat koneksi- padahal sinyal bagus dan kuota pun masih banyak. Tapi kenapa keterangan nya sperti ini.. ini kenapa, tolong segera di perbaiki!!!</v>
      </c>
      <c r="F561" s="17" t="str">
        <f>IFERROR(__xludf.DUMMYFUNCTION("REGEXREPLACE(E561,$A$6, )"),"Dari pertama daftar sampai sekarang sudah dapat email aktivasi masih saja di persulit Mau login tidak terdapat koneksi padahal sinyal bagus dan kuota pun masih banyak Tapi kenapa keterangan nya sperti ini ini kenapa tolong segera di perbaiki")</f>
        <v>Dari pertama daftar sampai sekarang sudah dapat email aktivasi masih saja di persulit Mau login tidak terdapat koneksi padahal sinyal bagus dan kuota pun masih banyak Tapi kenapa keterangan nya sperti ini ini kenapa tolong segera di perbaiki</v>
      </c>
      <c r="G561" s="18" t="str">
        <f>IFERROR(__xludf.DUMMYFUNCTION("REGEXREPLACE(F561,$A$7, )"),"Dari pertama daftar sampai sekarang sudah dapat email aktivasi masih saja di persulit Mau login tidak terdapat koneksi padahal sinyal bagus dan kuota pun masih banyak Tapi kenapa keterangan nya sperti ini ini kenapa tolong segera di perbaiki")</f>
        <v>Dari pertama daftar sampai sekarang sudah dapat email aktivasi masih saja di persulit Mau login tidak terdapat koneksi padahal sinyal bagus dan kuota pun masih banyak Tapi kenapa keterangan nya sperti ini ini kenapa tolong segera di perbaiki</v>
      </c>
      <c r="H561" s="17" t="str">
        <f t="shared" si="1"/>
        <v>dari pertama daftar sampai sekarang sudah dapat email aktivasi masih saja di persulit mau login tidak terdapat koneksi padahal sinyal bagus dan kuota pun masih banyak tapi kenapa keterangan nya sperti ini ini kenapa tolong segera di perbaiki</v>
      </c>
    </row>
    <row r="562">
      <c r="A562" s="16" t="s">
        <v>557</v>
      </c>
      <c r="B562" s="17" t="str">
        <f>IFERROR(__xludf.DUMMYFUNCTION("REGEXREPLACE(A562,$A$2, )"),"Sangat kecewa sangat sulit di bula dam tidak pernah bisa masuk")</f>
        <v>Sangat kecewa sangat sulit di bula dam tidak pernah bisa masuk</v>
      </c>
      <c r="C562" s="17" t="str">
        <f>IFERROR(__xludf.DUMMYFUNCTION("REGEXREPLACE(B562,$A$3, )"),"Sangat kecewa sangat sulit di bula dam tidak pernah bisa masuk")</f>
        <v>Sangat kecewa sangat sulit di bula dam tidak pernah bisa masuk</v>
      </c>
      <c r="D562" s="17" t="str">
        <f>IFERROR(__xludf.DUMMYFUNCTION("REGEXREPLACE(C562,$A$4, )"),"Sangat kecewa sangat sulit di bula dam tidak pernah bisa masuk")</f>
        <v>Sangat kecewa sangat sulit di bula dam tidak pernah bisa masuk</v>
      </c>
      <c r="E562" s="17" t="str">
        <f>IFERROR(__xludf.DUMMYFUNCTION("REGEXREPLACE(D562,$A$5, )"),"Sangat kecewa sangat sulit di bula dam tidak pernah bisa masuk")</f>
        <v>Sangat kecewa sangat sulit di bula dam tidak pernah bisa masuk</v>
      </c>
      <c r="F562" s="17" t="str">
        <f>IFERROR(__xludf.DUMMYFUNCTION("REGEXREPLACE(E562,$A$6, )"),"Sangat kecewa sangat sulit di bula dam tidak pernah bisa masuk")</f>
        <v>Sangat kecewa sangat sulit di bula dam tidak pernah bisa masuk</v>
      </c>
      <c r="G562" s="18" t="str">
        <f>IFERROR(__xludf.DUMMYFUNCTION("REGEXREPLACE(F562,$A$7, )"),"Sangat kecewa sangat sulit di bula dam tidak pernah bisa masuk")</f>
        <v>Sangat kecewa sangat sulit di bula dam tidak pernah bisa masuk</v>
      </c>
      <c r="H562" s="17" t="str">
        <f t="shared" si="1"/>
        <v>sangat kecewa sangat sulit di bula dam tidak pernah bisa masuk</v>
      </c>
    </row>
    <row r="563">
      <c r="A563" s="16" t="s">
        <v>558</v>
      </c>
      <c r="B563" s="17" t="str">
        <f>IFERROR(__xludf.DUMMYFUNCTION("REGEXREPLACE(A563,$A$2, )"),"Kenapa aku kok gak bisa login ya padahal sudah daftar")</f>
        <v>Kenapa aku kok gak bisa login ya padahal sudah daftar</v>
      </c>
      <c r="C563" s="17" t="str">
        <f>IFERROR(__xludf.DUMMYFUNCTION("REGEXREPLACE(B563,$A$3, )"),"Kenapa aku kok gak bisa login ya padahal sudah daftar")</f>
        <v>Kenapa aku kok gak bisa login ya padahal sudah daftar</v>
      </c>
      <c r="D563" s="17" t="str">
        <f>IFERROR(__xludf.DUMMYFUNCTION("REGEXREPLACE(C563,$A$4, )"),"Kenapa aku kok gak bisa login ya padahal sudah daftar")</f>
        <v>Kenapa aku kok gak bisa login ya padahal sudah daftar</v>
      </c>
      <c r="E563" s="17" t="str">
        <f>IFERROR(__xludf.DUMMYFUNCTION("REGEXREPLACE(D563,$A$5, )"),"Kenapa aku kok gak bisa login ya padahal sudah daftar")</f>
        <v>Kenapa aku kok gak bisa login ya padahal sudah daftar</v>
      </c>
      <c r="F563" s="17" t="str">
        <f>IFERROR(__xludf.DUMMYFUNCTION("REGEXREPLACE(E563,$A$6, )"),"Kenapa aku kok gak bisa login ya padahal sudah daftar")</f>
        <v>Kenapa aku kok gak bisa login ya padahal sudah daftar</v>
      </c>
      <c r="G563" s="18" t="str">
        <f>IFERROR(__xludf.DUMMYFUNCTION("REGEXREPLACE(F563,$A$7, )"),"Kenapa aku kok gak bisa login ya padahal sudah daftar")</f>
        <v>Kenapa aku kok gak bisa login ya padahal sudah daftar</v>
      </c>
      <c r="H563" s="17" t="str">
        <f t="shared" si="1"/>
        <v>kenapa aku kok gak bisa login ya padahal sudah daftar</v>
      </c>
    </row>
    <row r="564">
      <c r="A564" s="16" t="s">
        <v>559</v>
      </c>
      <c r="B564" s="17" t="str">
        <f>IFERROR(__xludf.DUMMYFUNCTION("REGEXREPLACE(A564,$A$2, )"),"Kenapa untuk login ko jd sulit")</f>
        <v>Kenapa untuk login ko jd sulit</v>
      </c>
      <c r="C564" s="17" t="str">
        <f>IFERROR(__xludf.DUMMYFUNCTION("REGEXREPLACE(B564,$A$3, )"),"Kenapa untuk login ko jd sulit")</f>
        <v>Kenapa untuk login ko jd sulit</v>
      </c>
      <c r="D564" s="17" t="str">
        <f>IFERROR(__xludf.DUMMYFUNCTION("REGEXREPLACE(C564,$A$4, )"),"Kenapa untuk login ko jd sulit")</f>
        <v>Kenapa untuk login ko jd sulit</v>
      </c>
      <c r="E564" s="17" t="str">
        <f>IFERROR(__xludf.DUMMYFUNCTION("REGEXREPLACE(D564,$A$5, )"),"Kenapa untuk login ko jd sulit")</f>
        <v>Kenapa untuk login ko jd sulit</v>
      </c>
      <c r="F564" s="17" t="str">
        <f>IFERROR(__xludf.DUMMYFUNCTION("REGEXREPLACE(E564,$A$6, )"),"Kenapa untuk login ko jd sulit")</f>
        <v>Kenapa untuk login ko jd sulit</v>
      </c>
      <c r="G564" s="18" t="str">
        <f>IFERROR(__xludf.DUMMYFUNCTION("REGEXREPLACE(F564,$A$7, )"),"Kenapa untuk login ko jd sulit")</f>
        <v>Kenapa untuk login ko jd sulit</v>
      </c>
      <c r="H564" s="17" t="str">
        <f t="shared" si="1"/>
        <v>kenapa untuk login ko jd sulit</v>
      </c>
    </row>
    <row r="565">
      <c r="A565" s="16" t="s">
        <v>560</v>
      </c>
      <c r="B565" s="17" t="str">
        <f>IFERROR(__xludf.DUMMYFUNCTION("REGEXREPLACE(A565,$A$2, )"),"Pemeliharaan sistem terus. Apakah ahli2 IT dari kemebterian ini kerja gaji buta atau bagaimana?")</f>
        <v>Pemeliharaan sistem terus. Apakah ahli2 IT dari kemebterian ini kerja gaji buta atau bagaimana?</v>
      </c>
      <c r="C565" s="17" t="str">
        <f>IFERROR(__xludf.DUMMYFUNCTION("REGEXREPLACE(B565,$A$3, )"),"Pemeliharaan sistem terus. Apakah ahli2 IT dari kemebterian ini kerja gaji buta atau bagaimana?")</f>
        <v>Pemeliharaan sistem terus. Apakah ahli2 IT dari kemebterian ini kerja gaji buta atau bagaimana?</v>
      </c>
      <c r="D565" s="17" t="str">
        <f>IFERROR(__xludf.DUMMYFUNCTION("REGEXREPLACE(C565,$A$4, )"),"Pemeliharaan sistem terus. Apakah ahli2 IT dari kemebterian ini kerja gaji buta atau bagaimana?")</f>
        <v>Pemeliharaan sistem terus. Apakah ahli2 IT dari kemebterian ini kerja gaji buta atau bagaimana?</v>
      </c>
      <c r="E565" s="17" t="str">
        <f>IFERROR(__xludf.DUMMYFUNCTION("REGEXREPLACE(D565,$A$5, )"),"Pemeliharaan sistem terus. Apakah ahli IT dari kemebterian ini kerja gaji buta atau bagaimana?")</f>
        <v>Pemeliharaan sistem terus. Apakah ahli IT dari kemebterian ini kerja gaji buta atau bagaimana?</v>
      </c>
      <c r="F565" s="17" t="str">
        <f>IFERROR(__xludf.DUMMYFUNCTION("REGEXREPLACE(E565,$A$6, )"),"Pemeliharaan sistem terus Apakah ahli IT dari kemebterian ini kerja gaji buta atau bagaimana")</f>
        <v>Pemeliharaan sistem terus Apakah ahli IT dari kemebterian ini kerja gaji buta atau bagaimana</v>
      </c>
      <c r="G565" s="18" t="str">
        <f>IFERROR(__xludf.DUMMYFUNCTION("REGEXREPLACE(F565,$A$7, )"),"Pemeliharaan sistem terus Apakah ahli IT dari kemebterian ini kerja gaji buta atau bagaimana")</f>
        <v>Pemeliharaan sistem terus Apakah ahli IT dari kemebterian ini kerja gaji buta atau bagaimana</v>
      </c>
      <c r="H565" s="17" t="str">
        <f t="shared" si="1"/>
        <v>pemeliharaan sistem terus apakah ahli it dari kemebterian ini kerja gaji buta atau bagaimana</v>
      </c>
    </row>
    <row r="566">
      <c r="A566" s="16" t="s">
        <v>561</v>
      </c>
      <c r="B566" s="17" t="str">
        <f>IFERROR(__xludf.DUMMYFUNCTION("REGEXREPLACE(A566,$A$2, )"),"Tolong penjelasan nya Yth bapa ibu pengelola apk ini ,, kan apk ini tujuan nya untuk membantu masyarakat agar tidak ada bantuan yang salah sasaran dan agar yang merasa pantas dapat bantuan bisa daftarkan diri mereka ,, tapi apk ini masih kurang efisien Sa"&amp;"at masukan data semua valid, tapi saat mau log in belum terdaftar terus ,,Tolong lebih di tingkatkan lagi performanya agar bisa benar""membantu masyarakat, karena di daerah saya masih banyak bantuan yang salah sasaran terimakasih 🙏🙏")</f>
        <v>Tolong penjelasan nya Yth bapa ibu pengelola apk ini ,, kan apk ini tujuan nya untuk membantu masyarakat agar tidak ada bantuan yang salah sasaran dan agar yang merasa pantas dapat bantuan bisa daftarkan diri mereka ,, tapi apk ini masih kurang efisien Saat masukan data semua valid, tapi saat mau log in belum terdaftar terus ,,Tolong lebih di tingkatkan lagi performanya agar bisa benar"membantu masyarakat, karena di daerah saya masih banyak bantuan yang salah sasaran terimakasih 🙏🙏</v>
      </c>
      <c r="C566" s="17" t="str">
        <f>IFERROR(__xludf.DUMMYFUNCTION("REGEXREPLACE(B566,$A$3, )"),"Tolong penjelasan nya Yth bapa ibu pengelola apk ini ,, kan apk ini tujuan nya untuk membantu masyarakat agar tidak ada bantuan yang salah sasaran dan agar yang merasa pantas dapat bantuan bisa daftarkan diri mereka ,, tapi apk ini masih kurang efisien Sa"&amp;"at masukan data semua valid, tapi saat mau log in belum terdaftar terus ,,Tolong lebih di tingkatkan lagi performanya agar bisa benar""membantu masyarakat, karena di daerah saya masih banyak bantuan yang salah sasaran terimakasih 🙏🙏")</f>
        <v>Tolong penjelasan nya Yth bapa ibu pengelola apk ini ,, kan apk ini tujuan nya untuk membantu masyarakat agar tidak ada bantuan yang salah sasaran dan agar yang merasa pantas dapat bantuan bisa daftarkan diri mereka ,, tapi apk ini masih kurang efisien Saat masukan data semua valid, tapi saat mau log in belum terdaftar terus ,,Tolong lebih di tingkatkan lagi performanya agar bisa benar"membantu masyarakat, karena di daerah saya masih banyak bantuan yang salah sasaran terimakasih 🙏🙏</v>
      </c>
      <c r="D566" s="17" t="str">
        <f>IFERROR(__xludf.DUMMYFUNCTION("REGEXREPLACE(C566,$A$4, )"),"Tolong penjelasan nya Yth bapa ibu pengelola apk ini ,, kan apk ini tujuan nya untuk membantu masyarakat agar tidak ada bantuan yang salah sasaran dan agar yang merasa pantas dapat bantuan bisa daftarkan diri mereka ,, tapi apk ini masih kurang efisien Sa"&amp;"at masukan data semua valid, tapi saat mau log in belum terdaftar terus ,,Tolong lebih di tingkatkan lagi performanya agar bisa benar""membantu masyarakat, karena di daerah saya masih banyak bantuan yang salah sasaran terimakasih 🙏🙏")</f>
        <v>Tolong penjelasan nya Yth bapa ibu pengelola apk ini ,, kan apk ini tujuan nya untuk membantu masyarakat agar tidak ada bantuan yang salah sasaran dan agar yang merasa pantas dapat bantuan bisa daftarkan diri mereka ,, tapi apk ini masih kurang efisien Saat masukan data semua valid, tapi saat mau log in belum terdaftar terus ,,Tolong lebih di tingkatkan lagi performanya agar bisa benar"membantu masyarakat, karena di daerah saya masih banyak bantuan yang salah sasaran terimakasih 🙏🙏</v>
      </c>
      <c r="E566" s="17" t="str">
        <f>IFERROR(__xludf.DUMMYFUNCTION("REGEXREPLACE(D566,$A$5, )"),"Tolong penjelasan nya Yth bapa ibu pengelola apk ini ,, kan apk ini tujuan nya untuk membantu masyarakat agar tidak ada bantuan yang salah sasaran dan agar yang merasa pantas dapat bantuan bisa daftarkan diri mereka ,, tapi apk ini masih kurang efisien Sa"&amp;"at masukan data semua valid, tapi saat mau log in belum terdaftar terus ,,Tolong lebih di tingkatkan lagi performanya agar bisa benar""membantu masyarakat, karena di daerah saya masih banyak bantuan yang salah sasaran terimakasih 🙏🙏")</f>
        <v>Tolong penjelasan nya Yth bapa ibu pengelola apk ini ,, kan apk ini tujuan nya untuk membantu masyarakat agar tidak ada bantuan yang salah sasaran dan agar yang merasa pantas dapat bantuan bisa daftarkan diri mereka ,, tapi apk ini masih kurang efisien Saat masukan data semua valid, tapi saat mau log in belum terdaftar terus ,,Tolong lebih di tingkatkan lagi performanya agar bisa benar"membantu masyarakat, karena di daerah saya masih banyak bantuan yang salah sasaran terimakasih 🙏🙏</v>
      </c>
      <c r="F566" s="17" t="str">
        <f>IFERROR(__xludf.DUMMYFUNCTION("REGEXREPLACE(E566,$A$6, )"),"Tolong penjelasan nya Yth bapa ibu pengelola apk ini  kan apk ini tujuan nya untuk membantu masyarakat agar tidak ada bantuan yang salah sasaran dan agar yang merasa pantas dapat bantuan bisa daftarkan diri mereka  tapi apk ini masih kurang efisien Saat m"&amp;"asukan data semua valid tapi saat mau log in belum terdaftar terus Tolong lebih di tingkatkan lagi performanya agar bisa benarmembantu masyarakat karena di daerah saya masih banyak bantuan yang salah sasaran terimakasih 🙏🙏")</f>
        <v>Tolong penjelasan nya Yth bapa ibu pengelola apk ini  kan apk ini tujuan nya untuk membantu masyarakat agar tidak ada bantuan yang salah sasaran dan agar yang merasa pantas dapat bantuan bisa daftarkan diri mereka  tapi apk ini masih kurang efisien Saat masukan data semua valid tapi saat mau log in belum terdaftar terus Tolong lebih di tingkatkan lagi performanya agar bisa benarmembantu masyarakat karena di daerah saya masih banyak bantuan yang salah sasaran terimakasih 🙏🙏</v>
      </c>
      <c r="G566" s="18" t="str">
        <f>IFERROR(__xludf.DUMMYFUNCTION("REGEXREPLACE(F566,$A$7, )"),"Tolong penjelasan nya Yth bapa ibu pengelola apk ini  kan apk ini tujuan nya untuk membantu masyarakat agar tidak ada bantuan yang salah sasaran dan agar yang merasa pantas dapat bantuan bisa daftarkan diri mereka  tapi apk ini masih kurang efisien Saat m"&amp;"asukan data semua valid tapi saat mau log in belum terdaftar terus Tolong lebih di tingkatkan lagi performanya agar bisa benarmembantu masyarakat karena di daerah saya masih banyak bantuan yang salah sasaran terimakasih ")</f>
        <v>Tolong penjelasan nya Yth bapa ibu pengelola apk ini  kan apk ini tujuan nya untuk membantu masyarakat agar tidak ada bantuan yang salah sasaran dan agar yang merasa pantas dapat bantuan bisa daftarkan diri mereka  tapi apk ini masih kurang efisien Saat masukan data semua valid tapi saat mau log in belum terdaftar terus Tolong lebih di tingkatkan lagi performanya agar bisa benarmembantu masyarakat karena di daerah saya masih banyak bantuan yang salah sasaran terimakasih </v>
      </c>
      <c r="H566" s="17" t="str">
        <f t="shared" si="1"/>
        <v>tolong penjelasan nya yth bapa ibu pengelola apk ini  kan apk ini tujuan nya untuk membantu masyarakat agar tidak ada bantuan yang salah sasaran dan agar yang merasa pantas dapat bantuan bisa daftarkan diri mereka  tapi apk ini masih kurang efisien saat masukan data semua valid tapi saat mau log in belum terdaftar terus tolong lebih di tingkatkan lagi performanya agar bisa benarmembantu masyarakat karena di daerah saya masih banyak bantuan yang salah sasaran terimakasih </v>
      </c>
    </row>
    <row r="567">
      <c r="A567" s="16" t="s">
        <v>562</v>
      </c>
      <c r="B567" s="17" t="str">
        <f>IFERROR(__xludf.DUMMYFUNCTION("REGEXREPLACE(A567,$A$2, )"),"Mendaftar akun baru saja sudah error',,suruh hubungi admin,")</f>
        <v>Mendaftar akun baru saja sudah error',,suruh hubungi admin,</v>
      </c>
      <c r="C567" s="17" t="str">
        <f>IFERROR(__xludf.DUMMYFUNCTION("REGEXREPLACE(B567,$A$3, )"),"Mendaftar akun baru saja sudah error',,suruh hubungi admin,")</f>
        <v>Mendaftar akun baru saja sudah error',,suruh hubungi admin,</v>
      </c>
      <c r="D567" s="17" t="str">
        <f>IFERROR(__xludf.DUMMYFUNCTION("REGEXREPLACE(C567,$A$4, )"),"Mendaftar akun baru saja sudah error',,suruh hubungi admin,")</f>
        <v>Mendaftar akun baru saja sudah error',,suruh hubungi admin,</v>
      </c>
      <c r="E567" s="17" t="str">
        <f>IFERROR(__xludf.DUMMYFUNCTION("REGEXREPLACE(D567,$A$5, )"),"Mendaftar akun baru saja sudah error',,suruh hubungi admin,")</f>
        <v>Mendaftar akun baru saja sudah error',,suruh hubungi admin,</v>
      </c>
      <c r="F567" s="17" t="str">
        <f>IFERROR(__xludf.DUMMYFUNCTION("REGEXREPLACE(E567,$A$6, )"),"Mendaftar akun baru saja sudah errorsuruh hubungi admin")</f>
        <v>Mendaftar akun baru saja sudah errorsuruh hubungi admin</v>
      </c>
      <c r="G567" s="18" t="str">
        <f>IFERROR(__xludf.DUMMYFUNCTION("REGEXREPLACE(F567,$A$7, )"),"Mendaftar akun baru saja sudah errorsuruh hubungi admin")</f>
        <v>Mendaftar akun baru saja sudah errorsuruh hubungi admin</v>
      </c>
      <c r="H567" s="17" t="str">
        <f t="shared" si="1"/>
        <v>mendaftar akun baru saja sudah errorsuruh hubungi admin</v>
      </c>
    </row>
    <row r="568">
      <c r="A568" s="16" t="s">
        <v>563</v>
      </c>
      <c r="B568" s="17" t="str">
        <f>IFERROR(__xludf.DUMMYFUNCTION("REGEXREPLACE(A568,$A$2, )"),"Tidak bisa di gunakan sama sekali")</f>
        <v>Tidak bisa di gunakan sama sekali</v>
      </c>
      <c r="C568" s="17" t="str">
        <f>IFERROR(__xludf.DUMMYFUNCTION("REGEXREPLACE(B568,$A$3, )"),"Tidak bisa di gunakan sama sekali")</f>
        <v>Tidak bisa di gunakan sama sekali</v>
      </c>
      <c r="D568" s="17" t="str">
        <f>IFERROR(__xludf.DUMMYFUNCTION("REGEXREPLACE(C568,$A$4, )"),"Tidak bisa di gunakan sama sekali")</f>
        <v>Tidak bisa di gunakan sama sekali</v>
      </c>
      <c r="E568" s="17" t="str">
        <f>IFERROR(__xludf.DUMMYFUNCTION("REGEXREPLACE(D568,$A$5, )"),"Tidak bisa di gunakan sama sekali")</f>
        <v>Tidak bisa di gunakan sama sekali</v>
      </c>
      <c r="F568" s="17" t="str">
        <f>IFERROR(__xludf.DUMMYFUNCTION("REGEXREPLACE(E568,$A$6, )"),"Tidak bisa di gunakan sama sekali")</f>
        <v>Tidak bisa di gunakan sama sekali</v>
      </c>
      <c r="G568" s="18" t="str">
        <f>IFERROR(__xludf.DUMMYFUNCTION("REGEXREPLACE(F568,$A$7, )"),"Tidak bisa di gunakan sama sekali")</f>
        <v>Tidak bisa di gunakan sama sekali</v>
      </c>
      <c r="H568" s="17" t="str">
        <f t="shared" si="1"/>
        <v>tidak bisa di gunakan sama sekali</v>
      </c>
    </row>
    <row r="569">
      <c r="A569" s="16" t="s">
        <v>564</v>
      </c>
      <c r="B569" s="17" t="str">
        <f>IFERROR(__xludf.DUMMYFUNCTION("REGEXREPLACE(A569,$A$2, )"),"Bru mau login kok aplikasi eror terus,,knpa yh?")</f>
        <v>Bru mau login kok aplikasi eror terus,,knpa yh?</v>
      </c>
      <c r="C569" s="17" t="str">
        <f>IFERROR(__xludf.DUMMYFUNCTION("REGEXREPLACE(B569,$A$3, )"),"Bru mau login kok aplikasi eror terus,,knpa yh?")</f>
        <v>Bru mau login kok aplikasi eror terus,,knpa yh?</v>
      </c>
      <c r="D569" s="17" t="str">
        <f>IFERROR(__xludf.DUMMYFUNCTION("REGEXREPLACE(C569,$A$4, )"),"Bru mau login kok aplikasi eror terus,,knpa yh?")</f>
        <v>Bru mau login kok aplikasi eror terus,,knpa yh?</v>
      </c>
      <c r="E569" s="17" t="str">
        <f>IFERROR(__xludf.DUMMYFUNCTION("REGEXREPLACE(D569,$A$5, )"),"Bru mau login kok aplikasi eror terus,,knpa yh?")</f>
        <v>Bru mau login kok aplikasi eror terus,,knpa yh?</v>
      </c>
      <c r="F569" s="17" t="str">
        <f>IFERROR(__xludf.DUMMYFUNCTION("REGEXREPLACE(E569,$A$6, )"),"Bru mau login kok aplikasi eror terusknpa yh")</f>
        <v>Bru mau login kok aplikasi eror terusknpa yh</v>
      </c>
      <c r="G569" s="18" t="str">
        <f>IFERROR(__xludf.DUMMYFUNCTION("REGEXREPLACE(F569,$A$7, )"),"Bru mau login kok aplikasi eror terusknpa yh")</f>
        <v>Bru mau login kok aplikasi eror terusknpa yh</v>
      </c>
      <c r="H569" s="17" t="str">
        <f t="shared" si="1"/>
        <v>bru mau login kok aplikasi eror terusknpa yh</v>
      </c>
    </row>
    <row r="570">
      <c r="A570" s="16" t="s">
        <v>565</v>
      </c>
      <c r="B570" s="17" t="str">
        <f>IFERROR(__xludf.DUMMYFUNCTION("REGEXREPLACE(A570,$A$2, )"),"Aplikasi gak guna. Memang sudah jadi realita x yah. Aplikasi pemerintah itu seolah-olah gak ada biaya maintenance saat ada Bug/error. Capek-capek buat akun diaplikasi. Saat mau login tapi Username&amp; password tidak ditemukan karena belum aktivasi. Sudah cek"&amp;" Email (kotak masuk &amp; folder spam, tidak ada link untuk aktivasi) Parahhh.......!!!!!")</f>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c r="C570" s="17" t="str">
        <f>IFERROR(__xludf.DUMMYFUNCTION("REGEXREPLACE(B570,$A$3, )"),"Aplikasi gak guna. Memang sudah jadi realita x yah. Aplikasi pemerintah itu seolah-olah gak ada biaya maintenance saat ada Bug/error. Capek-capek buat akun diaplikasi. Saat mau login tapi Username&amp; password tidak ditemukan karena belum aktivasi. Sudah cek"&amp;" Email (kotak masuk &amp; folder spam, tidak ada link untuk aktivasi) Parahhh.......!!!!!")</f>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c r="D570" s="17" t="str">
        <f>IFERROR(__xludf.DUMMYFUNCTION("REGEXREPLACE(C570,$A$4, )"),"Aplikasi gak guna. Memang sudah jadi realita x yah. Aplikasi pemerintah itu seolah-olah gak ada biaya maintenance saat ada Bug/error. Capek-capek buat akun diaplikasi. Saat mau login tapi Username&amp; password tidak ditemukan karena belum aktivasi. Sudah cek"&amp;" Email (kotak masuk &amp; folder spam, tidak ada link untuk aktivasi) Parahhh.......!!!!!")</f>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c r="E570" s="17" t="str">
        <f>IFERROR(__xludf.DUMMYFUNCTION("REGEXREPLACE(D570,$A$5, )"),"Aplikasi gak guna. Memang sudah jadi realita x yah. Aplikasi pemerintah itu seolah-olah gak ada biaya maintenance saat ada Bug/error. Capek-capek buat akun diaplikasi. Saat mau login tapi Username&amp; password tidak ditemukan karena belum aktivasi. Sudah cek"&amp;" Email (kotak masuk &amp; folder spam, tidak ada link untuk aktivasi) Parahhh.......!!!!!")</f>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c r="F570" s="17" t="str">
        <f>IFERROR(__xludf.DUMMYFUNCTION("REGEXREPLACE(E570,$A$6, )"),"Aplikasi gak guna Memang sudah jadi realita x yah Aplikasi pemerintah itu seolaholah gak ada biaya maintenance saat ada Bugerror Capekcapek buat akun diaplikasi Saat mau login tapi Username&amp; password tidak ditemukan karena belum aktivasi Sudah cek Email k"&amp;"otak masuk &amp; folder spam tidak ada link untuk aktivasi Parahhh")</f>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c r="G570" s="18" t="str">
        <f>IFERROR(__xludf.DUMMYFUNCTION("REGEXREPLACE(F570,$A$7, )"),"Aplikasi gak guna Memang sudah jadi realita x yah Aplikasi pemerintah itu seolaholah gak ada biaya maintenance saat ada Bugerror Capekcapek buat akun diaplikasi Saat mau login tapi Username&amp; password tidak ditemukan karena belum aktivasi Sudah cek Email k"&amp;"otak masuk &amp; folder spam tidak ada link untuk aktivasi Parahhh")</f>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c r="H570" s="17" t="str">
        <f t="shared" si="1"/>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row>
    <row r="571">
      <c r="A571" s="16" t="s">
        <v>566</v>
      </c>
      <c r="B571" s="17" t="str">
        <f>IFERROR(__xludf.DUMMYFUNCTION("REGEXREPLACE(A571,$A$2, )"),"G bisa terdaftar soalnya terjadi eror aplikasi trus..mhon bantuannya...")</f>
        <v>G bisa terdaftar soalnya terjadi eror aplikasi trus..mhon bantuannya...</v>
      </c>
      <c r="C571" s="17" t="str">
        <f>IFERROR(__xludf.DUMMYFUNCTION("REGEXREPLACE(B571,$A$3, )"),"G bisa terdaftar soalnya terjadi eror aplikasi trus..mhon bantuannya...")</f>
        <v>G bisa terdaftar soalnya terjadi eror aplikasi trus..mhon bantuannya...</v>
      </c>
      <c r="D571" s="17" t="str">
        <f>IFERROR(__xludf.DUMMYFUNCTION("REGEXREPLACE(C571,$A$4, )"),"G bisa terdaftar soalnya terjadi eror aplikasi trus..mhon bantuannya...")</f>
        <v>G bisa terdaftar soalnya terjadi eror aplikasi trus..mhon bantuannya...</v>
      </c>
      <c r="E571" s="17" t="str">
        <f>IFERROR(__xludf.DUMMYFUNCTION("REGEXREPLACE(D571,$A$5, )"),"G bisa terdaftar soalnya terjadi eror aplikasi trus..mhon bantuannya...")</f>
        <v>G bisa terdaftar soalnya terjadi eror aplikasi trus..mhon bantuannya...</v>
      </c>
      <c r="F571" s="17" t="str">
        <f>IFERROR(__xludf.DUMMYFUNCTION("REGEXREPLACE(E571,$A$6, )"),"G bisa terdaftar soalnya terjadi eror aplikasi trusmhon bantuannya")</f>
        <v>G bisa terdaftar soalnya terjadi eror aplikasi trusmhon bantuannya</v>
      </c>
      <c r="G571" s="18" t="str">
        <f>IFERROR(__xludf.DUMMYFUNCTION("REGEXREPLACE(F571,$A$7, )"),"G bisa terdaftar soalnya terjadi eror aplikasi trusmhon bantuannya")</f>
        <v>G bisa terdaftar soalnya terjadi eror aplikasi trusmhon bantuannya</v>
      </c>
      <c r="H571" s="17" t="str">
        <f t="shared" si="1"/>
        <v>g bisa terdaftar soalnya terjadi eror aplikasi trusmhon bantuannya</v>
      </c>
    </row>
    <row r="572">
      <c r="A572" s="16" t="s">
        <v>567</v>
      </c>
      <c r="B572" s="17" t="str">
        <f>IFERROR(__xludf.DUMMYFUNCTION("REGEXREPLACE(A572,$A$2, )"),"Saat daftar sudah sesuai ktp.. saat klik buat akun baru keterangannya "" gagal melakukan registrasi pendaftaran, wilayah tidak sesuai "" aneh.. padahal ud sesuai ktp, koq bisa wilayah tidak sesuai. Auto uninstall aj")</f>
        <v>Saat daftar sudah sesuai ktp.. saat klik buat akun baru keterangannya " gagal melakukan registrasi pendaftaran, wilayah tidak sesuai " aneh.. padahal ud sesuai ktp, koq bisa wilayah tidak sesuai. Auto uninstall aj</v>
      </c>
      <c r="C572" s="17" t="str">
        <f>IFERROR(__xludf.DUMMYFUNCTION("REGEXREPLACE(B572,$A$3, )"),"Saat daftar sudah sesuai ktp.. saat klik buat akun baru keterangannya "" gagal melakukan registrasi pendaftaran, wilayah tidak sesuai "" aneh.. padahal ud sesuai ktp, koq bisa wilayah tidak sesuai. Auto uninstall aj")</f>
        <v>Saat daftar sudah sesuai ktp.. saat klik buat akun baru keterangannya " gagal melakukan registrasi pendaftaran, wilayah tidak sesuai " aneh.. padahal ud sesuai ktp, koq bisa wilayah tidak sesuai. Auto uninstall aj</v>
      </c>
      <c r="D572" s="17" t="str">
        <f>IFERROR(__xludf.DUMMYFUNCTION("REGEXREPLACE(C572,$A$4, )"),"Saat daftar sudah sesuai ktp.. saat klik buat akun baru keterangannya "" gagal melakukan registrasi pendaftaran, wilayah tidak sesuai "" aneh.. padahal ud sesuai ktp, koq bisa wilayah tidak sesuai. Auto uninstall aj")</f>
        <v>Saat daftar sudah sesuai ktp.. saat klik buat akun baru keterangannya " gagal melakukan registrasi pendaftaran, wilayah tidak sesuai " aneh.. padahal ud sesuai ktp, koq bisa wilayah tidak sesuai. Auto uninstall aj</v>
      </c>
      <c r="E572" s="17" t="str">
        <f>IFERROR(__xludf.DUMMYFUNCTION("REGEXREPLACE(D572,$A$5, )"),"Saat daftar sudah sesuai ktp.. saat klik buat akun baru keterangannya "" gagal melakukan registrasi pendaftaran, wilayah tidak sesuai "" aneh.. padahal ud sesuai ktp, koq bisa wilayah tidak sesuai. Auto uninstall aj")</f>
        <v>Saat daftar sudah sesuai ktp.. saat klik buat akun baru keterangannya " gagal melakukan registrasi pendaftaran, wilayah tidak sesuai " aneh.. padahal ud sesuai ktp, koq bisa wilayah tidak sesuai. Auto uninstall aj</v>
      </c>
      <c r="F572" s="17" t="str">
        <f>IFERROR(__xludf.DUMMYFUNCTION("REGEXREPLACE(E572,$A$6, )"),"Saat daftar sudah sesuai ktp saat klik buat akun baru keterangannya  gagal melakukan registrasi pendaftaran wilayah tidak sesuai  aneh padahal ud sesuai ktp koq bisa wilayah tidak sesuai Auto uninstall aj")</f>
        <v>Saat daftar sudah sesuai ktp saat klik buat akun baru keterangannya  gagal melakukan registrasi pendaftaran wilayah tidak sesuai  aneh padahal ud sesuai ktp koq bisa wilayah tidak sesuai Auto uninstall aj</v>
      </c>
      <c r="G572" s="18" t="str">
        <f>IFERROR(__xludf.DUMMYFUNCTION("REGEXREPLACE(F572,$A$7, )"),"Saat daftar sudah sesuai ktp saat klik buat akun baru keterangannya  gagal melakukan registrasi pendaftaran wilayah tidak sesuai  aneh padahal ud sesuai ktp koq bisa wilayah tidak sesuai Auto uninstall aj")</f>
        <v>Saat daftar sudah sesuai ktp saat klik buat akun baru keterangannya  gagal melakukan registrasi pendaftaran wilayah tidak sesuai  aneh padahal ud sesuai ktp koq bisa wilayah tidak sesuai Auto uninstall aj</v>
      </c>
      <c r="H572" s="17" t="str">
        <f t="shared" si="1"/>
        <v>saat daftar sudah sesuai ktp saat klik buat akun baru keterangannya  gagal melakukan registrasi pendaftaran wilayah tidak sesuai  aneh padahal ud sesuai ktp koq bisa wilayah tidak sesuai auto uninstall aj</v>
      </c>
    </row>
    <row r="573">
      <c r="A573" s="16" t="s">
        <v>568</v>
      </c>
      <c r="B573" s="17" t="str">
        <f>IFERROR(__xludf.DUMMYFUNCTION("REGEXREPLACE(A573,$A$2, )"),"Ga bisa daftar. Alamat udah sesuai. Bingung kurang di bagian mana lagi. Text box yang muncul masih kode javascript. Developer aplikasi dibayar Ndak sih? Atau uang habis dikorupsi jadi Ndak bisa buat mantenence aplikasi?")</f>
        <v>Ga bisa daftar. Alamat udah sesuai. Bingung kurang di bagian mana lagi. Text box yang muncul masih kode javascript. Developer aplikasi dibayar Ndak sih? Atau uang habis dikorupsi jadi Ndak bisa buat mantenence aplikasi?</v>
      </c>
      <c r="C573" s="17" t="str">
        <f>IFERROR(__xludf.DUMMYFUNCTION("REGEXREPLACE(B573,$A$3, )"),"Ga bisa daftar. Alamat udah sesuai. Bingung kurang di bagian mana lagi. Text box yang muncul masih kode javascript. Developer aplikasi dibayar Ndak sih? Atau uang habis dikorupsi jadi Ndak bisa buat mantenence aplikasi?")</f>
        <v>Ga bisa daftar. Alamat udah sesuai. Bingung kurang di bagian mana lagi. Text box yang muncul masih kode javascript. Developer aplikasi dibayar Ndak sih? Atau uang habis dikorupsi jadi Ndak bisa buat mantenence aplikasi?</v>
      </c>
      <c r="D573" s="17" t="str">
        <f>IFERROR(__xludf.DUMMYFUNCTION("REGEXREPLACE(C573,$A$4, )"),"Ga bisa daftar. Alamat udah sesuai. Bingung kurang di bagian mana lagi. Text box yang muncul masih kode javascript. Developer aplikasi dibayar Ndak sih? Atau uang habis dikorupsi jadi Ndak bisa buat mantenence aplikasi?")</f>
        <v>Ga bisa daftar. Alamat udah sesuai. Bingung kurang di bagian mana lagi. Text box yang muncul masih kode javascript. Developer aplikasi dibayar Ndak sih? Atau uang habis dikorupsi jadi Ndak bisa buat mantenence aplikasi?</v>
      </c>
      <c r="E573" s="17" t="str">
        <f>IFERROR(__xludf.DUMMYFUNCTION("REGEXREPLACE(D573,$A$5, )"),"Ga bisa daftar. Alamat udah sesuai. Bingung kurang di bagian mana lagi. Text box yang muncul masih kode javascript. Developer aplikasi dibayar Ndak sih? Atau uang habis dikorupsi jadi Ndak bisa buat mantenence aplikasi?")</f>
        <v>Ga bisa daftar. Alamat udah sesuai. Bingung kurang di bagian mana lagi. Text box yang muncul masih kode javascript. Developer aplikasi dibayar Ndak sih? Atau uang habis dikorupsi jadi Ndak bisa buat mantenence aplikasi?</v>
      </c>
      <c r="F573" s="17" t="str">
        <f>IFERROR(__xludf.DUMMYFUNCTION("REGEXREPLACE(E573,$A$6, )"),"Ga bisa daftar Alamat udah sesuai Bingung kurang di bagian mana lagi Text box yang muncul masih kode javascript Developer aplikasi dibayar Ndak sih Atau uang habis dikorupsi jadi Ndak bisa buat mantenence aplikasi")</f>
        <v>Ga bisa daftar Alamat udah sesuai Bingung kurang di bagian mana lagi Text box yang muncul masih kode javascript Developer aplikasi dibayar Ndak sih Atau uang habis dikorupsi jadi Ndak bisa buat mantenence aplikasi</v>
      </c>
      <c r="G573" s="18" t="str">
        <f>IFERROR(__xludf.DUMMYFUNCTION("REGEXREPLACE(F573,$A$7, )"),"Ga bisa daftar Alamat udah sesuai Bingung kurang di bagian mana lagi Text box yang muncul masih kode javascript Developer aplikasi dibayar Ndak sih Atau uang habis dikorupsi jadi Ndak bisa buat mantenence aplikasi")</f>
        <v>Ga bisa daftar Alamat udah sesuai Bingung kurang di bagian mana lagi Text box yang muncul masih kode javascript Developer aplikasi dibayar Ndak sih Atau uang habis dikorupsi jadi Ndak bisa buat mantenence aplikasi</v>
      </c>
      <c r="H573" s="17" t="str">
        <f t="shared" si="1"/>
        <v>ga bisa daftar alamat udah sesuai bingung kurang di bagian mana lagi text box yang muncul masih kode javascript developer aplikasi dibayar ndak sih atau uang habis dikorupsi jadi ndak bisa buat mantenence aplikasi</v>
      </c>
    </row>
    <row r="574">
      <c r="A574" s="16" t="s">
        <v>569</v>
      </c>
      <c r="B574" s="17" t="str">
        <f>IFERROR(__xludf.DUMMYFUNCTION("REGEXREPLACE(A574,$A$2, )"),"Kenapa tidak bsa daftar .. status eror ?")</f>
        <v>Kenapa tidak bsa daftar .. status eror ?</v>
      </c>
      <c r="C574" s="17" t="str">
        <f>IFERROR(__xludf.DUMMYFUNCTION("REGEXREPLACE(B574,$A$3, )"),"Kenapa tidak bsa daftar .. status eror ?")</f>
        <v>Kenapa tidak bsa daftar .. status eror ?</v>
      </c>
      <c r="D574" s="17" t="str">
        <f>IFERROR(__xludf.DUMMYFUNCTION("REGEXREPLACE(C574,$A$4, )"),"Kenapa tidak bsa daftar .. status eror ?")</f>
        <v>Kenapa tidak bsa daftar .. status eror ?</v>
      </c>
      <c r="E574" s="17" t="str">
        <f>IFERROR(__xludf.DUMMYFUNCTION("REGEXREPLACE(D574,$A$5, )"),"Kenapa tidak bsa daftar .. status eror ?")</f>
        <v>Kenapa tidak bsa daftar .. status eror ?</v>
      </c>
      <c r="F574" s="17" t="str">
        <f>IFERROR(__xludf.DUMMYFUNCTION("REGEXREPLACE(E574,$A$6, )"),"Kenapa tidak bsa daftar  status eror ")</f>
        <v>Kenapa tidak bsa daftar  status eror </v>
      </c>
      <c r="G574" s="18" t="str">
        <f>IFERROR(__xludf.DUMMYFUNCTION("REGEXREPLACE(F574,$A$7, )"),"Kenapa tidak bsa daftar  status eror ")</f>
        <v>Kenapa tidak bsa daftar  status eror </v>
      </c>
      <c r="H574" s="17" t="str">
        <f t="shared" si="1"/>
        <v>kenapa tidak bsa daftar  status eror </v>
      </c>
    </row>
    <row r="575">
      <c r="A575" s="16" t="s">
        <v>570</v>
      </c>
      <c r="B575" s="17" t="str">
        <f>IFERROR(__xludf.DUMMYFUNCTION("REGEXREPLACE(A575,$A$2, )"),"Udah coba ber kalut tetap gak bisa login.. hmmmm...")</f>
        <v>Udah coba ber kalut tetap gak bisa login.. hmmmm...</v>
      </c>
      <c r="C575" s="17" t="str">
        <f>IFERROR(__xludf.DUMMYFUNCTION("REGEXREPLACE(B575,$A$3, )"),"Udah coba ber kalut tetap gak bisa login.. hmmmm...")</f>
        <v>Udah coba ber kalut tetap gak bisa login.. hmmmm...</v>
      </c>
      <c r="D575" s="17" t="str">
        <f>IFERROR(__xludf.DUMMYFUNCTION("REGEXREPLACE(C575,$A$4, )"),"Udah coba ber kalut tetap gak bisa login.. hmmmm...")</f>
        <v>Udah coba ber kalut tetap gak bisa login.. hmmmm...</v>
      </c>
      <c r="E575" s="17" t="str">
        <f>IFERROR(__xludf.DUMMYFUNCTION("REGEXREPLACE(D575,$A$5, )"),"Udah coba ber kalut tetap gak bisa login.. hmmmm...")</f>
        <v>Udah coba ber kalut tetap gak bisa login.. hmmmm...</v>
      </c>
      <c r="F575" s="17" t="str">
        <f>IFERROR(__xludf.DUMMYFUNCTION("REGEXREPLACE(E575,$A$6, )"),"Udah coba ber kalut tetap gak bisa login hmmmm")</f>
        <v>Udah coba ber kalut tetap gak bisa login hmmmm</v>
      </c>
      <c r="G575" s="18" t="str">
        <f>IFERROR(__xludf.DUMMYFUNCTION("REGEXREPLACE(F575,$A$7, )"),"Udah coba ber kalut tetap gak bisa login hmmmm")</f>
        <v>Udah coba ber kalut tetap gak bisa login hmmmm</v>
      </c>
      <c r="H575" s="17" t="str">
        <f t="shared" si="1"/>
        <v>udah coba ber kalut tetap gak bisa login hmmmm</v>
      </c>
    </row>
    <row r="576">
      <c r="A576" s="16" t="s">
        <v>571</v>
      </c>
      <c r="B576" s="17" t="str">
        <f>IFERROR(__xludf.DUMMYFUNCTION("REGEXREPLACE(A576,$A$2, )"),"Sangat buruk,banyak masyarakat miskin tidak tau aplikasi dan tidak memiliki hp.tolong jangan dipersulit")</f>
        <v>Sangat buruk,banyak masyarakat miskin tidak tau aplikasi dan tidak memiliki hp.tolong jangan dipersulit</v>
      </c>
      <c r="C576" s="17" t="str">
        <f>IFERROR(__xludf.DUMMYFUNCTION("REGEXREPLACE(B576,$A$3, )"),"Sangat buruk,banyak masyarakat miskin tidak tau aplikasi dan tidak memiliki hp.tolong jangan dipersulit")</f>
        <v>Sangat buruk,banyak masyarakat miskin tidak tau aplikasi dan tidak memiliki hp.tolong jangan dipersulit</v>
      </c>
      <c r="D576" s="17" t="str">
        <f>IFERROR(__xludf.DUMMYFUNCTION("REGEXREPLACE(C576,$A$4, )"),"Sangat buruk,banyak masyarakat miskin tidak tau aplikasi dan tidak memiliki hp.tolong jangan dipersulit")</f>
        <v>Sangat buruk,banyak masyarakat miskin tidak tau aplikasi dan tidak memiliki hp.tolong jangan dipersulit</v>
      </c>
      <c r="E576" s="17" t="str">
        <f>IFERROR(__xludf.DUMMYFUNCTION("REGEXREPLACE(D576,$A$5, )"),"Sangat buruk,banyak masyarakat miskin tidak tau aplikasi dan tidak memiliki hp.tolong jangan dipersulit")</f>
        <v>Sangat buruk,banyak masyarakat miskin tidak tau aplikasi dan tidak memiliki hp.tolong jangan dipersulit</v>
      </c>
      <c r="F576" s="17" t="str">
        <f>IFERROR(__xludf.DUMMYFUNCTION("REGEXREPLACE(E576,$A$6, )"),"Sangat burukbanyak masyarakat miskin tidak tau aplikasi dan tidak memiliki hptolong jangan dipersulit")</f>
        <v>Sangat burukbanyak masyarakat miskin tidak tau aplikasi dan tidak memiliki hptolong jangan dipersulit</v>
      </c>
      <c r="G576" s="18" t="str">
        <f>IFERROR(__xludf.DUMMYFUNCTION("REGEXREPLACE(F576,$A$7, )"),"Sangat burukbanyak masyarakat miskin tidak tau aplikasi dan tidak memiliki hptolong jangan dipersulit")</f>
        <v>Sangat burukbanyak masyarakat miskin tidak tau aplikasi dan tidak memiliki hptolong jangan dipersulit</v>
      </c>
      <c r="H576" s="17" t="str">
        <f t="shared" si="1"/>
        <v>sangat burukbanyak masyarakat miskin tidak tau aplikasi dan tidak memiliki hptolong jangan dipersulit</v>
      </c>
    </row>
    <row r="577">
      <c r="A577" s="16" t="s">
        <v>572</v>
      </c>
      <c r="B577" s="17" t="str">
        <f>IFERROR(__xludf.DUMMYFUNCTION("REGEXREPLACE(A577,$A$2, )"),"tender aplikasi ratusan juta tapi kualitas gratisan, aplikasi eror tidak ada pemeliharaan.")</f>
        <v>tender aplikasi ratusan juta tapi kualitas gratisan, aplikasi eror tidak ada pemeliharaan.</v>
      </c>
      <c r="C577" s="17" t="str">
        <f>IFERROR(__xludf.DUMMYFUNCTION("REGEXREPLACE(B577,$A$3, )"),"tender aplikasi ratusan juta tapi kualitas gratisan, aplikasi eror tidak ada pemeliharaan.")</f>
        <v>tender aplikasi ratusan juta tapi kualitas gratisan, aplikasi eror tidak ada pemeliharaan.</v>
      </c>
      <c r="D577" s="17" t="str">
        <f>IFERROR(__xludf.DUMMYFUNCTION("REGEXREPLACE(C577,$A$4, )"),"tender aplikasi ratusan juta tapi kualitas gratisan, aplikasi eror tidak ada pemeliharaan.")</f>
        <v>tender aplikasi ratusan juta tapi kualitas gratisan, aplikasi eror tidak ada pemeliharaan.</v>
      </c>
      <c r="E577" s="17" t="str">
        <f>IFERROR(__xludf.DUMMYFUNCTION("REGEXREPLACE(D577,$A$5, )"),"tender aplikasi ratusan juta tapi kualitas gratisan, aplikasi eror tidak ada pemeliharaan.")</f>
        <v>tender aplikasi ratusan juta tapi kualitas gratisan, aplikasi eror tidak ada pemeliharaan.</v>
      </c>
      <c r="F577" s="17" t="str">
        <f>IFERROR(__xludf.DUMMYFUNCTION("REGEXREPLACE(E577,$A$6, )"),"tender aplikasi ratusan juta tapi kualitas gratisan aplikasi eror tidak ada pemeliharaan")</f>
        <v>tender aplikasi ratusan juta tapi kualitas gratisan aplikasi eror tidak ada pemeliharaan</v>
      </c>
      <c r="G577" s="18" t="str">
        <f>IFERROR(__xludf.DUMMYFUNCTION("REGEXREPLACE(F577,$A$7, )"),"tender aplikasi ratusan juta tapi kualitas gratisan aplikasi eror tidak ada pemeliharaan")</f>
        <v>tender aplikasi ratusan juta tapi kualitas gratisan aplikasi eror tidak ada pemeliharaan</v>
      </c>
      <c r="H577" s="17" t="str">
        <f t="shared" si="1"/>
        <v>tender aplikasi ratusan juta tapi kualitas gratisan aplikasi eror tidak ada pemeliharaan</v>
      </c>
    </row>
    <row r="578">
      <c r="A578" s="16" t="s">
        <v>573</v>
      </c>
      <c r="B578" s="17" t="str">
        <f>IFERROR(__xludf.DUMMYFUNCTION("REGEXREPLACE(A578,$A$2, )"),"Aplikasi gak ada guna nya udah d download gak ke pake/gak bisa d pake")</f>
        <v>Aplikasi gak ada guna nya udah d download gak ke pake/gak bisa d pake</v>
      </c>
      <c r="C578" s="17" t="str">
        <f>IFERROR(__xludf.DUMMYFUNCTION("REGEXREPLACE(B578,$A$3, )"),"Aplikasi gak ada guna nya udah d download gak ke pake/gak bisa d pake")</f>
        <v>Aplikasi gak ada guna nya udah d download gak ke pake/gak bisa d pake</v>
      </c>
      <c r="D578" s="17" t="str">
        <f>IFERROR(__xludf.DUMMYFUNCTION("REGEXREPLACE(C578,$A$4, )"),"Aplikasi gak ada guna nya udah d download gak ke pake/gak bisa d pake")</f>
        <v>Aplikasi gak ada guna nya udah d download gak ke pake/gak bisa d pake</v>
      </c>
      <c r="E578" s="17" t="str">
        <f>IFERROR(__xludf.DUMMYFUNCTION("REGEXREPLACE(D578,$A$5, )"),"Aplikasi gak ada guna nya udah d download gak ke pake/gak bisa d pake")</f>
        <v>Aplikasi gak ada guna nya udah d download gak ke pake/gak bisa d pake</v>
      </c>
      <c r="F578" s="17" t="str">
        <f>IFERROR(__xludf.DUMMYFUNCTION("REGEXREPLACE(E578,$A$6, )"),"Aplikasi gak ada guna nya udah d download gak ke pakegak bisa d pake")</f>
        <v>Aplikasi gak ada guna nya udah d download gak ke pakegak bisa d pake</v>
      </c>
      <c r="G578" s="18" t="str">
        <f>IFERROR(__xludf.DUMMYFUNCTION("REGEXREPLACE(F578,$A$7, )"),"Aplikasi gak ada guna nya udah d download gak ke pakegak bisa d pake")</f>
        <v>Aplikasi gak ada guna nya udah d download gak ke pakegak bisa d pake</v>
      </c>
      <c r="H578" s="17" t="str">
        <f t="shared" si="1"/>
        <v>aplikasi gak ada guna nya udah d download gak ke pakegak bisa d pake</v>
      </c>
    </row>
    <row r="579">
      <c r="A579" s="16" t="s">
        <v>574</v>
      </c>
      <c r="B579" s="17" t="str">
        <f>IFERROR(__xludf.DUMMYFUNCTION("REGEXREPLACE(A579,$A$2, )"),"Aplikasinya bodoh, lupa pasword mlah g bisa")</f>
        <v>Aplikasinya bodoh, lupa pasword mlah g bisa</v>
      </c>
      <c r="C579" s="17" t="str">
        <f>IFERROR(__xludf.DUMMYFUNCTION("REGEXREPLACE(B579,$A$3, )"),"Aplikasinya bodoh, lupa pasword mlah g bisa")</f>
        <v>Aplikasinya bodoh, lupa pasword mlah g bisa</v>
      </c>
      <c r="D579" s="17" t="str">
        <f>IFERROR(__xludf.DUMMYFUNCTION("REGEXREPLACE(C579,$A$4, )"),"Aplikasinya bodoh, lupa pasword mlah g bisa")</f>
        <v>Aplikasinya bodoh, lupa pasword mlah g bisa</v>
      </c>
      <c r="E579" s="17" t="str">
        <f>IFERROR(__xludf.DUMMYFUNCTION("REGEXREPLACE(D579,$A$5, )"),"Aplikasinya bodoh, lupa pasword mlah g bisa")</f>
        <v>Aplikasinya bodoh, lupa pasword mlah g bisa</v>
      </c>
      <c r="F579" s="17" t="str">
        <f>IFERROR(__xludf.DUMMYFUNCTION("REGEXREPLACE(E579,$A$6, )"),"Aplikasinya bodoh lupa pasword mlah g bisa")</f>
        <v>Aplikasinya bodoh lupa pasword mlah g bisa</v>
      </c>
      <c r="G579" s="18" t="str">
        <f>IFERROR(__xludf.DUMMYFUNCTION("REGEXREPLACE(F579,$A$7, )"),"Aplikasinya bodoh lupa pasword mlah g bisa")</f>
        <v>Aplikasinya bodoh lupa pasword mlah g bisa</v>
      </c>
      <c r="H579" s="17" t="str">
        <f t="shared" si="1"/>
        <v>aplikasinya bodoh lupa pasword mlah g bisa</v>
      </c>
    </row>
    <row r="580">
      <c r="A580" s="16" t="s">
        <v>575</v>
      </c>
      <c r="B580" s="17" t="str">
        <f>IFERROR(__xludf.DUMMYFUNCTION("REGEXREPLACE(A580,$A$2, )"),"Apk masih belum ada jaminan bahwa usulan akan di proses...muncul (BELUM CEK) terus")</f>
        <v>Apk masih belum ada jaminan bahwa usulan akan di proses...muncul (BELUM CEK) terus</v>
      </c>
      <c r="C580" s="17" t="str">
        <f>IFERROR(__xludf.DUMMYFUNCTION("REGEXREPLACE(B580,$A$3, )"),"Apk masih belum ada jaminan bahwa usulan akan di proses...muncul (BELUM CEK) terus")</f>
        <v>Apk masih belum ada jaminan bahwa usulan akan di proses...muncul (BELUM CEK) terus</v>
      </c>
      <c r="D580" s="17" t="str">
        <f>IFERROR(__xludf.DUMMYFUNCTION("REGEXREPLACE(C580,$A$4, )"),"Apk masih belum ada jaminan bahwa usulan akan di proses...muncul (BELUM CEK) terus")</f>
        <v>Apk masih belum ada jaminan bahwa usulan akan di proses...muncul (BELUM CEK) terus</v>
      </c>
      <c r="E580" s="17" t="str">
        <f>IFERROR(__xludf.DUMMYFUNCTION("REGEXREPLACE(D580,$A$5, )"),"Apk masih belum ada jaminan bahwa usulan akan di proses...muncul (BELUM CEK) terus")</f>
        <v>Apk masih belum ada jaminan bahwa usulan akan di proses...muncul (BELUM CEK) terus</v>
      </c>
      <c r="F580" s="17" t="str">
        <f>IFERROR(__xludf.DUMMYFUNCTION("REGEXREPLACE(E580,$A$6, )"),"Apk masih belum ada jaminan bahwa usulan akan di prosesmuncul BELUM CEK terus")</f>
        <v>Apk masih belum ada jaminan bahwa usulan akan di prosesmuncul BELUM CEK terus</v>
      </c>
      <c r="G580" s="18" t="str">
        <f>IFERROR(__xludf.DUMMYFUNCTION("REGEXREPLACE(F580,$A$7, )"),"Apk masih belum ada jaminan bahwa usulan akan di prosesmuncul BELUM CEK terus")</f>
        <v>Apk masih belum ada jaminan bahwa usulan akan di prosesmuncul BELUM CEK terus</v>
      </c>
      <c r="H580" s="17" t="str">
        <f t="shared" si="1"/>
        <v>apk masih belum ada jaminan bahwa usulan akan di prosesmuncul belum cek terus</v>
      </c>
    </row>
    <row r="581">
      <c r="A581" s="16" t="s">
        <v>576</v>
      </c>
      <c r="B581" s="17" t="str">
        <f>IFERROR(__xludf.DUMMYFUNCTION("REGEXREPLACE(A581,$A$2, )"),"Gak ada aplikasi lain yang sejelek ini. Loding terus, eror terus.....")</f>
        <v>Gak ada aplikasi lain yang sejelek ini. Loding terus, eror terus.....</v>
      </c>
      <c r="C581" s="17" t="str">
        <f>IFERROR(__xludf.DUMMYFUNCTION("REGEXREPLACE(B581,$A$3, )"),"Gak ada aplikasi lain yang sejelek ini. Loding terus, eror terus.....")</f>
        <v>Gak ada aplikasi lain yang sejelek ini. Loding terus, eror terus.....</v>
      </c>
      <c r="D581" s="17" t="str">
        <f>IFERROR(__xludf.DUMMYFUNCTION("REGEXREPLACE(C581,$A$4, )"),"Gak ada aplikasi lain yang sejelek ini. Loding terus, eror terus.....")</f>
        <v>Gak ada aplikasi lain yang sejelek ini. Loding terus, eror terus.....</v>
      </c>
      <c r="E581" s="17" t="str">
        <f>IFERROR(__xludf.DUMMYFUNCTION("REGEXREPLACE(D581,$A$5, )"),"Gak ada aplikasi lain yang sejelek ini. Loding terus, eror terus.....")</f>
        <v>Gak ada aplikasi lain yang sejelek ini. Loding terus, eror terus.....</v>
      </c>
      <c r="F581" s="17" t="str">
        <f>IFERROR(__xludf.DUMMYFUNCTION("REGEXREPLACE(E581,$A$6, )"),"Gak ada aplikasi lain yang sejelek ini Loding terus eror terus")</f>
        <v>Gak ada aplikasi lain yang sejelek ini Loding terus eror terus</v>
      </c>
      <c r="G581" s="18" t="str">
        <f>IFERROR(__xludf.DUMMYFUNCTION("REGEXREPLACE(F581,$A$7, )"),"Gak ada aplikasi lain yang sejelek ini Loding terus eror terus")</f>
        <v>Gak ada aplikasi lain yang sejelek ini Loding terus eror terus</v>
      </c>
      <c r="H581" s="17" t="str">
        <f t="shared" si="1"/>
        <v>gak ada aplikasi lain yang sejelek ini loding terus eror terus</v>
      </c>
    </row>
    <row r="582">
      <c r="A582" s="16" t="s">
        <v>577</v>
      </c>
      <c r="B582" s="17" t="str">
        <f>IFERROR(__xludf.DUMMYFUNCTION("REGEXREPLACE(A582,$A$2, )"),"Apaan ini udah daftar tapi gax bisa login..")</f>
        <v>Apaan ini udah daftar tapi gax bisa login..</v>
      </c>
      <c r="C582" s="17" t="str">
        <f>IFERROR(__xludf.DUMMYFUNCTION("REGEXREPLACE(B582,$A$3, )"),"Apaan ini udah daftar tapi gax bisa login..")</f>
        <v>Apaan ini udah daftar tapi gax bisa login..</v>
      </c>
      <c r="D582" s="17" t="str">
        <f>IFERROR(__xludf.DUMMYFUNCTION("REGEXREPLACE(C582,$A$4, )"),"Apaan ini udah daftar tapi gax bisa login..")</f>
        <v>Apaan ini udah daftar tapi gax bisa login..</v>
      </c>
      <c r="E582" s="17" t="str">
        <f>IFERROR(__xludf.DUMMYFUNCTION("REGEXREPLACE(D582,$A$5, )"),"Apaan ini udah daftar tapi gax bisa login..")</f>
        <v>Apaan ini udah daftar tapi gax bisa login..</v>
      </c>
      <c r="F582" s="17" t="str">
        <f>IFERROR(__xludf.DUMMYFUNCTION("REGEXREPLACE(E582,$A$6, )"),"Apaan ini udah daftar tapi gax bisa login")</f>
        <v>Apaan ini udah daftar tapi gax bisa login</v>
      </c>
      <c r="G582" s="18" t="str">
        <f>IFERROR(__xludf.DUMMYFUNCTION("REGEXREPLACE(F582,$A$7, )"),"Apaan ini udah daftar tapi gax bisa login")</f>
        <v>Apaan ini udah daftar tapi gax bisa login</v>
      </c>
      <c r="H582" s="17" t="str">
        <f t="shared" si="1"/>
        <v>apaan ini udah daftar tapi gax bisa login</v>
      </c>
    </row>
    <row r="583">
      <c r="A583" s="16" t="s">
        <v>578</v>
      </c>
      <c r="B583" s="17" t="str">
        <f>IFERROR(__xludf.DUMMYFUNCTION("REGEXREPLACE(A583,$A$2, )"),"Tidak bisa membuat akun karena server eror terus,")</f>
        <v>Tidak bisa membuat akun karena server eror terus,</v>
      </c>
      <c r="C583" s="17" t="str">
        <f>IFERROR(__xludf.DUMMYFUNCTION("REGEXREPLACE(B583,$A$3, )"),"Tidak bisa membuat akun karena server eror terus,")</f>
        <v>Tidak bisa membuat akun karena server eror terus,</v>
      </c>
      <c r="D583" s="17" t="str">
        <f>IFERROR(__xludf.DUMMYFUNCTION("REGEXREPLACE(C583,$A$4, )"),"Tidak bisa membuat akun karena server eror terus,")</f>
        <v>Tidak bisa membuat akun karena server eror terus,</v>
      </c>
      <c r="E583" s="17" t="str">
        <f>IFERROR(__xludf.DUMMYFUNCTION("REGEXREPLACE(D583,$A$5, )"),"Tidak bisa membuat akun karena server eror terus,")</f>
        <v>Tidak bisa membuat akun karena server eror terus,</v>
      </c>
      <c r="F583" s="17" t="str">
        <f>IFERROR(__xludf.DUMMYFUNCTION("REGEXREPLACE(E583,$A$6, )"),"Tidak bisa membuat akun karena server eror terus")</f>
        <v>Tidak bisa membuat akun karena server eror terus</v>
      </c>
      <c r="G583" s="18" t="str">
        <f>IFERROR(__xludf.DUMMYFUNCTION("REGEXREPLACE(F583,$A$7, )"),"Tidak bisa membuat akun karena server eror terus")</f>
        <v>Tidak bisa membuat akun karena server eror terus</v>
      </c>
      <c r="H583" s="17" t="str">
        <f t="shared" si="1"/>
        <v>tidak bisa membuat akun karena server eror terus</v>
      </c>
    </row>
    <row r="584">
      <c r="A584" s="16" t="s">
        <v>579</v>
      </c>
      <c r="B584" s="17" t="str">
        <f>IFERROR(__xludf.DUMMYFUNCTION("REGEXREPLACE(A584,$A$2, )"),"Kenapa Ketika Saya Klik Lupa Sandi, Dan Sudah Memasukan No Hp, email, dan user Name Tapi Blum mndptkan Kata sandi yg baru,?? Pdhal keterangannya Sandi Tlah di kirimkan Ke email Tapi Ketika buka Email Yg Ada bukan Kata Sandi melainkan Alamat Website")</f>
        <v>Kenapa Ketika Saya Klik Lupa Sandi, Dan Sudah Memasukan No Hp, email, dan user Name Tapi Blum mndptkan Kata sandi yg baru,?? Pdhal keterangannya Sandi Tlah di kirimkan Ke email Tapi Ketika buka Email Yg Ada bukan Kata Sandi melainkan Alamat Website</v>
      </c>
      <c r="C584" s="17" t="str">
        <f>IFERROR(__xludf.DUMMYFUNCTION("REGEXREPLACE(B584,$A$3, )"),"Kenapa Ketika Saya Klik Lupa Sandi, Dan Sudah Memasukan No Hp, email, dan user Name Tapi Blum mndptkan Kata sandi yg baru,?? Pdhal keterangannya Sandi Tlah di kirimkan Ke email Tapi Ketika buka Email Yg Ada bukan Kata Sandi melainkan Alamat Website")</f>
        <v>Kenapa Ketika Saya Klik Lupa Sandi, Dan Sudah Memasukan No Hp, email, dan user Name Tapi Blum mndptkan Kata sandi yg baru,?? Pdhal keterangannya Sandi Tlah di kirimkan Ke email Tapi Ketika buka Email Yg Ada bukan Kata Sandi melainkan Alamat Website</v>
      </c>
      <c r="D584" s="17" t="str">
        <f>IFERROR(__xludf.DUMMYFUNCTION("REGEXREPLACE(C584,$A$4, )"),"Kenapa Ketika Saya Klik Lupa Sandi, Dan Sudah Memasukan No Hp, email, dan user Name Tapi Blum mndptkan Kata sandi yg baru,?? Pdhal keterangannya Sandi Tlah di kirimkan Ke email Tapi Ketika buka Email Yg Ada bukan Kata Sandi melainkan Alamat Website")</f>
        <v>Kenapa Ketika Saya Klik Lupa Sandi, Dan Sudah Memasukan No Hp, email, dan user Name Tapi Blum mndptkan Kata sandi yg baru,?? Pdhal keterangannya Sandi Tlah di kirimkan Ke email Tapi Ketika buka Email Yg Ada bukan Kata Sandi melainkan Alamat Website</v>
      </c>
      <c r="E584" s="17" t="str">
        <f>IFERROR(__xludf.DUMMYFUNCTION("REGEXREPLACE(D584,$A$5, )"),"Kenapa Ketika Saya Klik Lupa Sandi, Dan Sudah Memasukan No Hp, email, dan user Name Tapi Blum mndptkan Kata sandi yg baru,?? Pdhal keterangannya Sandi Tlah di kirimkan Ke email Tapi Ketika buka Email Yg Ada bukan Kata Sandi melainkan Alamat Website")</f>
        <v>Kenapa Ketika Saya Klik Lupa Sandi, Dan Sudah Memasukan No Hp, email, dan user Name Tapi Blum mndptkan Kata sandi yg baru,?? Pdhal keterangannya Sandi Tlah di kirimkan Ke email Tapi Ketika buka Email Yg Ada bukan Kata Sandi melainkan Alamat Website</v>
      </c>
      <c r="F584" s="17" t="str">
        <f>IFERROR(__xludf.DUMMYFUNCTION("REGEXREPLACE(E584,$A$6, )"),"Kenapa Ketika Saya Klik Lupa Sandi Dan Sudah Memasukan No Hp email dan user Name Tapi Blum mndptkan Kata sandi yg baru Pdhal keterangannya Sandi Tlah di kirimkan Ke email Tapi Ketika buka Email Yg Ada bukan Kata Sandi melainkan Alamat Website")</f>
        <v>Kenapa Ketika Saya Klik Lupa Sandi Dan Sudah Memasukan No Hp email dan user Name Tapi Blum mndptkan Kata sandi yg baru Pdhal keterangannya Sandi Tlah di kirimkan Ke email Tapi Ketika buka Email Yg Ada bukan Kata Sandi melainkan Alamat Website</v>
      </c>
      <c r="G584" s="18" t="str">
        <f>IFERROR(__xludf.DUMMYFUNCTION("REGEXREPLACE(F584,$A$7, )"),"Kenapa Ketika Saya Klik Lupa Sandi Dan Sudah Memasukan No Hp email dan user Name Tapi Blum mndptkan Kata sandi yg baru Pdhal keterangannya Sandi Tlah di kirimkan Ke email Tapi Ketika buka Email Yg Ada bukan Kata Sandi melainkan Alamat Website")</f>
        <v>Kenapa Ketika Saya Klik Lupa Sandi Dan Sudah Memasukan No Hp email dan user Name Tapi Blum mndptkan Kata sandi yg baru Pdhal keterangannya Sandi Tlah di kirimkan Ke email Tapi Ketika buka Email Yg Ada bukan Kata Sandi melainkan Alamat Website</v>
      </c>
      <c r="H584" s="17" t="str">
        <f t="shared" si="1"/>
        <v>kenapa ketika saya klik lupa sandi dan sudah memasukan no hp email dan user name tapi blum mndptkan kata sandi yg baru pdhal keterangannya sandi tlah di kirimkan ke email tapi ketika buka email yg ada bukan kata sandi melainkan alamat website</v>
      </c>
    </row>
    <row r="585">
      <c r="A585" s="16" t="s">
        <v>580</v>
      </c>
      <c r="B585" s="17" t="str">
        <f>IFERROR(__xludf.DUMMYFUNCTION("REGEXREPLACE(A585,$A$2, )"),"Tolong untuk pihak playstor untuk menghapus app yang tidak berguna ini Terima kasih")</f>
        <v>Tolong untuk pihak playstor untuk menghapus app yang tidak berguna ini Terima kasih</v>
      </c>
      <c r="C585" s="17" t="str">
        <f>IFERROR(__xludf.DUMMYFUNCTION("REGEXREPLACE(B585,$A$3, )"),"Tolong untuk pihak playstor untuk menghapus app yang tidak berguna ini Terima kasih")</f>
        <v>Tolong untuk pihak playstor untuk menghapus app yang tidak berguna ini Terima kasih</v>
      </c>
      <c r="D585" s="17" t="str">
        <f>IFERROR(__xludf.DUMMYFUNCTION("REGEXREPLACE(C585,$A$4, )"),"Tolong untuk pihak playstor untuk menghapus app yang tidak berguna ini Terima kasih")</f>
        <v>Tolong untuk pihak playstor untuk menghapus app yang tidak berguna ini Terima kasih</v>
      </c>
      <c r="E585" s="17" t="str">
        <f>IFERROR(__xludf.DUMMYFUNCTION("REGEXREPLACE(D585,$A$5, )"),"Tolong untuk pihak playstor untuk menghapus app yang tidak berguna ini Terima kasih")</f>
        <v>Tolong untuk pihak playstor untuk menghapus app yang tidak berguna ini Terima kasih</v>
      </c>
      <c r="F585" s="17" t="str">
        <f>IFERROR(__xludf.DUMMYFUNCTION("REGEXREPLACE(E585,$A$6, )"),"Tolong untuk pihak playstor untuk menghapus app yang tidak berguna ini Terima kasih")</f>
        <v>Tolong untuk pihak playstor untuk menghapus app yang tidak berguna ini Terima kasih</v>
      </c>
      <c r="G585" s="18" t="str">
        <f>IFERROR(__xludf.DUMMYFUNCTION("REGEXREPLACE(F585,$A$7, )"),"Tolong untuk pihak playstor untuk menghapus app yang tidak berguna ini Terima kasih")</f>
        <v>Tolong untuk pihak playstor untuk menghapus app yang tidak berguna ini Terima kasih</v>
      </c>
      <c r="H585" s="17" t="str">
        <f t="shared" si="1"/>
        <v>tolong untuk pihak playstor untuk menghapus app yang tidak berguna ini terima kasih</v>
      </c>
    </row>
    <row r="586">
      <c r="A586" s="16" t="s">
        <v>581</v>
      </c>
      <c r="B586" s="17" t="str">
        <f>IFERROR(__xludf.DUMMYFUNCTION("REGEXREPLACE(A586,$A$2, )"),"Saya udah usul sanggah dari 2 bulan kmren tapi ko blom di cek cek ya,butuh waktu berpa lama biar data kita cepet diproses?")</f>
        <v>Saya udah usul sanggah dari 2 bulan kmren tapi ko blom di cek cek ya,butuh waktu berpa lama biar data kita cepet diproses?</v>
      </c>
      <c r="C586" s="17" t="str">
        <f>IFERROR(__xludf.DUMMYFUNCTION("REGEXREPLACE(B586,$A$3, )"),"Saya udah usul sanggah dari 2 bulan kmren tapi ko blom di cek cek ya,butuh waktu berpa lama biar data kita cepet diproses?")</f>
        <v>Saya udah usul sanggah dari 2 bulan kmren tapi ko blom di cek cek ya,butuh waktu berpa lama biar data kita cepet diproses?</v>
      </c>
      <c r="D586" s="17" t="str">
        <f>IFERROR(__xludf.DUMMYFUNCTION("REGEXREPLACE(C586,$A$4, )"),"Saya udah usul sanggah dari 2 bulan kmren tapi ko blom di cek cek ya,butuh waktu berpa lama biar data kita cepet diproses?")</f>
        <v>Saya udah usul sanggah dari 2 bulan kmren tapi ko blom di cek cek ya,butuh waktu berpa lama biar data kita cepet diproses?</v>
      </c>
      <c r="E586" s="17" t="str">
        <f>IFERROR(__xludf.DUMMYFUNCTION("REGEXREPLACE(D586,$A$5, )"),"Saya udah usul sanggah dari  bulan kmren tapi ko blom di cek cek ya,butuh waktu berpa lama biar data kita cepet diproses?")</f>
        <v>Saya udah usul sanggah dari  bulan kmren tapi ko blom di cek cek ya,butuh waktu berpa lama biar data kita cepet diproses?</v>
      </c>
      <c r="F586" s="17" t="str">
        <f>IFERROR(__xludf.DUMMYFUNCTION("REGEXREPLACE(E586,$A$6, )"),"Saya udah usul sanggah dari  bulan kmren tapi ko blom di cek cek yabutuh waktu berpa lama biar data kita cepet diproses")</f>
        <v>Saya udah usul sanggah dari  bulan kmren tapi ko blom di cek cek yabutuh waktu berpa lama biar data kita cepet diproses</v>
      </c>
      <c r="G586" s="18" t="str">
        <f>IFERROR(__xludf.DUMMYFUNCTION("REGEXREPLACE(F586,$A$7, )"),"Saya udah usul sanggah dari  bulan kmren tapi ko blom di cek cek yabutuh waktu berpa lama biar data kita cepet diproses")</f>
        <v>Saya udah usul sanggah dari  bulan kmren tapi ko blom di cek cek yabutuh waktu berpa lama biar data kita cepet diproses</v>
      </c>
      <c r="H586" s="17" t="str">
        <f t="shared" si="1"/>
        <v>saya udah usul sanggah dari  bulan kmren tapi ko blom di cek cek yabutuh waktu berpa lama biar data kita cepet diproses</v>
      </c>
    </row>
    <row r="587">
      <c r="A587" s="16" t="s">
        <v>582</v>
      </c>
      <c r="B587" s="17" t="str">
        <f>IFERROR(__xludf.DUMMYFUNCTION("REGEXREPLACE(A587,$A$2, )"),"Ada apa nih???? sy sdh berkali-kali mendaftar tapi tidak pernah bisa login")</f>
        <v>Ada apa nih???? sy sdh berkali-kali mendaftar tapi tidak pernah bisa login</v>
      </c>
      <c r="C587" s="17" t="str">
        <f>IFERROR(__xludf.DUMMYFUNCTION("REGEXREPLACE(B587,$A$3, )"),"Ada apa nih???? sy sdh berkali-kali mendaftar tapi tidak pernah bisa login")</f>
        <v>Ada apa nih???? sy sdh berkali-kali mendaftar tapi tidak pernah bisa login</v>
      </c>
      <c r="D587" s="17" t="str">
        <f>IFERROR(__xludf.DUMMYFUNCTION("REGEXREPLACE(C587,$A$4, )"),"Ada apa nih???? sy sdh berkali-kali mendaftar tapi tidak pernah bisa login")</f>
        <v>Ada apa nih???? sy sdh berkali-kali mendaftar tapi tidak pernah bisa login</v>
      </c>
      <c r="E587" s="17" t="str">
        <f>IFERROR(__xludf.DUMMYFUNCTION("REGEXREPLACE(D587,$A$5, )"),"Ada apa nih???? sy sdh berkali-kali mendaftar tapi tidak pernah bisa login")</f>
        <v>Ada apa nih???? sy sdh berkali-kali mendaftar tapi tidak pernah bisa login</v>
      </c>
      <c r="F587" s="17" t="str">
        <f>IFERROR(__xludf.DUMMYFUNCTION("REGEXREPLACE(E587,$A$6, )"),"Ada apa nih sy sdh berkalikali mendaftar tapi tidak pernah bisa login")</f>
        <v>Ada apa nih sy sdh berkalikali mendaftar tapi tidak pernah bisa login</v>
      </c>
      <c r="G587" s="18" t="str">
        <f>IFERROR(__xludf.DUMMYFUNCTION("REGEXREPLACE(F587,$A$7, )"),"Ada apa nih sy sdh berkalikali mendaftar tapi tidak pernah bisa login")</f>
        <v>Ada apa nih sy sdh berkalikali mendaftar tapi tidak pernah bisa login</v>
      </c>
      <c r="H587" s="17" t="str">
        <f t="shared" si="1"/>
        <v>ada apa nih sy sdh berkalikali mendaftar tapi tidak pernah bisa login</v>
      </c>
    </row>
    <row r="588">
      <c r="A588" s="16" t="s">
        <v>583</v>
      </c>
      <c r="B588" s="17" t="str">
        <f>IFERROR(__xludf.DUMMYFUNCTION("REGEXREPLACE(A588,$A$2, )"),"Aplikasi ini sangat membegokan, buat yang niat mau dowloat mendingan gak usa, keis nya sama seperti kawan² yg sudah komen, berkali² daftar tapi gak bisa login, katanya username dan kata sandi gak terdaftar, padahal sudah daftar berkali-kali. Buat yg baru "&amp;"mau dowloat mendingan gak usa, sayang kuotanya. Aplikasi gak guna!!!!")</f>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c r="C588" s="17" t="str">
        <f>IFERROR(__xludf.DUMMYFUNCTION("REGEXREPLACE(B588,$A$3, )"),"Aplikasi ini sangat membegokan, buat yang niat mau dowloat mendingan gak usa, keis nya sama seperti kawan² yg sudah komen, berkali² daftar tapi gak bisa login, katanya username dan kata sandi gak terdaftar, padahal sudah daftar berkali-kali. Buat yg baru "&amp;"mau dowloat mendingan gak usa, sayang kuotanya. Aplikasi gak guna!!!!")</f>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c r="D588" s="17" t="str">
        <f>IFERROR(__xludf.DUMMYFUNCTION("REGEXREPLACE(C588,$A$4, )"),"Aplikasi ini sangat membegokan, buat yang niat mau dowloat mendingan gak usa, keis nya sama seperti kawan² yg sudah komen, berkali² daftar tapi gak bisa login, katanya username dan kata sandi gak terdaftar, padahal sudah daftar berkali-kali. Buat yg baru "&amp;"mau dowloat mendingan gak usa, sayang kuotanya. Aplikasi gak guna!!!!")</f>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c r="E588" s="17" t="str">
        <f>IFERROR(__xludf.DUMMYFUNCTION("REGEXREPLACE(D588,$A$5, )"),"Aplikasi ini sangat membegokan, buat yang niat mau dowloat mendingan gak usa, keis nya sama seperti kawan² yg sudah komen, berkali² daftar tapi gak bisa login, katanya username dan kata sandi gak terdaftar, padahal sudah daftar berkali-kali. Buat yg baru "&amp;"mau dowloat mendingan gak usa, sayang kuotanya. Aplikasi gak guna!!!!")</f>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c r="F588" s="17" t="str">
        <f>IFERROR(__xludf.DUMMYFUNCTION("REGEXREPLACE(E588,$A$6, )"),"Aplikasi ini sangat membegokan buat yang niat mau dowloat mendingan gak usa keis nya sama seperti kawan² yg sudah komen berkali² daftar tapi gak bisa login katanya username dan kata sandi gak terdaftar padahal sudah daftar berkalikali Buat yg baru mau dow"&amp;"loat mendingan gak usa sayang kuotanya Aplikasi gak guna")</f>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c r="G588" s="18" t="str">
        <f>IFERROR(__xludf.DUMMYFUNCTION("REGEXREPLACE(F588,$A$7, )"),"Aplikasi ini sangat membegokan buat yang niat mau dowloat mendingan gak usa keis nya sama seperti kawan² yg sudah komen berkali² daftar tapi gak bisa login katanya username dan kata sandi gak terdaftar padahal sudah daftar berkalikali Buat yg baru mau dow"&amp;"loat mendingan gak usa sayang kuotanya Aplikasi gak guna")</f>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c r="H588" s="17" t="str">
        <f t="shared" si="1"/>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row>
    <row r="589">
      <c r="A589" s="16" t="s">
        <v>584</v>
      </c>
      <c r="B589" s="17" t="str">
        <f>IFERROR(__xludf.DUMMYFUNCTION("REGEXREPLACE(A589,$A$2, )"),"Tidak bisa di buka setelah email masuk")</f>
        <v>Tidak bisa di buka setelah email masuk</v>
      </c>
      <c r="C589" s="17" t="str">
        <f>IFERROR(__xludf.DUMMYFUNCTION("REGEXREPLACE(B589,$A$3, )"),"Tidak bisa di buka setelah email masuk")</f>
        <v>Tidak bisa di buka setelah email masuk</v>
      </c>
      <c r="D589" s="17" t="str">
        <f>IFERROR(__xludf.DUMMYFUNCTION("REGEXREPLACE(C589,$A$4, )"),"Tidak bisa di buka setelah email masuk")</f>
        <v>Tidak bisa di buka setelah email masuk</v>
      </c>
      <c r="E589" s="17" t="str">
        <f>IFERROR(__xludf.DUMMYFUNCTION("REGEXREPLACE(D589,$A$5, )"),"Tidak bisa di buka setelah email masuk")</f>
        <v>Tidak bisa di buka setelah email masuk</v>
      </c>
      <c r="F589" s="17" t="str">
        <f>IFERROR(__xludf.DUMMYFUNCTION("REGEXREPLACE(E589,$A$6, )"),"Tidak bisa di buka setelah email masuk")</f>
        <v>Tidak bisa di buka setelah email masuk</v>
      </c>
      <c r="G589" s="18" t="str">
        <f>IFERROR(__xludf.DUMMYFUNCTION("REGEXREPLACE(F589,$A$7, )"),"Tidak bisa di buka setelah email masuk")</f>
        <v>Tidak bisa di buka setelah email masuk</v>
      </c>
      <c r="H589" s="17" t="str">
        <f t="shared" si="1"/>
        <v>tidak bisa di buka setelah email masuk</v>
      </c>
    </row>
    <row r="590">
      <c r="A590" s="16" t="s">
        <v>585</v>
      </c>
      <c r="B590" s="17" t="str">
        <f>IFERROR(__xludf.DUMMYFUNCTION("REGEXREPLACE(A590,$A$2, )"),"Pengajuan kok lama sekali prosesnya ? Emang tidak dipantau ya aplikasi nya ?")</f>
        <v>Pengajuan kok lama sekali prosesnya ? Emang tidak dipantau ya aplikasi nya ?</v>
      </c>
      <c r="C590" s="17" t="str">
        <f>IFERROR(__xludf.DUMMYFUNCTION("REGEXREPLACE(B590,$A$3, )"),"Pengajuan kok lama sekali prosesnya ? Emang tidak dipantau ya aplikasi nya ?")</f>
        <v>Pengajuan kok lama sekali prosesnya ? Emang tidak dipantau ya aplikasi nya ?</v>
      </c>
      <c r="D590" s="17" t="str">
        <f>IFERROR(__xludf.DUMMYFUNCTION("REGEXREPLACE(C590,$A$4, )"),"Pengajuan kok lama sekali prosesnya ? Emang tidak dipantau ya aplikasi nya ?")</f>
        <v>Pengajuan kok lama sekali prosesnya ? Emang tidak dipantau ya aplikasi nya ?</v>
      </c>
      <c r="E590" s="17" t="str">
        <f>IFERROR(__xludf.DUMMYFUNCTION("REGEXREPLACE(D590,$A$5, )"),"Pengajuan kok lama sekali prosesnya ? Emang tidak dipantau ya aplikasi nya ?")</f>
        <v>Pengajuan kok lama sekali prosesnya ? Emang tidak dipantau ya aplikasi nya ?</v>
      </c>
      <c r="F590" s="17" t="str">
        <f>IFERROR(__xludf.DUMMYFUNCTION("REGEXREPLACE(E590,$A$6, )"),"Pengajuan kok lama sekali prosesnya  Emang tidak dipantau ya aplikasi nya ")</f>
        <v>Pengajuan kok lama sekali prosesnya  Emang tidak dipantau ya aplikasi nya </v>
      </c>
      <c r="G590" s="18" t="str">
        <f>IFERROR(__xludf.DUMMYFUNCTION("REGEXREPLACE(F590,$A$7, )"),"Pengajuan kok lama sekali prosesnya  Emang tidak dipantau ya aplikasi nya ")</f>
        <v>Pengajuan kok lama sekali prosesnya  Emang tidak dipantau ya aplikasi nya </v>
      </c>
      <c r="H590" s="17" t="str">
        <f t="shared" si="1"/>
        <v>pengajuan kok lama sekali prosesnya  emang tidak dipantau ya aplikasi nya </v>
      </c>
    </row>
    <row r="591">
      <c r="A591" s="16" t="s">
        <v>586</v>
      </c>
      <c r="B591" s="17" t="str">
        <f>IFERROR(__xludf.DUMMYFUNCTION("REGEXREPLACE(A591,$A$2, )"),"Aplikasi dari kemensos kenapa ke gini? Error mulu")</f>
        <v>Aplikasi dari kemensos kenapa ke gini? Error mulu</v>
      </c>
      <c r="C591" s="17" t="str">
        <f>IFERROR(__xludf.DUMMYFUNCTION("REGEXREPLACE(B591,$A$3, )"),"Aplikasi dari kemensos kenapa ke gini? Error mulu")</f>
        <v>Aplikasi dari kemensos kenapa ke gini? Error mulu</v>
      </c>
      <c r="D591" s="17" t="str">
        <f>IFERROR(__xludf.DUMMYFUNCTION("REGEXREPLACE(C591,$A$4, )"),"Aplikasi dari kemensos kenapa ke gini? Error mulu")</f>
        <v>Aplikasi dari kemensos kenapa ke gini? Error mulu</v>
      </c>
      <c r="E591" s="17" t="str">
        <f>IFERROR(__xludf.DUMMYFUNCTION("REGEXREPLACE(D591,$A$5, )"),"Aplikasi dari kemensos kenapa ke gini? Error mulu")</f>
        <v>Aplikasi dari kemensos kenapa ke gini? Error mulu</v>
      </c>
      <c r="F591" s="17" t="str">
        <f>IFERROR(__xludf.DUMMYFUNCTION("REGEXREPLACE(E591,$A$6, )"),"Aplikasi dari kemensos kenapa ke gini Error mulu")</f>
        <v>Aplikasi dari kemensos kenapa ke gini Error mulu</v>
      </c>
      <c r="G591" s="18" t="str">
        <f>IFERROR(__xludf.DUMMYFUNCTION("REGEXREPLACE(F591,$A$7, )"),"Aplikasi dari kemensos kenapa ke gini Error mulu")</f>
        <v>Aplikasi dari kemensos kenapa ke gini Error mulu</v>
      </c>
      <c r="H591" s="17" t="str">
        <f t="shared" si="1"/>
        <v>aplikasi dari kemensos kenapa ke gini error mulu</v>
      </c>
    </row>
    <row r="592">
      <c r="A592" s="16" t="s">
        <v>587</v>
      </c>
      <c r="B592" s="17" t="str">
        <f>IFERROR(__xludf.DUMMYFUNCTION("REGEXREPLACE(A592,$A$2, )"),"Jaman SDH canggih tapi TDK d ikuti dgn kecanggihan sistem nya tolong d update dan d upgrade untuk afk ini ...rakyat Indonesia jgn s3lalu d buat binggung")</f>
        <v>Jaman SDH canggih tapi TDK d ikuti dgn kecanggihan sistem nya tolong d update dan d upgrade untuk afk ini ...rakyat Indonesia jgn s3lalu d buat binggung</v>
      </c>
      <c r="C592" s="17" t="str">
        <f>IFERROR(__xludf.DUMMYFUNCTION("REGEXREPLACE(B592,$A$3, )"),"Jaman SDH canggih tapi TDK d ikuti dgn kecanggihan sistem nya tolong d update dan d upgrade untuk afk ini ...rakyat Indonesia jgn s3lalu d buat binggung")</f>
        <v>Jaman SDH canggih tapi TDK d ikuti dgn kecanggihan sistem nya tolong d update dan d upgrade untuk afk ini ...rakyat Indonesia jgn s3lalu d buat binggung</v>
      </c>
      <c r="D592" s="17" t="str">
        <f>IFERROR(__xludf.DUMMYFUNCTION("REGEXREPLACE(C592,$A$4, )"),"Jaman SDH canggih tapi TDK d ikuti dgn kecanggihan sistem nya tolong d update dan d upgrade untuk afk ini ...rakyat Indonesia jgn s3lalu d buat binggung")</f>
        <v>Jaman SDH canggih tapi TDK d ikuti dgn kecanggihan sistem nya tolong d update dan d upgrade untuk afk ini ...rakyat Indonesia jgn s3lalu d buat binggung</v>
      </c>
      <c r="E592" s="17" t="str">
        <f>IFERROR(__xludf.DUMMYFUNCTION("REGEXREPLACE(D592,$A$5, )"),"Jaman SDH canggih tapi TDK d ikuti dgn kecanggihan sistem nya tolong d update dan d upgrade untuk afk ini ...rakyat Indonesia jgn slalu d buat binggung")</f>
        <v>Jaman SDH canggih tapi TDK d ikuti dgn kecanggihan sistem nya tolong d update dan d upgrade untuk afk ini ...rakyat Indonesia jgn slalu d buat binggung</v>
      </c>
      <c r="F592" s="17" t="str">
        <f>IFERROR(__xludf.DUMMYFUNCTION("REGEXREPLACE(E592,$A$6, )"),"Jaman SDH canggih tapi TDK d ikuti dgn kecanggihan sistem nya tolong d update dan d upgrade untuk afk ini rakyat Indonesia jgn slalu d buat binggung")</f>
        <v>Jaman SDH canggih tapi TDK d ikuti dgn kecanggihan sistem nya tolong d update dan d upgrade untuk afk ini rakyat Indonesia jgn slalu d buat binggung</v>
      </c>
      <c r="G592" s="18" t="str">
        <f>IFERROR(__xludf.DUMMYFUNCTION("REGEXREPLACE(F592,$A$7, )"),"Jaman SDH canggih tapi TDK d ikuti dgn kecanggihan sistem nya tolong d update dan d upgrade untuk afk ini rakyat Indonesia jgn slalu d buat binggung")</f>
        <v>Jaman SDH canggih tapi TDK d ikuti dgn kecanggihan sistem nya tolong d update dan d upgrade untuk afk ini rakyat Indonesia jgn slalu d buat binggung</v>
      </c>
      <c r="H592" s="17" t="str">
        <f t="shared" si="1"/>
        <v>jaman sdh canggih tapi tdk d ikuti dgn kecanggihan sistem nya tolong d update dan d upgrade untuk afk ini rakyat indonesia jgn slalu d buat binggung</v>
      </c>
    </row>
    <row r="593">
      <c r="A593" s="16" t="s">
        <v>588</v>
      </c>
      <c r="B593" s="17" t="str">
        <f>IFERROR(__xludf.DUMMYFUNCTION("REGEXREPLACE(A593,$A$2, )"),"Aplikadsi gak jelasn. Daftar eror.. Ada niat gak sih buat aplikasi")</f>
        <v>Aplikadsi gak jelasn. Daftar eror.. Ada niat gak sih buat aplikasi</v>
      </c>
      <c r="C593" s="17" t="str">
        <f>IFERROR(__xludf.DUMMYFUNCTION("REGEXREPLACE(B593,$A$3, )"),"Aplikadsi gak jelasn. Daftar eror.. Ada niat gak sih buat aplikasi")</f>
        <v>Aplikadsi gak jelasn. Daftar eror.. Ada niat gak sih buat aplikasi</v>
      </c>
      <c r="D593" s="17" t="str">
        <f>IFERROR(__xludf.DUMMYFUNCTION("REGEXREPLACE(C593,$A$4, )"),"Aplikadsi gak jelasn. Daftar eror.. Ada niat gak sih buat aplikasi")</f>
        <v>Aplikadsi gak jelasn. Daftar eror.. Ada niat gak sih buat aplikasi</v>
      </c>
      <c r="E593" s="17" t="str">
        <f>IFERROR(__xludf.DUMMYFUNCTION("REGEXREPLACE(D593,$A$5, )"),"Aplikadsi gak jelasn. Daftar eror.. Ada niat gak sih buat aplikasi")</f>
        <v>Aplikadsi gak jelasn. Daftar eror.. Ada niat gak sih buat aplikasi</v>
      </c>
      <c r="F593" s="17" t="str">
        <f>IFERROR(__xludf.DUMMYFUNCTION("REGEXREPLACE(E593,$A$6, )"),"Aplikadsi gak jelasn Daftar eror Ada niat gak sih buat aplikasi")</f>
        <v>Aplikadsi gak jelasn Daftar eror Ada niat gak sih buat aplikasi</v>
      </c>
      <c r="G593" s="18" t="str">
        <f>IFERROR(__xludf.DUMMYFUNCTION("REGEXREPLACE(F593,$A$7, )"),"Aplikadsi gak jelasn Daftar eror Ada niat gak sih buat aplikasi")</f>
        <v>Aplikadsi gak jelasn Daftar eror Ada niat gak sih buat aplikasi</v>
      </c>
      <c r="H593" s="17" t="str">
        <f t="shared" si="1"/>
        <v>aplikadsi gak jelasn daftar eror ada niat gak sih buat aplikasi</v>
      </c>
    </row>
    <row r="594">
      <c r="A594" s="16" t="s">
        <v>589</v>
      </c>
      <c r="B594" s="17" t="str">
        <f>IFERROR(__xludf.DUMMYFUNCTION("REGEXREPLACE(A594,$A$2, )"),"Sudah masuk dalam tahap usulan , dan tinggal tunggu pengecekan oleh pihak terkait ... Tapi sudah hampir 1 bulan belum ada pengecekan oleh pihak terkait. Waktu terus berjalan akan tetapi daftar usulan hanya sebagai mimpi karena terabaikan oleh kesibukan ya"&amp;"ng tak berbentuk .")</f>
        <v>Sudah masuk dalam tahap usulan , dan tinggal tunggu pengecekan oleh pihak terkait ... Tapi sudah hampir 1 bulan belum ada pengecekan oleh pihak terkait. Waktu terus berjalan akan tetapi daftar usulan hanya sebagai mimpi karena terabaikan oleh kesibukan yang tak berbentuk .</v>
      </c>
      <c r="C594" s="17" t="str">
        <f>IFERROR(__xludf.DUMMYFUNCTION("REGEXREPLACE(B594,$A$3, )"),"Sudah masuk dalam tahap usulan , dan tinggal tunggu pengecekan oleh pihak terkait ... Tapi sudah hampir 1 bulan belum ada pengecekan oleh pihak terkait. Waktu terus berjalan akan tetapi daftar usulan hanya sebagai mimpi karena terabaikan oleh kesibukan ya"&amp;"ng tak berbentuk .")</f>
        <v>Sudah masuk dalam tahap usulan , dan tinggal tunggu pengecekan oleh pihak terkait ... Tapi sudah hampir 1 bulan belum ada pengecekan oleh pihak terkait. Waktu terus berjalan akan tetapi daftar usulan hanya sebagai mimpi karena terabaikan oleh kesibukan yang tak berbentuk .</v>
      </c>
      <c r="D594" s="17" t="str">
        <f>IFERROR(__xludf.DUMMYFUNCTION("REGEXREPLACE(C594,$A$4, )"),"Sudah masuk dalam tahap usulan , dan tinggal tunggu pengecekan oleh pihak terkait ... Tapi sudah hampir 1 bulan belum ada pengecekan oleh pihak terkait. Waktu terus berjalan akan tetapi daftar usulan hanya sebagai mimpi karena terabaikan oleh kesibukan ya"&amp;"ng tak berbentuk .")</f>
        <v>Sudah masuk dalam tahap usulan , dan tinggal tunggu pengecekan oleh pihak terkait ... Tapi sudah hampir 1 bulan belum ada pengecekan oleh pihak terkait. Waktu terus berjalan akan tetapi daftar usulan hanya sebagai mimpi karena terabaikan oleh kesibukan yang tak berbentuk .</v>
      </c>
      <c r="E594" s="17" t="str">
        <f>IFERROR(__xludf.DUMMYFUNCTION("REGEXREPLACE(D594,$A$5, )"),"Sudah masuk dalam tahap usulan , dan tinggal tunggu pengecekan oleh pihak terkait ... Tapi sudah hampir  bulan belum ada pengecekan oleh pihak terkait. Waktu terus berjalan akan tetapi daftar usulan hanya sebagai mimpi karena terabaikan oleh kesibukan yan"&amp;"g tak berbentuk .")</f>
        <v>Sudah masuk dalam tahap usulan , dan tinggal tunggu pengecekan oleh pihak terkait ... Tapi sudah hampir  bulan belum ada pengecekan oleh pihak terkait. Waktu terus berjalan akan tetapi daftar usulan hanya sebagai mimpi karena terabaikan oleh kesibukan yang tak berbentuk .</v>
      </c>
      <c r="F594" s="17" t="str">
        <f>IFERROR(__xludf.DUMMYFUNCTION("REGEXREPLACE(E594,$A$6, )"),"Sudah masuk dalam tahap usulan  dan tinggal tunggu pengecekan oleh pihak terkait  Tapi sudah hampir  bulan belum ada pengecekan oleh pihak terkait Waktu terus berjalan akan tetapi daftar usulan hanya sebagai mimpi karena terabaikan oleh kesibukan yang tak"&amp;" berbentuk ")</f>
        <v>Sudah masuk dalam tahap usulan  dan tinggal tunggu pengecekan oleh pihak terkait  Tapi sudah hampir  bulan belum ada pengecekan oleh pihak terkait Waktu terus berjalan akan tetapi daftar usulan hanya sebagai mimpi karena terabaikan oleh kesibukan yang tak berbentuk </v>
      </c>
      <c r="G594" s="18" t="str">
        <f>IFERROR(__xludf.DUMMYFUNCTION("REGEXREPLACE(F594,$A$7, )"),"Sudah masuk dalam tahap usulan  dan tinggal tunggu pengecekan oleh pihak terkait  Tapi sudah hampir  bulan belum ada pengecekan oleh pihak terkait Waktu terus berjalan akan tetapi daftar usulan hanya sebagai mimpi karena terabaikan oleh kesibukan yang tak"&amp;" berbentuk ")</f>
        <v>Sudah masuk dalam tahap usulan  dan tinggal tunggu pengecekan oleh pihak terkait  Tapi sudah hampir  bulan belum ada pengecekan oleh pihak terkait Waktu terus berjalan akan tetapi daftar usulan hanya sebagai mimpi karena terabaikan oleh kesibukan yang tak berbentuk </v>
      </c>
      <c r="H594" s="17" t="str">
        <f t="shared" si="1"/>
        <v>sudah masuk dalam tahap usulan  dan tinggal tunggu pengecekan oleh pihak terkait  tapi sudah hampir  bulan belum ada pengecekan oleh pihak terkait waktu terus berjalan akan tetapi daftar usulan hanya sebagai mimpi karena terabaikan oleh kesibukan yang tak berbentuk </v>
      </c>
    </row>
    <row r="595">
      <c r="A595" s="16" t="s">
        <v>590</v>
      </c>
      <c r="B595" s="17" t="str">
        <f>IFERROR(__xludf.DUMMYFUNCTION("REGEXREPLACE(A595,$A$2, )"),"Aplikasi asal2an.... Tidak bisa daftar.")</f>
        <v>Aplikasi asal2an.... Tidak bisa daftar.</v>
      </c>
      <c r="C595" s="17" t="str">
        <f>IFERROR(__xludf.DUMMYFUNCTION("REGEXREPLACE(B595,$A$3, )"),"Aplikasi asal2an.... Tidak bisa daftar.")</f>
        <v>Aplikasi asal2an.... Tidak bisa daftar.</v>
      </c>
      <c r="D595" s="17" t="str">
        <f>IFERROR(__xludf.DUMMYFUNCTION("REGEXREPLACE(C595,$A$4, )"),"Aplikasi asal2an.... Tidak bisa daftar.")</f>
        <v>Aplikasi asal2an.... Tidak bisa daftar.</v>
      </c>
      <c r="E595" s="17" t="str">
        <f>IFERROR(__xludf.DUMMYFUNCTION("REGEXREPLACE(D595,$A$5, )"),"Aplikasi asalan.... Tidak bisa daftar.")</f>
        <v>Aplikasi asalan.... Tidak bisa daftar.</v>
      </c>
      <c r="F595" s="17" t="str">
        <f>IFERROR(__xludf.DUMMYFUNCTION("REGEXREPLACE(E595,$A$6, )"),"Aplikasi asalan Tidak bisa daftar")</f>
        <v>Aplikasi asalan Tidak bisa daftar</v>
      </c>
      <c r="G595" s="18" t="str">
        <f>IFERROR(__xludf.DUMMYFUNCTION("REGEXREPLACE(F595,$A$7, )"),"Aplikasi asalan Tidak bisa daftar")</f>
        <v>Aplikasi asalan Tidak bisa daftar</v>
      </c>
      <c r="H595" s="17" t="str">
        <f t="shared" si="1"/>
        <v>aplikasi asalan tidak bisa daftar</v>
      </c>
    </row>
    <row r="596">
      <c r="A596" s="16" t="s">
        <v>591</v>
      </c>
      <c r="B596" s="17" t="str">
        <f>IFERROR(__xludf.DUMMYFUNCTION("REGEXREPLACE(A596,$A$2, )"),"Sudah mendaftar tapi gak bisa login ini gimana sih")</f>
        <v>Sudah mendaftar tapi gak bisa login ini gimana sih</v>
      </c>
      <c r="C596" s="17" t="str">
        <f>IFERROR(__xludf.DUMMYFUNCTION("REGEXREPLACE(B596,$A$3, )"),"Sudah mendaftar tapi gak bisa login ini gimana sih")</f>
        <v>Sudah mendaftar tapi gak bisa login ini gimana sih</v>
      </c>
      <c r="D596" s="17" t="str">
        <f>IFERROR(__xludf.DUMMYFUNCTION("REGEXREPLACE(C596,$A$4, )"),"Sudah mendaftar tapi gak bisa login ini gimana sih")</f>
        <v>Sudah mendaftar tapi gak bisa login ini gimana sih</v>
      </c>
      <c r="E596" s="17" t="str">
        <f>IFERROR(__xludf.DUMMYFUNCTION("REGEXREPLACE(D596,$A$5, )"),"Sudah mendaftar tapi gak bisa login ini gimana sih")</f>
        <v>Sudah mendaftar tapi gak bisa login ini gimana sih</v>
      </c>
      <c r="F596" s="17" t="str">
        <f>IFERROR(__xludf.DUMMYFUNCTION("REGEXREPLACE(E596,$A$6, )"),"Sudah mendaftar tapi gak bisa login ini gimana sih")</f>
        <v>Sudah mendaftar tapi gak bisa login ini gimana sih</v>
      </c>
      <c r="G596" s="18" t="str">
        <f>IFERROR(__xludf.DUMMYFUNCTION("REGEXREPLACE(F596,$A$7, )"),"Sudah mendaftar tapi gak bisa login ini gimana sih")</f>
        <v>Sudah mendaftar tapi gak bisa login ini gimana sih</v>
      </c>
      <c r="H596" s="17" t="str">
        <f t="shared" si="1"/>
        <v>sudah mendaftar tapi gak bisa login ini gimana sih</v>
      </c>
    </row>
    <row r="597">
      <c r="A597" s="16" t="s">
        <v>592</v>
      </c>
      <c r="B597" s="17" t="str">
        <f>IFERROR(__xludf.DUMMYFUNCTION("REGEXREPLACE(A597,$A$2, )"),"Aplikasi gk berguna Gak bisa d pakai Percuma bikin aplikasi Kementrian buat aplikasi kok setengah2")</f>
        <v>Aplikasi gk berguna Gak bisa d pakai Percuma bikin aplikasi Kementrian buat aplikasi kok setengah2</v>
      </c>
      <c r="C597" s="17" t="str">
        <f>IFERROR(__xludf.DUMMYFUNCTION("REGEXREPLACE(B597,$A$3, )"),"Aplikasi gk berguna Gak bisa d pakai Percuma bikin aplikasi Kementrian buat aplikasi kok setengah2")</f>
        <v>Aplikasi gk berguna Gak bisa d pakai Percuma bikin aplikasi Kementrian buat aplikasi kok setengah2</v>
      </c>
      <c r="D597" s="17" t="str">
        <f>IFERROR(__xludf.DUMMYFUNCTION("REGEXREPLACE(C597,$A$4, )"),"Aplikasi gk berguna Gak bisa d pakai Percuma bikin aplikasi Kementrian buat aplikasi kok setengah2")</f>
        <v>Aplikasi gk berguna Gak bisa d pakai Percuma bikin aplikasi Kementrian buat aplikasi kok setengah2</v>
      </c>
      <c r="E597" s="17" t="str">
        <f>IFERROR(__xludf.DUMMYFUNCTION("REGEXREPLACE(D597,$A$5, )"),"Aplikasi gk berguna Gak bisa d pakai Percuma bikin aplikasi Kementrian buat aplikasi kok setengah")</f>
        <v>Aplikasi gk berguna Gak bisa d pakai Percuma bikin aplikasi Kementrian buat aplikasi kok setengah</v>
      </c>
      <c r="F597" s="17" t="str">
        <f>IFERROR(__xludf.DUMMYFUNCTION("REGEXREPLACE(E597,$A$6, )"),"Aplikasi gk berguna Gak bisa d pakai Percuma bikin aplikasi Kementrian buat aplikasi kok setengah")</f>
        <v>Aplikasi gk berguna Gak bisa d pakai Percuma bikin aplikasi Kementrian buat aplikasi kok setengah</v>
      </c>
      <c r="G597" s="18" t="str">
        <f>IFERROR(__xludf.DUMMYFUNCTION("REGEXREPLACE(F597,$A$7, )"),"Aplikasi gk berguna Gak bisa d pakai Percuma bikin aplikasi Kementrian buat aplikasi kok setengah")</f>
        <v>Aplikasi gk berguna Gak bisa d pakai Percuma bikin aplikasi Kementrian buat aplikasi kok setengah</v>
      </c>
      <c r="H597" s="17" t="str">
        <f t="shared" si="1"/>
        <v>aplikasi gk berguna gak bisa d pakai percuma bikin aplikasi kementrian buat aplikasi kok setengah</v>
      </c>
    </row>
    <row r="598">
      <c r="A598" s="16" t="s">
        <v>593</v>
      </c>
      <c r="B598" s="17" t="str">
        <f>IFERROR(__xludf.DUMMYFUNCTION("REGEXREPLACE(A598,$A$2, )"),"buat regis aja susah sering keluar sendiri setelah masukan foto")</f>
        <v>buat regis aja susah sering keluar sendiri setelah masukan foto</v>
      </c>
      <c r="C598" s="17" t="str">
        <f>IFERROR(__xludf.DUMMYFUNCTION("REGEXREPLACE(B598,$A$3, )"),"buat regis aja susah sering keluar sendiri setelah masukan foto")</f>
        <v>buat regis aja susah sering keluar sendiri setelah masukan foto</v>
      </c>
      <c r="D598" s="17" t="str">
        <f>IFERROR(__xludf.DUMMYFUNCTION("REGEXREPLACE(C598,$A$4, )"),"buat regis aja susah sering keluar sendiri setelah masukan foto")</f>
        <v>buat regis aja susah sering keluar sendiri setelah masukan foto</v>
      </c>
      <c r="E598" s="17" t="str">
        <f>IFERROR(__xludf.DUMMYFUNCTION("REGEXREPLACE(D598,$A$5, )"),"buat regis aja susah sering keluar sendiri setelah masukan foto")</f>
        <v>buat regis aja susah sering keluar sendiri setelah masukan foto</v>
      </c>
      <c r="F598" s="17" t="str">
        <f>IFERROR(__xludf.DUMMYFUNCTION("REGEXREPLACE(E598,$A$6, )"),"buat regis aja susah sering keluar sendiri setelah masukan foto")</f>
        <v>buat regis aja susah sering keluar sendiri setelah masukan foto</v>
      </c>
      <c r="G598" s="18" t="str">
        <f>IFERROR(__xludf.DUMMYFUNCTION("REGEXREPLACE(F598,$A$7, )"),"buat regis aja susah sering keluar sendiri setelah masukan foto")</f>
        <v>buat regis aja susah sering keluar sendiri setelah masukan foto</v>
      </c>
      <c r="H598" s="17" t="str">
        <f t="shared" si="1"/>
        <v>buat regis aja susah sering keluar sendiri setelah masukan foto</v>
      </c>
    </row>
    <row r="599">
      <c r="A599" s="16" t="s">
        <v>594</v>
      </c>
      <c r="B599" s="17" t="str">
        <f>IFERROR(__xludf.DUMMYFUNCTION("REGEXREPLACE(A599,$A$2, )"),"Mau daftar ajah susahnya minta ampun apa lagi buat login")</f>
        <v>Mau daftar ajah susahnya minta ampun apa lagi buat login</v>
      </c>
      <c r="C599" s="17" t="str">
        <f>IFERROR(__xludf.DUMMYFUNCTION("REGEXREPLACE(B599,$A$3, )"),"Mau daftar ajah susahnya minta ampun apa lagi buat login")</f>
        <v>Mau daftar ajah susahnya minta ampun apa lagi buat login</v>
      </c>
      <c r="D599" s="17" t="str">
        <f>IFERROR(__xludf.DUMMYFUNCTION("REGEXREPLACE(C599,$A$4, )"),"Mau daftar ajah susahnya minta ampun apa lagi buat login")</f>
        <v>Mau daftar ajah susahnya minta ampun apa lagi buat login</v>
      </c>
      <c r="E599" s="17" t="str">
        <f>IFERROR(__xludf.DUMMYFUNCTION("REGEXREPLACE(D599,$A$5, )"),"Mau daftar ajah susahnya minta ampun apa lagi buat login")</f>
        <v>Mau daftar ajah susahnya minta ampun apa lagi buat login</v>
      </c>
      <c r="F599" s="17" t="str">
        <f>IFERROR(__xludf.DUMMYFUNCTION("REGEXREPLACE(E599,$A$6, )"),"Mau daftar ajah susahnya minta ampun apa lagi buat login")</f>
        <v>Mau daftar ajah susahnya minta ampun apa lagi buat login</v>
      </c>
      <c r="G599" s="18" t="str">
        <f>IFERROR(__xludf.DUMMYFUNCTION("REGEXREPLACE(F599,$A$7, )"),"Mau daftar ajah susahnya minta ampun apa lagi buat login")</f>
        <v>Mau daftar ajah susahnya minta ampun apa lagi buat login</v>
      </c>
      <c r="H599" s="17" t="str">
        <f t="shared" si="1"/>
        <v>mau daftar ajah susahnya minta ampun apa lagi buat login</v>
      </c>
    </row>
    <row r="600">
      <c r="A600" s="16" t="s">
        <v>595</v>
      </c>
      <c r="B600" s="17" t="str">
        <f>IFERROR(__xludf.DUMMYFUNCTION("REGEXREPLACE(A600,$A$2, )"),"Setia daftar error json parse...apa itu? Solusinya apa, bagaimana biar bisa masuk.")</f>
        <v>Setia daftar error json parse...apa itu? Solusinya apa, bagaimana biar bisa masuk.</v>
      </c>
      <c r="C600" s="17" t="str">
        <f>IFERROR(__xludf.DUMMYFUNCTION("REGEXREPLACE(B600,$A$3, )"),"Setia daftar error json parse...apa itu? Solusinya apa, bagaimana biar bisa masuk.")</f>
        <v>Setia daftar error json parse...apa itu? Solusinya apa, bagaimana biar bisa masuk.</v>
      </c>
      <c r="D600" s="17" t="str">
        <f>IFERROR(__xludf.DUMMYFUNCTION("REGEXREPLACE(C600,$A$4, )"),"Setia daftar error json parse...apa itu? Solusinya apa, bagaimana biar bisa masuk.")</f>
        <v>Setia daftar error json parse...apa itu? Solusinya apa, bagaimana biar bisa masuk.</v>
      </c>
      <c r="E600" s="17" t="str">
        <f>IFERROR(__xludf.DUMMYFUNCTION("REGEXREPLACE(D600,$A$5, )"),"Setia daftar error json parse...apa itu? Solusinya apa, bagaimana biar bisa masuk.")</f>
        <v>Setia daftar error json parse...apa itu? Solusinya apa, bagaimana biar bisa masuk.</v>
      </c>
      <c r="F600" s="17" t="str">
        <f>IFERROR(__xludf.DUMMYFUNCTION("REGEXREPLACE(E600,$A$6, )"),"Setia daftar error json parseapa itu Solusinya apa bagaimana biar bisa masuk")</f>
        <v>Setia daftar error json parseapa itu Solusinya apa bagaimana biar bisa masuk</v>
      </c>
      <c r="G600" s="18" t="str">
        <f>IFERROR(__xludf.DUMMYFUNCTION("REGEXREPLACE(F600,$A$7, )"),"Setia daftar error json parseapa itu Solusinya apa bagaimana biar bisa masuk")</f>
        <v>Setia daftar error json parseapa itu Solusinya apa bagaimana biar bisa masuk</v>
      </c>
      <c r="H600" s="17" t="str">
        <f t="shared" si="1"/>
        <v>setia daftar error json parseapa itu solusinya apa bagaimana biar bisa masuk</v>
      </c>
    </row>
    <row r="601">
      <c r="A601" s="16" t="s">
        <v>596</v>
      </c>
      <c r="B601" s="17" t="str">
        <f>IFERROR(__xludf.DUMMYFUNCTION("REGEXREPLACE(A601,$A$2, )"),"Kenapa saya tidak bisa daftar diri saya sebagai penerima bantuan ' saya udah coba berkali kali selalu eror tlong bantu saya")</f>
        <v>Kenapa saya tidak bisa daftar diri saya sebagai penerima bantuan ' saya udah coba berkali kali selalu eror tlong bantu saya</v>
      </c>
      <c r="C601" s="17" t="str">
        <f>IFERROR(__xludf.DUMMYFUNCTION("REGEXREPLACE(B601,$A$3, )"),"Kenapa saya tidak bisa daftar diri saya sebagai penerima bantuan ' saya udah coba berkali kali selalu eror tlong bantu saya")</f>
        <v>Kenapa saya tidak bisa daftar diri saya sebagai penerima bantuan ' saya udah coba berkali kali selalu eror tlong bantu saya</v>
      </c>
      <c r="D601" s="17" t="str">
        <f>IFERROR(__xludf.DUMMYFUNCTION("REGEXREPLACE(C601,$A$4, )"),"Kenapa saya tidak bisa daftar diri saya sebagai penerima bantuan ' saya udah coba berkali kali selalu eror tlong bantu saya")</f>
        <v>Kenapa saya tidak bisa daftar diri saya sebagai penerima bantuan ' saya udah coba berkali kali selalu eror tlong bantu saya</v>
      </c>
      <c r="E601" s="17" t="str">
        <f>IFERROR(__xludf.DUMMYFUNCTION("REGEXREPLACE(D601,$A$5, )"),"Kenapa saya tidak bisa daftar diri saya sebagai penerima bantuan ' saya udah coba berkali kali selalu eror tlong bantu saya")</f>
        <v>Kenapa saya tidak bisa daftar diri saya sebagai penerima bantuan ' saya udah coba berkali kali selalu eror tlong bantu saya</v>
      </c>
      <c r="F601" s="17" t="str">
        <f>IFERROR(__xludf.DUMMYFUNCTION("REGEXREPLACE(E601,$A$6, )"),"Kenapa saya tidak bisa daftar diri saya sebagai penerima bantuan  saya udah coba berkali kali selalu eror tlong bantu saya")</f>
        <v>Kenapa saya tidak bisa daftar diri saya sebagai penerima bantuan  saya udah coba berkali kali selalu eror tlong bantu saya</v>
      </c>
      <c r="G601" s="18" t="str">
        <f>IFERROR(__xludf.DUMMYFUNCTION("REGEXREPLACE(F601,$A$7, )"),"Kenapa saya tidak bisa daftar diri saya sebagai penerima bantuan  saya udah coba berkali kali selalu eror tlong bantu saya")</f>
        <v>Kenapa saya tidak bisa daftar diri saya sebagai penerima bantuan  saya udah coba berkali kali selalu eror tlong bantu saya</v>
      </c>
      <c r="H601" s="17" t="str">
        <f t="shared" si="1"/>
        <v>kenapa saya tidak bisa daftar diri saya sebagai penerima bantuan  saya udah coba berkali kali selalu eror tlong bantu saya</v>
      </c>
    </row>
    <row r="602">
      <c r="A602" s="16" t="s">
        <v>597</v>
      </c>
      <c r="B602" s="17" t="str">
        <f>IFERROR(__xludf.DUMMYFUNCTION("REGEXREPLACE(A602,$A$2, )"),"masih suka error smoga kedepannya lebih baik")</f>
        <v>masih suka error smoga kedepannya lebih baik</v>
      </c>
      <c r="C602" s="17" t="str">
        <f>IFERROR(__xludf.DUMMYFUNCTION("REGEXREPLACE(B602,$A$3, )"),"masih suka error smoga kedepannya lebih baik")</f>
        <v>masih suka error smoga kedepannya lebih baik</v>
      </c>
      <c r="D602" s="17" t="str">
        <f>IFERROR(__xludf.DUMMYFUNCTION("REGEXREPLACE(C602,$A$4, )"),"masih suka error smoga kedepannya lebih baik")</f>
        <v>masih suka error smoga kedepannya lebih baik</v>
      </c>
      <c r="E602" s="17" t="str">
        <f>IFERROR(__xludf.DUMMYFUNCTION("REGEXREPLACE(D602,$A$5, )"),"masih suka error smoga kedepannya lebih baik")</f>
        <v>masih suka error smoga kedepannya lebih baik</v>
      </c>
      <c r="F602" s="17" t="str">
        <f>IFERROR(__xludf.DUMMYFUNCTION("REGEXREPLACE(E602,$A$6, )"),"masih suka error smoga kedepannya lebih baik")</f>
        <v>masih suka error smoga kedepannya lebih baik</v>
      </c>
      <c r="G602" s="18" t="str">
        <f>IFERROR(__xludf.DUMMYFUNCTION("REGEXREPLACE(F602,$A$7, )"),"masih suka error smoga kedepannya lebih baik")</f>
        <v>masih suka error smoga kedepannya lebih baik</v>
      </c>
      <c r="H602" s="17" t="str">
        <f t="shared" si="1"/>
        <v>masih suka error smoga kedepannya lebih baik</v>
      </c>
    </row>
    <row r="603">
      <c r="A603" s="16" t="s">
        <v>598</v>
      </c>
      <c r="B603" s="17" t="str">
        <f>IFERROR(__xludf.DUMMYFUNCTION("REGEXREPLACE(A603,$A$2, )"),"Aplikasi error,gak fungsi")</f>
        <v>Aplikasi error,gak fungsi</v>
      </c>
      <c r="C603" s="17" t="str">
        <f>IFERROR(__xludf.DUMMYFUNCTION("REGEXREPLACE(B603,$A$3, )"),"Aplikasi error,gak fungsi")</f>
        <v>Aplikasi error,gak fungsi</v>
      </c>
      <c r="D603" s="17" t="str">
        <f>IFERROR(__xludf.DUMMYFUNCTION("REGEXREPLACE(C603,$A$4, )"),"Aplikasi error,gak fungsi")</f>
        <v>Aplikasi error,gak fungsi</v>
      </c>
      <c r="E603" s="17" t="str">
        <f>IFERROR(__xludf.DUMMYFUNCTION("REGEXREPLACE(D603,$A$5, )"),"Aplikasi error,gak fungsi")</f>
        <v>Aplikasi error,gak fungsi</v>
      </c>
      <c r="F603" s="17" t="str">
        <f>IFERROR(__xludf.DUMMYFUNCTION("REGEXREPLACE(E603,$A$6, )"),"Aplikasi errorgak fungsi")</f>
        <v>Aplikasi errorgak fungsi</v>
      </c>
      <c r="G603" s="18" t="str">
        <f>IFERROR(__xludf.DUMMYFUNCTION("REGEXREPLACE(F603,$A$7, )"),"Aplikasi errorgak fungsi")</f>
        <v>Aplikasi errorgak fungsi</v>
      </c>
      <c r="H603" s="17" t="str">
        <f t="shared" si="1"/>
        <v>aplikasi errorgak fungsi</v>
      </c>
    </row>
    <row r="604">
      <c r="A604" s="16" t="s">
        <v>599</v>
      </c>
      <c r="B604" s="17" t="str">
        <f>IFERROR(__xludf.DUMMYFUNCTION("REGEXREPLACE(A604,$A$2, )"),"Mau daftar aku lemott ... Baru pilih provinsi malah error loding lama")</f>
        <v>Mau daftar aku lemott ... Baru pilih provinsi malah error loding lama</v>
      </c>
      <c r="C604" s="17" t="str">
        <f>IFERROR(__xludf.DUMMYFUNCTION("REGEXREPLACE(B604,$A$3, )"),"Mau daftar aku lemott ... Baru pilih provinsi malah error loding lama")</f>
        <v>Mau daftar aku lemott ... Baru pilih provinsi malah error loding lama</v>
      </c>
      <c r="D604" s="17" t="str">
        <f>IFERROR(__xludf.DUMMYFUNCTION("REGEXREPLACE(C604,$A$4, )"),"Mau daftar aku lemott ... Baru pilih provinsi malah error loding lama")</f>
        <v>Mau daftar aku lemott ... Baru pilih provinsi malah error loding lama</v>
      </c>
      <c r="E604" s="17" t="str">
        <f>IFERROR(__xludf.DUMMYFUNCTION("REGEXREPLACE(D604,$A$5, )"),"Mau daftar aku lemott ... Baru pilih provinsi malah error loding lama")</f>
        <v>Mau daftar aku lemott ... Baru pilih provinsi malah error loding lama</v>
      </c>
      <c r="F604" s="17" t="str">
        <f>IFERROR(__xludf.DUMMYFUNCTION("REGEXREPLACE(E604,$A$6, )"),"Mau daftar aku lemott  Baru pilih provinsi malah error loding lama")</f>
        <v>Mau daftar aku lemott  Baru pilih provinsi malah error loding lama</v>
      </c>
      <c r="G604" s="18" t="str">
        <f>IFERROR(__xludf.DUMMYFUNCTION("REGEXREPLACE(F604,$A$7, )"),"Mau daftar aku lemott  Baru pilih provinsi malah error loding lama")</f>
        <v>Mau daftar aku lemott  Baru pilih provinsi malah error loding lama</v>
      </c>
      <c r="H604" s="17" t="str">
        <f t="shared" si="1"/>
        <v>mau daftar aku lemott  baru pilih provinsi malah error loding lama</v>
      </c>
    </row>
    <row r="605">
      <c r="A605" s="16" t="s">
        <v>600</v>
      </c>
      <c r="B605" s="17" t="str">
        <f>IFERROR(__xludf.DUMMYFUNCTION("REGEXREPLACE(A605,$A$2, )"),"Aplikasi bloon kaga bisa dibuka dari kapan tau")</f>
        <v>Aplikasi bloon kaga bisa dibuka dari kapan tau</v>
      </c>
      <c r="C605" s="17" t="str">
        <f>IFERROR(__xludf.DUMMYFUNCTION("REGEXREPLACE(B605,$A$3, )"),"Aplikasi bloon kaga bisa dibuka dari kapan tau")</f>
        <v>Aplikasi bloon kaga bisa dibuka dari kapan tau</v>
      </c>
      <c r="D605" s="17" t="str">
        <f>IFERROR(__xludf.DUMMYFUNCTION("REGEXREPLACE(C605,$A$4, )"),"Aplikasi bloon kaga bisa dibuka dari kapan tau")</f>
        <v>Aplikasi bloon kaga bisa dibuka dari kapan tau</v>
      </c>
      <c r="E605" s="17" t="str">
        <f>IFERROR(__xludf.DUMMYFUNCTION("REGEXREPLACE(D605,$A$5, )"),"Aplikasi bloon kaga bisa dibuka dari kapan tau")</f>
        <v>Aplikasi bloon kaga bisa dibuka dari kapan tau</v>
      </c>
      <c r="F605" s="17" t="str">
        <f>IFERROR(__xludf.DUMMYFUNCTION("REGEXREPLACE(E605,$A$6, )"),"Aplikasi bloon kaga bisa dibuka dari kapan tau")</f>
        <v>Aplikasi bloon kaga bisa dibuka dari kapan tau</v>
      </c>
      <c r="G605" s="18" t="str">
        <f>IFERROR(__xludf.DUMMYFUNCTION("REGEXREPLACE(F605,$A$7, )"),"Aplikasi bloon kaga bisa dibuka dari kapan tau")</f>
        <v>Aplikasi bloon kaga bisa dibuka dari kapan tau</v>
      </c>
      <c r="H605" s="17" t="str">
        <f t="shared" si="1"/>
        <v>aplikasi bloon kaga bisa dibuka dari kapan tau</v>
      </c>
    </row>
    <row r="606">
      <c r="A606" s="16" t="s">
        <v>601</v>
      </c>
      <c r="B606" s="17" t="str">
        <f>IFERROR(__xludf.DUMMYFUNCTION("REGEXREPLACE(A606,$A$2, )"),"Error Json Parse terus... Tolong diperbaiki!")</f>
        <v>Error Json Parse terus... Tolong diperbaiki!</v>
      </c>
      <c r="C606" s="17" t="str">
        <f>IFERROR(__xludf.DUMMYFUNCTION("REGEXREPLACE(B606,$A$3, )"),"Error Json Parse terus... Tolong diperbaiki!")</f>
        <v>Error Json Parse terus... Tolong diperbaiki!</v>
      </c>
      <c r="D606" s="17" t="str">
        <f>IFERROR(__xludf.DUMMYFUNCTION("REGEXREPLACE(C606,$A$4, )"),"Error Json Parse terus... Tolong diperbaiki!")</f>
        <v>Error Json Parse terus... Tolong diperbaiki!</v>
      </c>
      <c r="E606" s="17" t="str">
        <f>IFERROR(__xludf.DUMMYFUNCTION("REGEXREPLACE(D606,$A$5, )"),"Error Json Parse terus... Tolong diperbaiki!")</f>
        <v>Error Json Parse terus... Tolong diperbaiki!</v>
      </c>
      <c r="F606" s="17" t="str">
        <f>IFERROR(__xludf.DUMMYFUNCTION("REGEXREPLACE(E606,$A$6, )"),"Error Json Parse terus Tolong diperbaiki")</f>
        <v>Error Json Parse terus Tolong diperbaiki</v>
      </c>
      <c r="G606" s="18" t="str">
        <f>IFERROR(__xludf.DUMMYFUNCTION("REGEXREPLACE(F606,$A$7, )"),"Error Json Parse terus Tolong diperbaiki")</f>
        <v>Error Json Parse terus Tolong diperbaiki</v>
      </c>
      <c r="H606" s="17" t="str">
        <f t="shared" si="1"/>
        <v>error json parse terus tolong diperbaiki</v>
      </c>
    </row>
    <row r="607">
      <c r="A607" s="16" t="s">
        <v>602</v>
      </c>
      <c r="B607" s="17" t="str">
        <f>IFERROR(__xludf.DUMMYFUNCTION("REGEXREPLACE(A607,$A$2, )"),"Aplikasi tidak jelas.akun tidak bisa dibuat. Kecewa downloadnya.")</f>
        <v>Aplikasi tidak jelas.akun tidak bisa dibuat. Kecewa downloadnya.</v>
      </c>
      <c r="C607" s="17" t="str">
        <f>IFERROR(__xludf.DUMMYFUNCTION("REGEXREPLACE(B607,$A$3, )"),"Aplikasi tidak jelas.akun tidak bisa dibuat. Kecewa downloadnya.")</f>
        <v>Aplikasi tidak jelas.akun tidak bisa dibuat. Kecewa downloadnya.</v>
      </c>
      <c r="D607" s="17" t="str">
        <f>IFERROR(__xludf.DUMMYFUNCTION("REGEXREPLACE(C607,$A$4, )"),"Aplikasi tidak jelas.akun tidak bisa dibuat. Kecewa downloadnya.")</f>
        <v>Aplikasi tidak jelas.akun tidak bisa dibuat. Kecewa downloadnya.</v>
      </c>
      <c r="E607" s="17" t="str">
        <f>IFERROR(__xludf.DUMMYFUNCTION("REGEXREPLACE(D607,$A$5, )"),"Aplikasi tidak jelas.akun tidak bisa dibuat. Kecewa downloadnya.")</f>
        <v>Aplikasi tidak jelas.akun tidak bisa dibuat. Kecewa downloadnya.</v>
      </c>
      <c r="F607" s="17" t="str">
        <f>IFERROR(__xludf.DUMMYFUNCTION("REGEXREPLACE(E607,$A$6, )"),"Aplikasi tidak jelasakun tidak bisa dibuat Kecewa downloadnya")</f>
        <v>Aplikasi tidak jelasakun tidak bisa dibuat Kecewa downloadnya</v>
      </c>
      <c r="G607" s="18" t="str">
        <f>IFERROR(__xludf.DUMMYFUNCTION("REGEXREPLACE(F607,$A$7, )"),"Aplikasi tidak jelasakun tidak bisa dibuat Kecewa downloadnya")</f>
        <v>Aplikasi tidak jelasakun tidak bisa dibuat Kecewa downloadnya</v>
      </c>
      <c r="H607" s="17" t="str">
        <f t="shared" si="1"/>
        <v>aplikasi tidak jelasakun tidak bisa dibuat kecewa downloadnya</v>
      </c>
    </row>
    <row r="608">
      <c r="A608" s="16" t="s">
        <v>603</v>
      </c>
      <c r="B608" s="17" t="str">
        <f>IFERROR(__xludf.DUMMYFUNCTION("REGEXREPLACE(A608,$A$2, )"),"Tolong perbaiki aplikasi ini saya tidak bisa mendapatkan.karna aplikasi eror...")</f>
        <v>Tolong perbaiki aplikasi ini saya tidak bisa mendapatkan.karna aplikasi eror...</v>
      </c>
      <c r="C608" s="17" t="str">
        <f>IFERROR(__xludf.DUMMYFUNCTION("REGEXREPLACE(B608,$A$3, )"),"Tolong perbaiki aplikasi ini saya tidak bisa mendapatkan.karna aplikasi eror...")</f>
        <v>Tolong perbaiki aplikasi ini saya tidak bisa mendapatkan.karna aplikasi eror...</v>
      </c>
      <c r="D608" s="17" t="str">
        <f>IFERROR(__xludf.DUMMYFUNCTION("REGEXREPLACE(C608,$A$4, )"),"Tolong perbaiki aplikasi ini saya tidak bisa mendapatkan.karna aplikasi eror...")</f>
        <v>Tolong perbaiki aplikasi ini saya tidak bisa mendapatkan.karna aplikasi eror...</v>
      </c>
      <c r="E608" s="17" t="str">
        <f>IFERROR(__xludf.DUMMYFUNCTION("REGEXREPLACE(D608,$A$5, )"),"Tolong perbaiki aplikasi ini saya tidak bisa mendapatkan.karna aplikasi eror...")</f>
        <v>Tolong perbaiki aplikasi ini saya tidak bisa mendapatkan.karna aplikasi eror...</v>
      </c>
      <c r="F608" s="17" t="str">
        <f>IFERROR(__xludf.DUMMYFUNCTION("REGEXREPLACE(E608,$A$6, )"),"Tolong perbaiki aplikasi ini saya tidak bisa mendapatkankarna aplikasi eror")</f>
        <v>Tolong perbaiki aplikasi ini saya tidak bisa mendapatkankarna aplikasi eror</v>
      </c>
      <c r="G608" s="18" t="str">
        <f>IFERROR(__xludf.DUMMYFUNCTION("REGEXREPLACE(F608,$A$7, )"),"Tolong perbaiki aplikasi ini saya tidak bisa mendapatkankarna aplikasi eror")</f>
        <v>Tolong perbaiki aplikasi ini saya tidak bisa mendapatkankarna aplikasi eror</v>
      </c>
      <c r="H608" s="17" t="str">
        <f t="shared" si="1"/>
        <v>tolong perbaiki aplikasi ini saya tidak bisa mendapatkankarna aplikasi eror</v>
      </c>
    </row>
    <row r="609">
      <c r="A609" s="16" t="s">
        <v>604</v>
      </c>
      <c r="B609" s="17" t="str">
        <f>IFERROR(__xludf.DUMMYFUNCTION("REGEXREPLACE(A609,$A$2, )"),"Nih aplikasi apa ??? Tim it negara kemana ??? Kaya gini masyarakat sangat susah tuk memenuhi persyaratan online tapi aplikasi nya kaya gini....hadeuh indonesia oh indonesia")</f>
        <v>Nih aplikasi apa ??? Tim it negara kemana ??? Kaya gini masyarakat sangat susah tuk memenuhi persyaratan online tapi aplikasi nya kaya gini....hadeuh indonesia oh indonesia</v>
      </c>
      <c r="C609" s="17" t="str">
        <f>IFERROR(__xludf.DUMMYFUNCTION("REGEXREPLACE(B609,$A$3, )"),"Nih aplikasi apa ??? Tim it negara kemana ??? Kaya gini masyarakat sangat susah tuk memenuhi persyaratan online tapi aplikasi nya kaya gini....hadeuh indonesia oh indonesia")</f>
        <v>Nih aplikasi apa ??? Tim it negara kemana ??? Kaya gini masyarakat sangat susah tuk memenuhi persyaratan online tapi aplikasi nya kaya gini....hadeuh indonesia oh indonesia</v>
      </c>
      <c r="D609" s="17" t="str">
        <f>IFERROR(__xludf.DUMMYFUNCTION("REGEXREPLACE(C609,$A$4, )"),"Nih aplikasi apa ??? Tim it negara kemana ??? Kaya gini masyarakat sangat susah tuk memenuhi persyaratan online tapi aplikasi nya kaya gini....hadeuh indonesia oh indonesia")</f>
        <v>Nih aplikasi apa ??? Tim it negara kemana ??? Kaya gini masyarakat sangat susah tuk memenuhi persyaratan online tapi aplikasi nya kaya gini....hadeuh indonesia oh indonesia</v>
      </c>
      <c r="E609" s="17" t="str">
        <f>IFERROR(__xludf.DUMMYFUNCTION("REGEXREPLACE(D609,$A$5, )"),"Nih aplikasi apa ??? Tim it negara kemana ??? Kaya gini masyarakat sangat susah tuk memenuhi persyaratan online tapi aplikasi nya kaya gini....hadeuh indonesia oh indonesia")</f>
        <v>Nih aplikasi apa ??? Tim it negara kemana ??? Kaya gini masyarakat sangat susah tuk memenuhi persyaratan online tapi aplikasi nya kaya gini....hadeuh indonesia oh indonesia</v>
      </c>
      <c r="F609" s="17" t="str">
        <f>IFERROR(__xludf.DUMMYFUNCTION("REGEXREPLACE(E609,$A$6, )"),"Nih aplikasi apa  Tim it negara kemana  Kaya gini masyarakat sangat susah tuk memenuhi persyaratan online tapi aplikasi nya kaya ginihadeuh indonesia oh indonesia")</f>
        <v>Nih aplikasi apa  Tim it negara kemana  Kaya gini masyarakat sangat susah tuk memenuhi persyaratan online tapi aplikasi nya kaya ginihadeuh indonesia oh indonesia</v>
      </c>
      <c r="G609" s="18" t="str">
        <f>IFERROR(__xludf.DUMMYFUNCTION("REGEXREPLACE(F609,$A$7, )"),"Nih aplikasi apa  Tim it negara kemana  Kaya gini masyarakat sangat susah tuk memenuhi persyaratan online tapi aplikasi nya kaya ginihadeuh indonesia oh indonesia")</f>
        <v>Nih aplikasi apa  Tim it negara kemana  Kaya gini masyarakat sangat susah tuk memenuhi persyaratan online tapi aplikasi nya kaya ginihadeuh indonesia oh indonesia</v>
      </c>
      <c r="H609" s="17" t="str">
        <f t="shared" si="1"/>
        <v>nih aplikasi apa  tim it negara kemana  kaya gini masyarakat sangat susah tuk memenuhi persyaratan online tapi aplikasi nya kaya ginihadeuh indonesia oh indonesia</v>
      </c>
    </row>
    <row r="610">
      <c r="A610" s="16" t="s">
        <v>605</v>
      </c>
      <c r="B610" s="17" t="str">
        <f>IFERROR(__xludf.DUMMYFUNCTION("REGEXREPLACE(A610,$A$2, )"),"Gagal terus untuk mendaftar akun baru, apakah sudah di setting ya? Wkwk")</f>
        <v>Gagal terus untuk mendaftar akun baru, apakah sudah di setting ya? Wkwk</v>
      </c>
      <c r="C610" s="17" t="str">
        <f>IFERROR(__xludf.DUMMYFUNCTION("REGEXREPLACE(B610,$A$3, )"),"Gagal terus untuk mendaftar akun baru, apakah sudah di setting ya? Wkwk")</f>
        <v>Gagal terus untuk mendaftar akun baru, apakah sudah di setting ya? Wkwk</v>
      </c>
      <c r="D610" s="17" t="str">
        <f>IFERROR(__xludf.DUMMYFUNCTION("REGEXREPLACE(C610,$A$4, )"),"Gagal terus untuk mendaftar akun baru, apakah sudah di setting ya? Wkwk")</f>
        <v>Gagal terus untuk mendaftar akun baru, apakah sudah di setting ya? Wkwk</v>
      </c>
      <c r="E610" s="17" t="str">
        <f>IFERROR(__xludf.DUMMYFUNCTION("REGEXREPLACE(D610,$A$5, )"),"Gagal terus untuk mendaftar akun baru, apakah sudah di setting ya? Wkwk")</f>
        <v>Gagal terus untuk mendaftar akun baru, apakah sudah di setting ya? Wkwk</v>
      </c>
      <c r="F610" s="17" t="str">
        <f>IFERROR(__xludf.DUMMYFUNCTION("REGEXREPLACE(E610,$A$6, )"),"Gagal terus untuk mendaftar akun baru apakah sudah di setting ya Wkwk")</f>
        <v>Gagal terus untuk mendaftar akun baru apakah sudah di setting ya Wkwk</v>
      </c>
      <c r="G610" s="18" t="str">
        <f>IFERROR(__xludf.DUMMYFUNCTION("REGEXREPLACE(F610,$A$7, )"),"Gagal terus untuk mendaftar akun baru apakah sudah di setting ya Wkwk")</f>
        <v>Gagal terus untuk mendaftar akun baru apakah sudah di setting ya Wkwk</v>
      </c>
      <c r="H610" s="17" t="str">
        <f t="shared" si="1"/>
        <v>gagal terus untuk mendaftar akun baru apakah sudah di setting ya wkwk</v>
      </c>
    </row>
    <row r="611">
      <c r="A611" s="16" t="s">
        <v>606</v>
      </c>
      <c r="B611" s="17" t="str">
        <f>IFERROR(__xludf.DUMMYFUNCTION("REGEXREPLACE(A611,$A$2, )"),"Bisa login, cuman tulisannya Anda tidak terdaftar sebagai peserta PM. Padahal dulu pernah DAN TIDAK PERNAH MENGUNDURKAN DIRI")</f>
        <v>Bisa login, cuman tulisannya Anda tidak terdaftar sebagai peserta PM. Padahal dulu pernah DAN TIDAK PERNAH MENGUNDURKAN DIRI</v>
      </c>
      <c r="C611" s="17" t="str">
        <f>IFERROR(__xludf.DUMMYFUNCTION("REGEXREPLACE(B611,$A$3, )"),"Bisa login, cuman tulisannya Anda tidak terdaftar sebagai peserta PM. Padahal dulu pernah DAN TIDAK PERNAH MENGUNDURKAN DIRI")</f>
        <v>Bisa login, cuman tulisannya Anda tidak terdaftar sebagai peserta PM. Padahal dulu pernah DAN TIDAK PERNAH MENGUNDURKAN DIRI</v>
      </c>
      <c r="D611" s="17" t="str">
        <f>IFERROR(__xludf.DUMMYFUNCTION("REGEXREPLACE(C611,$A$4, )"),"Bisa login, cuman tulisannya Anda tidak terdaftar sebagai peserta PM. Padahal dulu pernah DAN TIDAK PERNAH MENGUNDURKAN DIRI")</f>
        <v>Bisa login, cuman tulisannya Anda tidak terdaftar sebagai peserta PM. Padahal dulu pernah DAN TIDAK PERNAH MENGUNDURKAN DIRI</v>
      </c>
      <c r="E611" s="17" t="str">
        <f>IFERROR(__xludf.DUMMYFUNCTION("REGEXREPLACE(D611,$A$5, )"),"Bisa login, cuman tulisannya Anda tidak terdaftar sebagai peserta PM. Padahal dulu pernah DAN TIDAK PERNAH MENGUNDURKAN DIRI")</f>
        <v>Bisa login, cuman tulisannya Anda tidak terdaftar sebagai peserta PM. Padahal dulu pernah DAN TIDAK PERNAH MENGUNDURKAN DIRI</v>
      </c>
      <c r="F611" s="17" t="str">
        <f>IFERROR(__xludf.DUMMYFUNCTION("REGEXREPLACE(E611,$A$6, )"),"Bisa login cuman tulisannya Anda tidak terdaftar sebagai peserta PM Padahal dulu pernah DAN TIDAK PERNAH MENGUNDURKAN DIRI")</f>
        <v>Bisa login cuman tulisannya Anda tidak terdaftar sebagai peserta PM Padahal dulu pernah DAN TIDAK PERNAH MENGUNDURKAN DIRI</v>
      </c>
      <c r="G611" s="18" t="str">
        <f>IFERROR(__xludf.DUMMYFUNCTION("REGEXREPLACE(F611,$A$7, )"),"Bisa login cuman tulisannya Anda tidak terdaftar sebagai peserta PM Padahal dulu pernah DAN TIDAK PERNAH MENGUNDURKAN DIRI")</f>
        <v>Bisa login cuman tulisannya Anda tidak terdaftar sebagai peserta PM Padahal dulu pernah DAN TIDAK PERNAH MENGUNDURKAN DIRI</v>
      </c>
      <c r="H611" s="17" t="str">
        <f t="shared" si="1"/>
        <v>bisa login cuman tulisannya anda tidak terdaftar sebagai peserta pm padahal dulu pernah dan tidak pernah mengundurkan diri</v>
      </c>
    </row>
    <row r="612">
      <c r="A612" s="16" t="s">
        <v>607</v>
      </c>
      <c r="B612" s="17" t="str">
        <f>IFERROR(__xludf.DUMMYFUNCTION("REGEXREPLACE(A612,$A$2, )"),"Tidak bisa terdaftar tolong di perbarui Supaya bisa membantu ke hidupkan masyarakat yg sangat membutuhkan")</f>
        <v>Tidak bisa terdaftar tolong di perbarui Supaya bisa membantu ke hidupkan masyarakat yg sangat membutuhkan</v>
      </c>
      <c r="C612" s="17" t="str">
        <f>IFERROR(__xludf.DUMMYFUNCTION("REGEXREPLACE(B612,$A$3, )"),"Tidak bisa terdaftar tolong di perbarui Supaya bisa membantu ke hidupkan masyarakat yg sangat membutuhkan")</f>
        <v>Tidak bisa terdaftar tolong di perbarui Supaya bisa membantu ke hidupkan masyarakat yg sangat membutuhkan</v>
      </c>
      <c r="D612" s="17" t="str">
        <f>IFERROR(__xludf.DUMMYFUNCTION("REGEXREPLACE(C612,$A$4, )"),"Tidak bisa terdaftar tolong di perbarui Supaya bisa membantu ke hidupkan masyarakat yg sangat membutuhkan")</f>
        <v>Tidak bisa terdaftar tolong di perbarui Supaya bisa membantu ke hidupkan masyarakat yg sangat membutuhkan</v>
      </c>
      <c r="E612" s="17" t="str">
        <f>IFERROR(__xludf.DUMMYFUNCTION("REGEXREPLACE(D612,$A$5, )"),"Tidak bisa terdaftar tolong di perbarui Supaya bisa membantu ke hidupkan masyarakat yg sangat membutuhkan")</f>
        <v>Tidak bisa terdaftar tolong di perbarui Supaya bisa membantu ke hidupkan masyarakat yg sangat membutuhkan</v>
      </c>
      <c r="F612" s="17" t="str">
        <f>IFERROR(__xludf.DUMMYFUNCTION("REGEXREPLACE(E612,$A$6, )"),"Tidak bisa terdaftar tolong di perbarui Supaya bisa membantu ke hidupkan masyarakat yg sangat membutuhkan")</f>
        <v>Tidak bisa terdaftar tolong di perbarui Supaya bisa membantu ke hidupkan masyarakat yg sangat membutuhkan</v>
      </c>
      <c r="G612" s="18" t="str">
        <f>IFERROR(__xludf.DUMMYFUNCTION("REGEXREPLACE(F612,$A$7, )"),"Tidak bisa terdaftar tolong di perbarui Supaya bisa membantu ke hidupkan masyarakat yg sangat membutuhkan")</f>
        <v>Tidak bisa terdaftar tolong di perbarui Supaya bisa membantu ke hidupkan masyarakat yg sangat membutuhkan</v>
      </c>
      <c r="H612" s="17" t="str">
        <f t="shared" si="1"/>
        <v>tidak bisa terdaftar tolong di perbarui supaya bisa membantu ke hidupkan masyarakat yg sangat membutuhkan</v>
      </c>
    </row>
    <row r="613">
      <c r="A613" s="16" t="s">
        <v>608</v>
      </c>
      <c r="B613" s="17" t="str">
        <f>IFERROR(__xludf.DUMMYFUNCTION("REGEXREPLACE(A613,$A$2, )"),"Malah nyusahin,apk gak bisa dibuka tuh...aplikasi sampah php doang")</f>
        <v>Malah nyusahin,apk gak bisa dibuka tuh...aplikasi sampah php doang</v>
      </c>
      <c r="C613" s="17" t="str">
        <f>IFERROR(__xludf.DUMMYFUNCTION("REGEXREPLACE(B613,$A$3, )"),"Malah nyusahin,apk gak bisa dibuka tuh...aplikasi sampah php doang")</f>
        <v>Malah nyusahin,apk gak bisa dibuka tuh...aplikasi sampah php doang</v>
      </c>
      <c r="D613" s="17" t="str">
        <f>IFERROR(__xludf.DUMMYFUNCTION("REGEXREPLACE(C613,$A$4, )"),"Malah nyusahin,apk gak bisa dibuka tuh...aplikasi sampah php doang")</f>
        <v>Malah nyusahin,apk gak bisa dibuka tuh...aplikasi sampah php doang</v>
      </c>
      <c r="E613" s="17" t="str">
        <f>IFERROR(__xludf.DUMMYFUNCTION("REGEXREPLACE(D613,$A$5, )"),"Malah nyusahin,apk gak bisa dibuka tuh...aplikasi sampah php doang")</f>
        <v>Malah nyusahin,apk gak bisa dibuka tuh...aplikasi sampah php doang</v>
      </c>
      <c r="F613" s="17" t="str">
        <f>IFERROR(__xludf.DUMMYFUNCTION("REGEXREPLACE(E613,$A$6, )"),"Malah nyusahinapk gak bisa dibuka tuhaplikasi sampah php doang")</f>
        <v>Malah nyusahinapk gak bisa dibuka tuhaplikasi sampah php doang</v>
      </c>
      <c r="G613" s="18" t="str">
        <f>IFERROR(__xludf.DUMMYFUNCTION("REGEXREPLACE(F613,$A$7, )"),"Malah nyusahinapk gak bisa dibuka tuhaplikasi sampah php doang")</f>
        <v>Malah nyusahinapk gak bisa dibuka tuhaplikasi sampah php doang</v>
      </c>
      <c r="H613" s="17" t="str">
        <f t="shared" si="1"/>
        <v>malah nyusahinapk gak bisa dibuka tuhaplikasi sampah php doang</v>
      </c>
    </row>
    <row r="614">
      <c r="A614" s="16" t="s">
        <v>609</v>
      </c>
      <c r="B614" s="17" t="str">
        <f>IFERROR(__xludf.DUMMYFUNCTION("REGEXREPLACE(A614,$A$2, )"),"Udah di update ga bisa di buka")</f>
        <v>Udah di update ga bisa di buka</v>
      </c>
      <c r="C614" s="17" t="str">
        <f>IFERROR(__xludf.DUMMYFUNCTION("REGEXREPLACE(B614,$A$3, )"),"Udah di update ga bisa di buka")</f>
        <v>Udah di update ga bisa di buka</v>
      </c>
      <c r="D614" s="17" t="str">
        <f>IFERROR(__xludf.DUMMYFUNCTION("REGEXREPLACE(C614,$A$4, )"),"Udah di update ga bisa di buka")</f>
        <v>Udah di update ga bisa di buka</v>
      </c>
      <c r="E614" s="17" t="str">
        <f>IFERROR(__xludf.DUMMYFUNCTION("REGEXREPLACE(D614,$A$5, )"),"Udah di update ga bisa di buka")</f>
        <v>Udah di update ga bisa di buka</v>
      </c>
      <c r="F614" s="17" t="str">
        <f>IFERROR(__xludf.DUMMYFUNCTION("REGEXREPLACE(E614,$A$6, )"),"Udah di update ga bisa di buka")</f>
        <v>Udah di update ga bisa di buka</v>
      </c>
      <c r="G614" s="18" t="str">
        <f>IFERROR(__xludf.DUMMYFUNCTION("REGEXREPLACE(F614,$A$7, )"),"Udah di update ga bisa di buka")</f>
        <v>Udah di update ga bisa di buka</v>
      </c>
      <c r="H614" s="17" t="str">
        <f t="shared" si="1"/>
        <v>udah di update ga bisa di buka</v>
      </c>
    </row>
    <row r="615">
      <c r="A615" s="16" t="s">
        <v>610</v>
      </c>
      <c r="B615" s="17" t="str">
        <f>IFERROR(__xludf.DUMMYFUNCTION("REGEXREPLACE(A615,$A$2, )"),"Banyak keluhan tentang aplikasinya tapi gak ada yang di respon")</f>
        <v>Banyak keluhan tentang aplikasinya tapi gak ada yang di respon</v>
      </c>
      <c r="C615" s="17" t="str">
        <f>IFERROR(__xludf.DUMMYFUNCTION("REGEXREPLACE(B615,$A$3, )"),"Banyak keluhan tentang aplikasinya tapi gak ada yang di respon")</f>
        <v>Banyak keluhan tentang aplikasinya tapi gak ada yang di respon</v>
      </c>
      <c r="D615" s="17" t="str">
        <f>IFERROR(__xludf.DUMMYFUNCTION("REGEXREPLACE(C615,$A$4, )"),"Banyak keluhan tentang aplikasinya tapi gak ada yang di respon")</f>
        <v>Banyak keluhan tentang aplikasinya tapi gak ada yang di respon</v>
      </c>
      <c r="E615" s="17" t="str">
        <f>IFERROR(__xludf.DUMMYFUNCTION("REGEXREPLACE(D615,$A$5, )"),"Banyak keluhan tentang aplikasinya tapi gak ada yang di respon")</f>
        <v>Banyak keluhan tentang aplikasinya tapi gak ada yang di respon</v>
      </c>
      <c r="F615" s="17" t="str">
        <f>IFERROR(__xludf.DUMMYFUNCTION("REGEXREPLACE(E615,$A$6, )"),"Banyak keluhan tentang aplikasinya tapi gak ada yang di respon")</f>
        <v>Banyak keluhan tentang aplikasinya tapi gak ada yang di respon</v>
      </c>
      <c r="G615" s="18" t="str">
        <f>IFERROR(__xludf.DUMMYFUNCTION("REGEXREPLACE(F615,$A$7, )"),"Banyak keluhan tentang aplikasinya tapi gak ada yang di respon")</f>
        <v>Banyak keluhan tentang aplikasinya tapi gak ada yang di respon</v>
      </c>
      <c r="H615" s="17" t="str">
        <f t="shared" si="1"/>
        <v>banyak keluhan tentang aplikasinya tapi gak ada yang di respon</v>
      </c>
    </row>
    <row r="616">
      <c r="A616" s="16" t="s">
        <v>611</v>
      </c>
      <c r="B616" s="17" t="str">
        <f>IFERROR(__xludf.DUMMYFUNCTION("REGEXREPLACE(A616,$A$2, )"),"Susah daftar, error terus.")</f>
        <v>Susah daftar, error terus.</v>
      </c>
      <c r="C616" s="17" t="str">
        <f>IFERROR(__xludf.DUMMYFUNCTION("REGEXREPLACE(B616,$A$3, )"),"Susah daftar, error terus.")</f>
        <v>Susah daftar, error terus.</v>
      </c>
      <c r="D616" s="17" t="str">
        <f>IFERROR(__xludf.DUMMYFUNCTION("REGEXREPLACE(C616,$A$4, )"),"Susah daftar, error terus.")</f>
        <v>Susah daftar, error terus.</v>
      </c>
      <c r="E616" s="17" t="str">
        <f>IFERROR(__xludf.DUMMYFUNCTION("REGEXREPLACE(D616,$A$5, )"),"Susah daftar, error terus.")</f>
        <v>Susah daftar, error terus.</v>
      </c>
      <c r="F616" s="17" t="str">
        <f>IFERROR(__xludf.DUMMYFUNCTION("REGEXREPLACE(E616,$A$6, )"),"Susah daftar error terus")</f>
        <v>Susah daftar error terus</v>
      </c>
      <c r="G616" s="18" t="str">
        <f>IFERROR(__xludf.DUMMYFUNCTION("REGEXREPLACE(F616,$A$7, )"),"Susah daftar error terus")</f>
        <v>Susah daftar error terus</v>
      </c>
      <c r="H616" s="17" t="str">
        <f t="shared" si="1"/>
        <v>susah daftar error terus</v>
      </c>
    </row>
    <row r="617">
      <c r="A617" s="16" t="s">
        <v>612</v>
      </c>
      <c r="B617" s="17" t="str">
        <f>IFERROR(__xludf.DUMMYFUNCTION("REGEXREPLACE(A617,$A$2, )"),"aplikasinya err terus ga bisa di buka")</f>
        <v>aplikasinya err terus ga bisa di buka</v>
      </c>
      <c r="C617" s="17" t="str">
        <f>IFERROR(__xludf.DUMMYFUNCTION("REGEXREPLACE(B617,$A$3, )"),"aplikasinya err terus ga bisa di buka")</f>
        <v>aplikasinya err terus ga bisa di buka</v>
      </c>
      <c r="D617" s="17" t="str">
        <f>IFERROR(__xludf.DUMMYFUNCTION("REGEXREPLACE(C617,$A$4, )"),"aplikasinya err terus ga bisa di buka")</f>
        <v>aplikasinya err terus ga bisa di buka</v>
      </c>
      <c r="E617" s="17" t="str">
        <f>IFERROR(__xludf.DUMMYFUNCTION("REGEXREPLACE(D617,$A$5, )"),"aplikasinya err terus ga bisa di buka")</f>
        <v>aplikasinya err terus ga bisa di buka</v>
      </c>
      <c r="F617" s="17" t="str">
        <f>IFERROR(__xludf.DUMMYFUNCTION("REGEXREPLACE(E617,$A$6, )"),"aplikasinya err terus ga bisa di buka")</f>
        <v>aplikasinya err terus ga bisa di buka</v>
      </c>
      <c r="G617" s="18" t="str">
        <f>IFERROR(__xludf.DUMMYFUNCTION("REGEXREPLACE(F617,$A$7, )"),"aplikasinya err terus ga bisa di buka")</f>
        <v>aplikasinya err terus ga bisa di buka</v>
      </c>
      <c r="H617" s="17" t="str">
        <f t="shared" si="1"/>
        <v>aplikasinya err terus ga bisa di buka</v>
      </c>
    </row>
    <row r="618">
      <c r="A618" s="16" t="s">
        <v>613</v>
      </c>
      <c r="B618" s="17" t="str">
        <f>IFERROR(__xludf.DUMMYFUNCTION("REGEXREPLACE(A618,$A$2, )"),"Buruk benar, mau daftar tidak bisa, eror terus")</f>
        <v>Buruk benar, mau daftar tidak bisa, eror terus</v>
      </c>
      <c r="C618" s="17" t="str">
        <f>IFERROR(__xludf.DUMMYFUNCTION("REGEXREPLACE(B618,$A$3, )"),"Buruk benar, mau daftar tidak bisa, eror terus")</f>
        <v>Buruk benar, mau daftar tidak bisa, eror terus</v>
      </c>
      <c r="D618" s="17" t="str">
        <f>IFERROR(__xludf.DUMMYFUNCTION("REGEXREPLACE(C618,$A$4, )"),"Buruk benar, mau daftar tidak bisa, eror terus")</f>
        <v>Buruk benar, mau daftar tidak bisa, eror terus</v>
      </c>
      <c r="E618" s="17" t="str">
        <f>IFERROR(__xludf.DUMMYFUNCTION("REGEXREPLACE(D618,$A$5, )"),"Buruk benar, mau daftar tidak bisa, eror terus")</f>
        <v>Buruk benar, mau daftar tidak bisa, eror terus</v>
      </c>
      <c r="F618" s="17" t="str">
        <f>IFERROR(__xludf.DUMMYFUNCTION("REGEXREPLACE(E618,$A$6, )"),"Buruk benar mau daftar tidak bisa eror terus")</f>
        <v>Buruk benar mau daftar tidak bisa eror terus</v>
      </c>
      <c r="G618" s="18" t="str">
        <f>IFERROR(__xludf.DUMMYFUNCTION("REGEXREPLACE(F618,$A$7, )"),"Buruk benar mau daftar tidak bisa eror terus")</f>
        <v>Buruk benar mau daftar tidak bisa eror terus</v>
      </c>
      <c r="H618" s="17" t="str">
        <f t="shared" si="1"/>
        <v>buruk benar mau daftar tidak bisa eror terus</v>
      </c>
    </row>
    <row r="619">
      <c r="A619" s="16" t="s">
        <v>614</v>
      </c>
      <c r="B619" s="17" t="str">
        <f>IFERROR(__xludf.DUMMYFUNCTION("REGEXREPLACE(A619,$A$2, )"),"Apk ini sangat mengecewakan, respon sangat lambat")</f>
        <v>Apk ini sangat mengecewakan, respon sangat lambat</v>
      </c>
      <c r="C619" s="17" t="str">
        <f>IFERROR(__xludf.DUMMYFUNCTION("REGEXREPLACE(B619,$A$3, )"),"Apk ini sangat mengecewakan, respon sangat lambat")</f>
        <v>Apk ini sangat mengecewakan, respon sangat lambat</v>
      </c>
      <c r="D619" s="17" t="str">
        <f>IFERROR(__xludf.DUMMYFUNCTION("REGEXREPLACE(C619,$A$4, )"),"Apk ini sangat mengecewakan, respon sangat lambat")</f>
        <v>Apk ini sangat mengecewakan, respon sangat lambat</v>
      </c>
      <c r="E619" s="17" t="str">
        <f>IFERROR(__xludf.DUMMYFUNCTION("REGEXREPLACE(D619,$A$5, )"),"Apk ini sangat mengecewakan, respon sangat lambat")</f>
        <v>Apk ini sangat mengecewakan, respon sangat lambat</v>
      </c>
      <c r="F619" s="17" t="str">
        <f>IFERROR(__xludf.DUMMYFUNCTION("REGEXREPLACE(E619,$A$6, )"),"Apk ini sangat mengecewakan respon sangat lambat")</f>
        <v>Apk ini sangat mengecewakan respon sangat lambat</v>
      </c>
      <c r="G619" s="18" t="str">
        <f>IFERROR(__xludf.DUMMYFUNCTION("REGEXREPLACE(F619,$A$7, )"),"Apk ini sangat mengecewakan respon sangat lambat")</f>
        <v>Apk ini sangat mengecewakan respon sangat lambat</v>
      </c>
      <c r="H619" s="17" t="str">
        <f t="shared" si="1"/>
        <v>apk ini sangat mengecewakan respon sangat lambat</v>
      </c>
    </row>
    <row r="620">
      <c r="A620" s="16" t="s">
        <v>615</v>
      </c>
      <c r="B620" s="17" t="str">
        <f>IFERROR(__xludf.DUMMYFUNCTION("REGEXREPLACE(A620,$A$2, )"),"Aplikasi modus sepertinya, tidak pernah berhasil mendaftar d aplikasi")</f>
        <v>Aplikasi modus sepertinya, tidak pernah berhasil mendaftar d aplikasi</v>
      </c>
      <c r="C620" s="17" t="str">
        <f>IFERROR(__xludf.DUMMYFUNCTION("REGEXREPLACE(B620,$A$3, )"),"Aplikasi modus sepertinya, tidak pernah berhasil mendaftar d aplikasi")</f>
        <v>Aplikasi modus sepertinya, tidak pernah berhasil mendaftar d aplikasi</v>
      </c>
      <c r="D620" s="17" t="str">
        <f>IFERROR(__xludf.DUMMYFUNCTION("REGEXREPLACE(C620,$A$4, )"),"Aplikasi modus sepertinya, tidak pernah berhasil mendaftar d aplikasi")</f>
        <v>Aplikasi modus sepertinya, tidak pernah berhasil mendaftar d aplikasi</v>
      </c>
      <c r="E620" s="17" t="str">
        <f>IFERROR(__xludf.DUMMYFUNCTION("REGEXREPLACE(D620,$A$5, )"),"Aplikasi modus sepertinya, tidak pernah berhasil mendaftar d aplikasi")</f>
        <v>Aplikasi modus sepertinya, tidak pernah berhasil mendaftar d aplikasi</v>
      </c>
      <c r="F620" s="17" t="str">
        <f>IFERROR(__xludf.DUMMYFUNCTION("REGEXREPLACE(E620,$A$6, )"),"Aplikasi modus sepertinya tidak pernah berhasil mendaftar d aplikasi")</f>
        <v>Aplikasi modus sepertinya tidak pernah berhasil mendaftar d aplikasi</v>
      </c>
      <c r="G620" s="18" t="str">
        <f>IFERROR(__xludf.DUMMYFUNCTION("REGEXREPLACE(F620,$A$7, )"),"Aplikasi modus sepertinya tidak pernah berhasil mendaftar d aplikasi")</f>
        <v>Aplikasi modus sepertinya tidak pernah berhasil mendaftar d aplikasi</v>
      </c>
      <c r="H620" s="17" t="str">
        <f t="shared" si="1"/>
        <v>aplikasi modus sepertinya tidak pernah berhasil mendaftar d aplikasi</v>
      </c>
    </row>
    <row r="621">
      <c r="A621" s="16" t="s">
        <v>616</v>
      </c>
      <c r="B621" s="17" t="str">
        <f>IFERROR(__xludf.DUMMYFUNCTION("REGEXREPLACE(A621,$A$2, )"),"Aplikasi buruk, kalau belum siap gak usah bikin aplikasi. Segera di perbaiki aplikasi nya, jangan diem aja. Kalian di bayar pakai uang rakyat.")</f>
        <v>Aplikasi buruk, kalau belum siap gak usah bikin aplikasi. Segera di perbaiki aplikasi nya, jangan diem aja. Kalian di bayar pakai uang rakyat.</v>
      </c>
      <c r="C621" s="17" t="str">
        <f>IFERROR(__xludf.DUMMYFUNCTION("REGEXREPLACE(B621,$A$3, )"),"Aplikasi buruk, kalau belum siap gak usah bikin aplikasi. Segera di perbaiki aplikasi nya, jangan diem aja. Kalian di bayar pakai uang rakyat.")</f>
        <v>Aplikasi buruk, kalau belum siap gak usah bikin aplikasi. Segera di perbaiki aplikasi nya, jangan diem aja. Kalian di bayar pakai uang rakyat.</v>
      </c>
      <c r="D621" s="17" t="str">
        <f>IFERROR(__xludf.DUMMYFUNCTION("REGEXREPLACE(C621,$A$4, )"),"Aplikasi buruk, kalau belum siap gak usah bikin aplikasi. Segera di perbaiki aplikasi nya, jangan diem aja. Kalian di bayar pakai uang rakyat.")</f>
        <v>Aplikasi buruk, kalau belum siap gak usah bikin aplikasi. Segera di perbaiki aplikasi nya, jangan diem aja. Kalian di bayar pakai uang rakyat.</v>
      </c>
      <c r="E621" s="17" t="str">
        <f>IFERROR(__xludf.DUMMYFUNCTION("REGEXREPLACE(D621,$A$5, )"),"Aplikasi buruk, kalau belum siap gak usah bikin aplikasi. Segera di perbaiki aplikasi nya, jangan diem aja. Kalian di bayar pakai uang rakyat.")</f>
        <v>Aplikasi buruk, kalau belum siap gak usah bikin aplikasi. Segera di perbaiki aplikasi nya, jangan diem aja. Kalian di bayar pakai uang rakyat.</v>
      </c>
      <c r="F621" s="17" t="str">
        <f>IFERROR(__xludf.DUMMYFUNCTION("REGEXREPLACE(E621,$A$6, )"),"Aplikasi buruk kalau belum siap gak usah bikin aplikasi Segera di perbaiki aplikasi nya jangan diem aja Kalian di bayar pakai uang rakyat")</f>
        <v>Aplikasi buruk kalau belum siap gak usah bikin aplikasi Segera di perbaiki aplikasi nya jangan diem aja Kalian di bayar pakai uang rakyat</v>
      </c>
      <c r="G621" s="18" t="str">
        <f>IFERROR(__xludf.DUMMYFUNCTION("REGEXREPLACE(F621,$A$7, )"),"Aplikasi buruk kalau belum siap gak usah bikin aplikasi Segera di perbaiki aplikasi nya jangan diem aja Kalian di bayar pakai uang rakyat")</f>
        <v>Aplikasi buruk kalau belum siap gak usah bikin aplikasi Segera di perbaiki aplikasi nya jangan diem aja Kalian di bayar pakai uang rakyat</v>
      </c>
      <c r="H621" s="17" t="str">
        <f t="shared" si="1"/>
        <v>aplikasi buruk kalau belum siap gak usah bikin aplikasi segera di perbaiki aplikasi nya jangan diem aja kalian di bayar pakai uang rakyat</v>
      </c>
    </row>
    <row r="622">
      <c r="A622" s="16" t="s">
        <v>617</v>
      </c>
      <c r="B622" s="17" t="str">
        <f>IFERROR(__xludf.DUMMYFUNCTION("REGEXREPLACE(A622,$A$2, )"),"Susah bgt klo mau masuk ke apk nya... Gagal terus.. Kasi bgs dlu perlancar permudah jd di kasi 5 bintang ntr.")</f>
        <v>Susah bgt klo mau masuk ke apk nya... Gagal terus.. Kasi bgs dlu perlancar permudah jd di kasi 5 bintang ntr.</v>
      </c>
      <c r="C622" s="17" t="str">
        <f>IFERROR(__xludf.DUMMYFUNCTION("REGEXREPLACE(B622,$A$3, )"),"Susah bgt klo mau masuk ke apk nya... Gagal terus.. Kasi bgs dlu perlancar permudah jd di kasi 5 bintang ntr.")</f>
        <v>Susah bgt klo mau masuk ke apk nya... Gagal terus.. Kasi bgs dlu perlancar permudah jd di kasi 5 bintang ntr.</v>
      </c>
      <c r="D622" s="17" t="str">
        <f>IFERROR(__xludf.DUMMYFUNCTION("REGEXREPLACE(C622,$A$4, )"),"Susah bgt klo mau masuk ke apk nya... Gagal terus.. Kasi bgs dlu perlancar permudah jd di kasi 5 bintang ntr.")</f>
        <v>Susah bgt klo mau masuk ke apk nya... Gagal terus.. Kasi bgs dlu perlancar permudah jd di kasi 5 bintang ntr.</v>
      </c>
      <c r="E622" s="17" t="str">
        <f>IFERROR(__xludf.DUMMYFUNCTION("REGEXREPLACE(D622,$A$5, )"),"Susah bgt klo mau masuk ke apk nya... Gagal terus.. Kasi bgs dlu perlancar permudah jd di kasi  bintang ntr.")</f>
        <v>Susah bgt klo mau masuk ke apk nya... Gagal terus.. Kasi bgs dlu perlancar permudah jd di kasi  bintang ntr.</v>
      </c>
      <c r="F622" s="17" t="str">
        <f>IFERROR(__xludf.DUMMYFUNCTION("REGEXREPLACE(E622,$A$6, )"),"Susah bgt klo mau masuk ke apk nya Gagal terus Kasi bgs dlu perlancar permudah jd di kasi  bintang ntr")</f>
        <v>Susah bgt klo mau masuk ke apk nya Gagal terus Kasi bgs dlu perlancar permudah jd di kasi  bintang ntr</v>
      </c>
      <c r="G622" s="18" t="str">
        <f>IFERROR(__xludf.DUMMYFUNCTION("REGEXREPLACE(F622,$A$7, )"),"Susah bgt klo mau masuk ke apk nya Gagal terus Kasi bgs dlu perlancar permudah jd di kasi  bintang ntr")</f>
        <v>Susah bgt klo mau masuk ke apk nya Gagal terus Kasi bgs dlu perlancar permudah jd di kasi  bintang ntr</v>
      </c>
      <c r="H622" s="17" t="str">
        <f t="shared" si="1"/>
        <v>susah bgt klo mau masuk ke apk nya gagal terus kasi bgs dlu perlancar permudah jd di kasi  bintang ntr</v>
      </c>
    </row>
    <row r="623">
      <c r="A623" s="16" t="s">
        <v>618</v>
      </c>
      <c r="B623" s="17" t="str">
        <f>IFERROR(__xludf.DUMMYFUNCTION("REGEXREPLACE(A623,$A$2, )"),"saya kok ga terdaftar bantuan saya juga kalangan menengah kebawah ga efektif")</f>
        <v>saya kok ga terdaftar bantuan saya juga kalangan menengah kebawah ga efektif</v>
      </c>
      <c r="C623" s="17" t="str">
        <f>IFERROR(__xludf.DUMMYFUNCTION("REGEXREPLACE(B623,$A$3, )"),"saya kok ga terdaftar bantuan saya juga kalangan menengah kebawah ga efektif")</f>
        <v>saya kok ga terdaftar bantuan saya juga kalangan menengah kebawah ga efektif</v>
      </c>
      <c r="D623" s="17" t="str">
        <f>IFERROR(__xludf.DUMMYFUNCTION("REGEXREPLACE(C623,$A$4, )"),"saya kok ga terdaftar bantuan saya juga kalangan menengah kebawah ga efektif")</f>
        <v>saya kok ga terdaftar bantuan saya juga kalangan menengah kebawah ga efektif</v>
      </c>
      <c r="E623" s="17" t="str">
        <f>IFERROR(__xludf.DUMMYFUNCTION("REGEXREPLACE(D623,$A$5, )"),"saya kok ga terdaftar bantuan saya juga kalangan menengah kebawah ga efektif")</f>
        <v>saya kok ga terdaftar bantuan saya juga kalangan menengah kebawah ga efektif</v>
      </c>
      <c r="F623" s="17" t="str">
        <f>IFERROR(__xludf.DUMMYFUNCTION("REGEXREPLACE(E623,$A$6, )"),"saya kok ga terdaftar bantuan saya juga kalangan menengah kebawah ga efektif")</f>
        <v>saya kok ga terdaftar bantuan saya juga kalangan menengah kebawah ga efektif</v>
      </c>
      <c r="G623" s="18" t="str">
        <f>IFERROR(__xludf.DUMMYFUNCTION("REGEXREPLACE(F623,$A$7, )"),"saya kok ga terdaftar bantuan saya juga kalangan menengah kebawah ga efektif")</f>
        <v>saya kok ga terdaftar bantuan saya juga kalangan menengah kebawah ga efektif</v>
      </c>
      <c r="H623" s="17" t="str">
        <f t="shared" si="1"/>
        <v>saya kok ga terdaftar bantuan saya juga kalangan menengah kebawah ga efektif</v>
      </c>
    </row>
    <row r="624">
      <c r="A624" s="16" t="s">
        <v>619</v>
      </c>
      <c r="B624" s="17" t="str">
        <f>IFERROR(__xludf.DUMMYFUNCTION("REGEXREPLACE(A624,$A$2, )"),"Tetap sabar, kalau rezeki tidak kemana. Kasi bintang 5 biar senang aplikasinya")</f>
        <v>Tetap sabar, kalau rezeki tidak kemana. Kasi bintang 5 biar senang aplikasinya</v>
      </c>
      <c r="C624" s="17" t="str">
        <f>IFERROR(__xludf.DUMMYFUNCTION("REGEXREPLACE(B624,$A$3, )"),"Tetap sabar, kalau rezeki tidak kemana. Kasi bintang 5 biar senang aplikasinya")</f>
        <v>Tetap sabar, kalau rezeki tidak kemana. Kasi bintang 5 biar senang aplikasinya</v>
      </c>
      <c r="D624" s="17" t="str">
        <f>IFERROR(__xludf.DUMMYFUNCTION("REGEXREPLACE(C624,$A$4, )"),"Tetap sabar, kalau rezeki tidak kemana. Kasi bintang 5 biar senang aplikasinya")</f>
        <v>Tetap sabar, kalau rezeki tidak kemana. Kasi bintang 5 biar senang aplikasinya</v>
      </c>
      <c r="E624" s="17" t="str">
        <f>IFERROR(__xludf.DUMMYFUNCTION("REGEXREPLACE(D624,$A$5, )"),"Tetap sabar, kalau rezeki tidak kemana. Kasi bintang  biar senang aplikasinya")</f>
        <v>Tetap sabar, kalau rezeki tidak kemana. Kasi bintang  biar senang aplikasinya</v>
      </c>
      <c r="F624" s="17" t="str">
        <f>IFERROR(__xludf.DUMMYFUNCTION("REGEXREPLACE(E624,$A$6, )"),"Tetap sabar kalau rezeki tidak kemana Kasi bintang  biar senang aplikasinya")</f>
        <v>Tetap sabar kalau rezeki tidak kemana Kasi bintang  biar senang aplikasinya</v>
      </c>
      <c r="G624" s="18" t="str">
        <f>IFERROR(__xludf.DUMMYFUNCTION("REGEXREPLACE(F624,$A$7, )"),"Tetap sabar kalau rezeki tidak kemana Kasi bintang  biar senang aplikasinya")</f>
        <v>Tetap sabar kalau rezeki tidak kemana Kasi bintang  biar senang aplikasinya</v>
      </c>
      <c r="H624" s="17" t="str">
        <f t="shared" si="1"/>
        <v>tetap sabar kalau rezeki tidak kemana kasi bintang  biar senang aplikasinya</v>
      </c>
    </row>
    <row r="625">
      <c r="A625" s="16" t="s">
        <v>620</v>
      </c>
      <c r="B625" s="17" t="str">
        <f>IFERROR(__xludf.DUMMYFUNCTION("REGEXREPLACE(A625,$A$2, )"),"Aplikasi apa ini.. katnya buat rakyat... Hadeh tapi aplikasi malah gak bisa di pake...")</f>
        <v>Aplikasi apa ini.. katnya buat rakyat... Hadeh tapi aplikasi malah gak bisa di pake...</v>
      </c>
      <c r="C625" s="17" t="str">
        <f>IFERROR(__xludf.DUMMYFUNCTION("REGEXREPLACE(B625,$A$3, )"),"Aplikasi apa ini.. katnya buat rakyat... Hadeh tapi aplikasi malah gak bisa di pake...")</f>
        <v>Aplikasi apa ini.. katnya buat rakyat... Hadeh tapi aplikasi malah gak bisa di pake...</v>
      </c>
      <c r="D625" s="17" t="str">
        <f>IFERROR(__xludf.DUMMYFUNCTION("REGEXREPLACE(C625,$A$4, )"),"Aplikasi apa ini.. katnya buat rakyat... Hadeh tapi aplikasi malah gak bisa di pake...")</f>
        <v>Aplikasi apa ini.. katnya buat rakyat... Hadeh tapi aplikasi malah gak bisa di pake...</v>
      </c>
      <c r="E625" s="17" t="str">
        <f>IFERROR(__xludf.DUMMYFUNCTION("REGEXREPLACE(D625,$A$5, )"),"Aplikasi apa ini.. katnya buat rakyat... Hadeh tapi aplikasi malah gak bisa di pake...")</f>
        <v>Aplikasi apa ini.. katnya buat rakyat... Hadeh tapi aplikasi malah gak bisa di pake...</v>
      </c>
      <c r="F625" s="17" t="str">
        <f>IFERROR(__xludf.DUMMYFUNCTION("REGEXREPLACE(E625,$A$6, )"),"Aplikasi apa ini katnya buat rakyat Hadeh tapi aplikasi malah gak bisa di pake")</f>
        <v>Aplikasi apa ini katnya buat rakyat Hadeh tapi aplikasi malah gak bisa di pake</v>
      </c>
      <c r="G625" s="18" t="str">
        <f>IFERROR(__xludf.DUMMYFUNCTION("REGEXREPLACE(F625,$A$7, )"),"Aplikasi apa ini katnya buat rakyat Hadeh tapi aplikasi malah gak bisa di pake")</f>
        <v>Aplikasi apa ini katnya buat rakyat Hadeh tapi aplikasi malah gak bisa di pake</v>
      </c>
      <c r="H625" s="17" t="str">
        <f t="shared" si="1"/>
        <v>aplikasi apa ini katnya buat rakyat hadeh tapi aplikasi malah gak bisa di pake</v>
      </c>
    </row>
    <row r="626">
      <c r="A626" s="16" t="s">
        <v>621</v>
      </c>
      <c r="B626" s="17" t="str">
        <f>IFERROR(__xludf.DUMMYFUNCTION("REGEXREPLACE(A626,$A$2, )"),"Minimal perbaiki lah apk nya")</f>
        <v>Minimal perbaiki lah apk nya</v>
      </c>
      <c r="C626" s="17" t="str">
        <f>IFERROR(__xludf.DUMMYFUNCTION("REGEXREPLACE(B626,$A$3, )"),"Minimal perbaiki lah apk nya")</f>
        <v>Minimal perbaiki lah apk nya</v>
      </c>
      <c r="D626" s="17" t="str">
        <f>IFERROR(__xludf.DUMMYFUNCTION("REGEXREPLACE(C626,$A$4, )"),"Minimal perbaiki lah apk nya")</f>
        <v>Minimal perbaiki lah apk nya</v>
      </c>
      <c r="E626" s="17" t="str">
        <f>IFERROR(__xludf.DUMMYFUNCTION("REGEXREPLACE(D626,$A$5, )"),"Minimal perbaiki lah apk nya")</f>
        <v>Minimal perbaiki lah apk nya</v>
      </c>
      <c r="F626" s="17" t="str">
        <f>IFERROR(__xludf.DUMMYFUNCTION("REGEXREPLACE(E626,$A$6, )"),"Minimal perbaiki lah apk nya")</f>
        <v>Minimal perbaiki lah apk nya</v>
      </c>
      <c r="G626" s="18" t="str">
        <f>IFERROR(__xludf.DUMMYFUNCTION("REGEXREPLACE(F626,$A$7, )"),"Minimal perbaiki lah apk nya")</f>
        <v>Minimal perbaiki lah apk nya</v>
      </c>
      <c r="H626" s="17" t="str">
        <f t="shared" si="1"/>
        <v>minimal perbaiki lah apk nya</v>
      </c>
    </row>
    <row r="627">
      <c r="A627" s="16" t="s">
        <v>622</v>
      </c>
      <c r="B627" s="17" t="str">
        <f>IFERROR(__xludf.DUMMYFUNCTION("REGEXREPLACE(A627,$A$2, )"),"Klu tiap bukak aplikasi selalu louding trus.gk bs ngecek.")</f>
        <v>Klu tiap bukak aplikasi selalu louding trus.gk bs ngecek.</v>
      </c>
      <c r="C627" s="17" t="str">
        <f>IFERROR(__xludf.DUMMYFUNCTION("REGEXREPLACE(B627,$A$3, )"),"Klu tiap bukak aplikasi selalu louding trus.gk bs ngecek.")</f>
        <v>Klu tiap bukak aplikasi selalu louding trus.gk bs ngecek.</v>
      </c>
      <c r="D627" s="17" t="str">
        <f>IFERROR(__xludf.DUMMYFUNCTION("REGEXREPLACE(C627,$A$4, )"),"Klu tiap bukak aplikasi selalu louding trus.gk bs ngecek.")</f>
        <v>Klu tiap bukak aplikasi selalu louding trus.gk bs ngecek.</v>
      </c>
      <c r="E627" s="17" t="str">
        <f>IFERROR(__xludf.DUMMYFUNCTION("REGEXREPLACE(D627,$A$5, )"),"Klu tiap bukak aplikasi selalu louding trus.gk bs ngecek.")</f>
        <v>Klu tiap bukak aplikasi selalu louding trus.gk bs ngecek.</v>
      </c>
      <c r="F627" s="17" t="str">
        <f>IFERROR(__xludf.DUMMYFUNCTION("REGEXREPLACE(E627,$A$6, )"),"Klu tiap bukak aplikasi selalu louding trusgk bs ngecek")</f>
        <v>Klu tiap bukak aplikasi selalu louding trusgk bs ngecek</v>
      </c>
      <c r="G627" s="18" t="str">
        <f>IFERROR(__xludf.DUMMYFUNCTION("REGEXREPLACE(F627,$A$7, )"),"Klu tiap bukak aplikasi selalu louding trusgk bs ngecek")</f>
        <v>Klu tiap bukak aplikasi selalu louding trusgk bs ngecek</v>
      </c>
      <c r="H627" s="17" t="str">
        <f t="shared" si="1"/>
        <v>klu tiap bukak aplikasi selalu louding trusgk bs ngecek</v>
      </c>
    </row>
    <row r="628">
      <c r="A628" s="16" t="s">
        <v>623</v>
      </c>
      <c r="B628" s="17" t="str">
        <f>IFERROR(__xludf.DUMMYFUNCTION("REGEXREPLACE(A628,$A$2, )"),"Dari semenjak download smpe sekarang gak bisa di buka. App jelek amat padahal mau cek bansos,.")</f>
        <v>Dari semenjak download smpe sekarang gak bisa di buka. App jelek amat padahal mau cek bansos,.</v>
      </c>
      <c r="C628" s="17" t="str">
        <f>IFERROR(__xludf.DUMMYFUNCTION("REGEXREPLACE(B628,$A$3, )"),"Dari semenjak download smpe sekarang gak bisa di buka. App jelek amat padahal mau cek bansos,.")</f>
        <v>Dari semenjak download smpe sekarang gak bisa di buka. App jelek amat padahal mau cek bansos,.</v>
      </c>
      <c r="D628" s="17" t="str">
        <f>IFERROR(__xludf.DUMMYFUNCTION("REGEXREPLACE(C628,$A$4, )"),"Dari semenjak download smpe sekarang gak bisa di buka. App jelek amat padahal mau cek bansos,.")</f>
        <v>Dari semenjak download smpe sekarang gak bisa di buka. App jelek amat padahal mau cek bansos,.</v>
      </c>
      <c r="E628" s="17" t="str">
        <f>IFERROR(__xludf.DUMMYFUNCTION("REGEXREPLACE(D628,$A$5, )"),"Dari semenjak download smpe sekarang gak bisa di buka. App jelek amat padahal mau cek bansos,.")</f>
        <v>Dari semenjak download smpe sekarang gak bisa di buka. App jelek amat padahal mau cek bansos,.</v>
      </c>
      <c r="F628" s="17" t="str">
        <f>IFERROR(__xludf.DUMMYFUNCTION("REGEXREPLACE(E628,$A$6, )"),"Dari semenjak download smpe sekarang gak bisa di buka App jelek amat padahal mau cek bansos")</f>
        <v>Dari semenjak download smpe sekarang gak bisa di buka App jelek amat padahal mau cek bansos</v>
      </c>
      <c r="G628" s="18" t="str">
        <f>IFERROR(__xludf.DUMMYFUNCTION("REGEXREPLACE(F628,$A$7, )"),"Dari semenjak download smpe sekarang gak bisa di buka App jelek amat padahal mau cek bansos")</f>
        <v>Dari semenjak download smpe sekarang gak bisa di buka App jelek amat padahal mau cek bansos</v>
      </c>
      <c r="H628" s="17" t="str">
        <f t="shared" si="1"/>
        <v>dari semenjak download smpe sekarang gak bisa di buka app jelek amat padahal mau cek bansos</v>
      </c>
    </row>
    <row r="629">
      <c r="A629" s="16" t="s">
        <v>624</v>
      </c>
      <c r="B629" s="17" t="str">
        <f>IFERROR(__xludf.DUMMYFUNCTION("REGEXREPLACE(A629,$A$2, )"),"sangat buruk susah buat masuk percuma di Adain aplikasi,mkanya q ksih bintang 5 biar bangga.pdhl jelek sekali")</f>
        <v>sangat buruk susah buat masuk percuma di Adain aplikasi,mkanya q ksih bintang 5 biar bangga.pdhl jelek sekali</v>
      </c>
      <c r="C629" s="17" t="str">
        <f>IFERROR(__xludf.DUMMYFUNCTION("REGEXREPLACE(B629,$A$3, )"),"sangat buruk susah buat masuk percuma di Adain aplikasi,mkanya q ksih bintang 5 biar bangga.pdhl jelek sekali")</f>
        <v>sangat buruk susah buat masuk percuma di Adain aplikasi,mkanya q ksih bintang 5 biar bangga.pdhl jelek sekali</v>
      </c>
      <c r="D629" s="17" t="str">
        <f>IFERROR(__xludf.DUMMYFUNCTION("REGEXREPLACE(C629,$A$4, )"),"sangat buruk susah buat masuk percuma di Adain aplikasi,mkanya q ksih bintang 5 biar bangga.pdhl jelek sekali")</f>
        <v>sangat buruk susah buat masuk percuma di Adain aplikasi,mkanya q ksih bintang 5 biar bangga.pdhl jelek sekali</v>
      </c>
      <c r="E629" s="17" t="str">
        <f>IFERROR(__xludf.DUMMYFUNCTION("REGEXREPLACE(D629,$A$5, )"),"sangat buruk susah buat masuk percuma di Adain aplikasi,mkanya q ksih bintang  biar bangga.pdhl jelek sekali")</f>
        <v>sangat buruk susah buat masuk percuma di Adain aplikasi,mkanya q ksih bintang  biar bangga.pdhl jelek sekali</v>
      </c>
      <c r="F629" s="17" t="str">
        <f>IFERROR(__xludf.DUMMYFUNCTION("REGEXREPLACE(E629,$A$6, )"),"sangat buruk susah buat masuk percuma di Adain aplikasimkanya q ksih bintang  biar banggapdhl jelek sekali")</f>
        <v>sangat buruk susah buat masuk percuma di Adain aplikasimkanya q ksih bintang  biar banggapdhl jelek sekali</v>
      </c>
      <c r="G629" s="18" t="str">
        <f>IFERROR(__xludf.DUMMYFUNCTION("REGEXREPLACE(F629,$A$7, )"),"sangat buruk susah buat masuk percuma di Adain aplikasimkanya q ksih bintang  biar banggapdhl jelek sekali")</f>
        <v>sangat buruk susah buat masuk percuma di Adain aplikasimkanya q ksih bintang  biar banggapdhl jelek sekali</v>
      </c>
      <c r="H629" s="17" t="str">
        <f t="shared" si="1"/>
        <v>sangat buruk susah buat masuk percuma di adain aplikasimkanya q ksih bintang  biar banggapdhl jelek sekali</v>
      </c>
    </row>
    <row r="630">
      <c r="A630" s="16" t="s">
        <v>625</v>
      </c>
      <c r="B630" s="17" t="str">
        <f>IFERROR(__xludf.DUMMYFUNCTION("REGEXREPLACE(A630,$A$2, )"),"apk y eror mulu gak stabil...")</f>
        <v>apk y eror mulu gak stabil...</v>
      </c>
      <c r="C630" s="17" t="str">
        <f>IFERROR(__xludf.DUMMYFUNCTION("REGEXREPLACE(B630,$A$3, )"),"apk y eror mulu gak stabil...")</f>
        <v>apk y eror mulu gak stabil...</v>
      </c>
      <c r="D630" s="17" t="str">
        <f>IFERROR(__xludf.DUMMYFUNCTION("REGEXREPLACE(C630,$A$4, )"),"apk y eror mulu gak stabil...")</f>
        <v>apk y eror mulu gak stabil...</v>
      </c>
      <c r="E630" s="17" t="str">
        <f>IFERROR(__xludf.DUMMYFUNCTION("REGEXREPLACE(D630,$A$5, )"),"apk y eror mulu gak stabil...")</f>
        <v>apk y eror mulu gak stabil...</v>
      </c>
      <c r="F630" s="17" t="str">
        <f>IFERROR(__xludf.DUMMYFUNCTION("REGEXREPLACE(E630,$A$6, )"),"apk y eror mulu gak stabil")</f>
        <v>apk y eror mulu gak stabil</v>
      </c>
      <c r="G630" s="18" t="str">
        <f>IFERROR(__xludf.DUMMYFUNCTION("REGEXREPLACE(F630,$A$7, )"),"apk y eror mulu gak stabil")</f>
        <v>apk y eror mulu gak stabil</v>
      </c>
      <c r="H630" s="17" t="str">
        <f t="shared" si="1"/>
        <v>apk y eror mulu gak stabil</v>
      </c>
    </row>
    <row r="631">
      <c r="A631" s="16" t="s">
        <v>626</v>
      </c>
      <c r="B631" s="17" t="str">
        <f>IFERROR(__xludf.DUMMYFUNCTION("REGEXREPLACE(A631,$A$2, )"),"Gk bisa login, apakah sengaja biar gk bisa daftar")</f>
        <v>Gk bisa login, apakah sengaja biar gk bisa daftar</v>
      </c>
      <c r="C631" s="17" t="str">
        <f>IFERROR(__xludf.DUMMYFUNCTION("REGEXREPLACE(B631,$A$3, )"),"Gk bisa login, apakah sengaja biar gk bisa daftar")</f>
        <v>Gk bisa login, apakah sengaja biar gk bisa daftar</v>
      </c>
      <c r="D631" s="17" t="str">
        <f>IFERROR(__xludf.DUMMYFUNCTION("REGEXREPLACE(C631,$A$4, )"),"Gk bisa login, apakah sengaja biar gk bisa daftar")</f>
        <v>Gk bisa login, apakah sengaja biar gk bisa daftar</v>
      </c>
      <c r="E631" s="17" t="str">
        <f>IFERROR(__xludf.DUMMYFUNCTION("REGEXREPLACE(D631,$A$5, )"),"Gk bisa login, apakah sengaja biar gk bisa daftar")</f>
        <v>Gk bisa login, apakah sengaja biar gk bisa daftar</v>
      </c>
      <c r="F631" s="17" t="str">
        <f>IFERROR(__xludf.DUMMYFUNCTION("REGEXREPLACE(E631,$A$6, )"),"Gk bisa login apakah sengaja biar gk bisa daftar")</f>
        <v>Gk bisa login apakah sengaja biar gk bisa daftar</v>
      </c>
      <c r="G631" s="18" t="str">
        <f>IFERROR(__xludf.DUMMYFUNCTION("REGEXREPLACE(F631,$A$7, )"),"Gk bisa login apakah sengaja biar gk bisa daftar")</f>
        <v>Gk bisa login apakah sengaja biar gk bisa daftar</v>
      </c>
      <c r="H631" s="17" t="str">
        <f t="shared" si="1"/>
        <v>gk bisa login apakah sengaja biar gk bisa daftar</v>
      </c>
    </row>
    <row r="632">
      <c r="A632" s="16" t="s">
        <v>627</v>
      </c>
      <c r="B632" s="17" t="str">
        <f>IFERROR(__xludf.DUMMYFUNCTION("REGEXREPLACE(A632,$A$2, )"),"Setidaknya uang yang buat pengembangan aplikasi jangan lah di korupsi ,mikir lah dikit klo punya otak")</f>
        <v>Setidaknya uang yang buat pengembangan aplikasi jangan lah di korupsi ,mikir lah dikit klo punya otak</v>
      </c>
      <c r="C632" s="17" t="str">
        <f>IFERROR(__xludf.DUMMYFUNCTION("REGEXREPLACE(B632,$A$3, )"),"Setidaknya uang yang buat pengembangan aplikasi jangan lah di korupsi ,mikir lah dikit klo punya otak")</f>
        <v>Setidaknya uang yang buat pengembangan aplikasi jangan lah di korupsi ,mikir lah dikit klo punya otak</v>
      </c>
      <c r="D632" s="17" t="str">
        <f>IFERROR(__xludf.DUMMYFUNCTION("REGEXREPLACE(C632,$A$4, )"),"Setidaknya uang yang buat pengembangan aplikasi jangan lah di korupsi ,mikir lah dikit klo punya otak")</f>
        <v>Setidaknya uang yang buat pengembangan aplikasi jangan lah di korupsi ,mikir lah dikit klo punya otak</v>
      </c>
      <c r="E632" s="17" t="str">
        <f>IFERROR(__xludf.DUMMYFUNCTION("REGEXREPLACE(D632,$A$5, )"),"Setidaknya uang yang buat pengembangan aplikasi jangan lah di korupsi ,mikir lah dikit klo punya otak")</f>
        <v>Setidaknya uang yang buat pengembangan aplikasi jangan lah di korupsi ,mikir lah dikit klo punya otak</v>
      </c>
      <c r="F632" s="17" t="str">
        <f>IFERROR(__xludf.DUMMYFUNCTION("REGEXREPLACE(E632,$A$6, )"),"Setidaknya uang yang buat pengembangan aplikasi jangan lah di korupsi mikir lah dikit klo punya otak")</f>
        <v>Setidaknya uang yang buat pengembangan aplikasi jangan lah di korupsi mikir lah dikit klo punya otak</v>
      </c>
      <c r="G632" s="18" t="str">
        <f>IFERROR(__xludf.DUMMYFUNCTION("REGEXREPLACE(F632,$A$7, )"),"Setidaknya uang yang buat pengembangan aplikasi jangan lah di korupsi mikir lah dikit klo punya otak")</f>
        <v>Setidaknya uang yang buat pengembangan aplikasi jangan lah di korupsi mikir lah dikit klo punya otak</v>
      </c>
      <c r="H632" s="17" t="str">
        <f t="shared" si="1"/>
        <v>setidaknya uang yang buat pengembangan aplikasi jangan lah di korupsi mikir lah dikit klo punya otak</v>
      </c>
    </row>
    <row r="633">
      <c r="A633" s="16" t="s">
        <v>628</v>
      </c>
      <c r="B633" s="17" t="str">
        <f>IFERROR(__xludf.DUMMYFUNCTION("REGEXREPLACE(A633,$A$2, )"),"Programmer siapa ini ? Sekelas pemerintah, masih bisa kesalahan syntax. Error JSON parse.")</f>
        <v>Programmer siapa ini ? Sekelas pemerintah, masih bisa kesalahan syntax. Error JSON parse.</v>
      </c>
      <c r="C633" s="17" t="str">
        <f>IFERROR(__xludf.DUMMYFUNCTION("REGEXREPLACE(B633,$A$3, )"),"Programmer siapa ini ? Sekelas pemerintah, masih bisa kesalahan syntax. Error JSON parse.")</f>
        <v>Programmer siapa ini ? Sekelas pemerintah, masih bisa kesalahan syntax. Error JSON parse.</v>
      </c>
      <c r="D633" s="17" t="str">
        <f>IFERROR(__xludf.DUMMYFUNCTION("REGEXREPLACE(C633,$A$4, )"),"Programmer siapa ini ? Sekelas pemerintah, masih bisa kesalahan syntax. Error JSON parse.")</f>
        <v>Programmer siapa ini ? Sekelas pemerintah, masih bisa kesalahan syntax. Error JSON parse.</v>
      </c>
      <c r="E633" s="17" t="str">
        <f>IFERROR(__xludf.DUMMYFUNCTION("REGEXREPLACE(D633,$A$5, )"),"Programmer siapa ini ? Sekelas pemerintah, masih bisa kesalahan syntax. Error JSON parse.")</f>
        <v>Programmer siapa ini ? Sekelas pemerintah, masih bisa kesalahan syntax. Error JSON parse.</v>
      </c>
      <c r="F633" s="17" t="str">
        <f>IFERROR(__xludf.DUMMYFUNCTION("REGEXREPLACE(E633,$A$6, )"),"Programmer siapa ini  Sekelas pemerintah masih bisa kesalahan syntax Error JSON parse")</f>
        <v>Programmer siapa ini  Sekelas pemerintah masih bisa kesalahan syntax Error JSON parse</v>
      </c>
      <c r="G633" s="18" t="str">
        <f>IFERROR(__xludf.DUMMYFUNCTION("REGEXREPLACE(F633,$A$7, )"),"Programmer siapa ini  Sekelas pemerintah masih bisa kesalahan syntax Error JSON parse")</f>
        <v>Programmer siapa ini  Sekelas pemerintah masih bisa kesalahan syntax Error JSON parse</v>
      </c>
      <c r="H633" s="17" t="str">
        <f t="shared" si="1"/>
        <v>programmer siapa ini  sekelas pemerintah masih bisa kesalahan syntax error json parse</v>
      </c>
    </row>
    <row r="634">
      <c r="A634" s="16" t="s">
        <v>629</v>
      </c>
      <c r="B634" s="17" t="str">
        <f>IFERROR(__xludf.DUMMYFUNCTION("REGEXREPLACE(A634,$A$2, )"),"Aplikasi apaan mau daftar eror trus apalagi sudah daftar")</f>
        <v>Aplikasi apaan mau daftar eror trus apalagi sudah daftar</v>
      </c>
      <c r="C634" s="17" t="str">
        <f>IFERROR(__xludf.DUMMYFUNCTION("REGEXREPLACE(B634,$A$3, )"),"Aplikasi apaan mau daftar eror trus apalagi sudah daftar")</f>
        <v>Aplikasi apaan mau daftar eror trus apalagi sudah daftar</v>
      </c>
      <c r="D634" s="17" t="str">
        <f>IFERROR(__xludf.DUMMYFUNCTION("REGEXREPLACE(C634,$A$4, )"),"Aplikasi apaan mau daftar eror trus apalagi sudah daftar")</f>
        <v>Aplikasi apaan mau daftar eror trus apalagi sudah daftar</v>
      </c>
      <c r="E634" s="17" t="str">
        <f>IFERROR(__xludf.DUMMYFUNCTION("REGEXREPLACE(D634,$A$5, )"),"Aplikasi apaan mau daftar eror trus apalagi sudah daftar")</f>
        <v>Aplikasi apaan mau daftar eror trus apalagi sudah daftar</v>
      </c>
      <c r="F634" s="17" t="str">
        <f>IFERROR(__xludf.DUMMYFUNCTION("REGEXREPLACE(E634,$A$6, )"),"Aplikasi apaan mau daftar eror trus apalagi sudah daftar")</f>
        <v>Aplikasi apaan mau daftar eror trus apalagi sudah daftar</v>
      </c>
      <c r="G634" s="18" t="str">
        <f>IFERROR(__xludf.DUMMYFUNCTION("REGEXREPLACE(F634,$A$7, )"),"Aplikasi apaan mau daftar eror trus apalagi sudah daftar")</f>
        <v>Aplikasi apaan mau daftar eror trus apalagi sudah daftar</v>
      </c>
      <c r="H634" s="17" t="str">
        <f t="shared" si="1"/>
        <v>aplikasi apaan mau daftar eror trus apalagi sudah daftar</v>
      </c>
    </row>
    <row r="635">
      <c r="A635" s="16" t="s">
        <v>630</v>
      </c>
      <c r="B635" s="17" t="str">
        <f>IFERROR(__xludf.DUMMYFUNCTION("REGEXREPLACE(A635,$A$2, )"),"Udh daftar ga bisa login aplikasi taii emang")</f>
        <v>Udh daftar ga bisa login aplikasi taii emang</v>
      </c>
      <c r="C635" s="17" t="str">
        <f>IFERROR(__xludf.DUMMYFUNCTION("REGEXREPLACE(B635,$A$3, )"),"Udh daftar ga bisa login aplikasi taii emang")</f>
        <v>Udh daftar ga bisa login aplikasi taii emang</v>
      </c>
      <c r="D635" s="17" t="str">
        <f>IFERROR(__xludf.DUMMYFUNCTION("REGEXREPLACE(C635,$A$4, )"),"Udh daftar ga bisa login aplikasi taii emang")</f>
        <v>Udh daftar ga bisa login aplikasi taii emang</v>
      </c>
      <c r="E635" s="17" t="str">
        <f>IFERROR(__xludf.DUMMYFUNCTION("REGEXREPLACE(D635,$A$5, )"),"Udh daftar ga bisa login aplikasi taii emang")</f>
        <v>Udh daftar ga bisa login aplikasi taii emang</v>
      </c>
      <c r="F635" s="17" t="str">
        <f>IFERROR(__xludf.DUMMYFUNCTION("REGEXREPLACE(E635,$A$6, )"),"Udh daftar ga bisa login aplikasi taii emang")</f>
        <v>Udh daftar ga bisa login aplikasi taii emang</v>
      </c>
      <c r="G635" s="18" t="str">
        <f>IFERROR(__xludf.DUMMYFUNCTION("REGEXREPLACE(F635,$A$7, )"),"Udh daftar ga bisa login aplikasi taii emang")</f>
        <v>Udh daftar ga bisa login aplikasi taii emang</v>
      </c>
      <c r="H635" s="17" t="str">
        <f t="shared" si="1"/>
        <v>udh daftar ga bisa login aplikasi taii emang</v>
      </c>
    </row>
    <row r="636">
      <c r="A636" s="16" t="s">
        <v>631</v>
      </c>
      <c r="B636" s="17" t="str">
        <f>IFERROR(__xludf.DUMMYFUNCTION("REGEXREPLACE(A636,$A$2, )"),"SMA sekali tidak bisa daftar ,., Eror mulu")</f>
        <v>SMA sekali tidak bisa daftar ,., Eror mulu</v>
      </c>
      <c r="C636" s="17" t="str">
        <f>IFERROR(__xludf.DUMMYFUNCTION("REGEXREPLACE(B636,$A$3, )"),"SMA sekali tidak bisa daftar ,., Eror mulu")</f>
        <v>SMA sekali tidak bisa daftar ,., Eror mulu</v>
      </c>
      <c r="D636" s="17" t="str">
        <f>IFERROR(__xludf.DUMMYFUNCTION("REGEXREPLACE(C636,$A$4, )"),"SMA sekali tidak bisa daftar ,., Eror mulu")</f>
        <v>SMA sekali tidak bisa daftar ,., Eror mulu</v>
      </c>
      <c r="E636" s="17" t="str">
        <f>IFERROR(__xludf.DUMMYFUNCTION("REGEXREPLACE(D636,$A$5, )"),"SMA sekali tidak bisa daftar ,., Eror mulu")</f>
        <v>SMA sekali tidak bisa daftar ,., Eror mulu</v>
      </c>
      <c r="F636" s="17" t="str">
        <f>IFERROR(__xludf.DUMMYFUNCTION("REGEXREPLACE(E636,$A$6, )"),"SMA sekali tidak bisa daftar  Eror mulu")</f>
        <v>SMA sekali tidak bisa daftar  Eror mulu</v>
      </c>
      <c r="G636" s="18" t="str">
        <f>IFERROR(__xludf.DUMMYFUNCTION("REGEXREPLACE(F636,$A$7, )"),"SMA sekali tidak bisa daftar  Eror mulu")</f>
        <v>SMA sekali tidak bisa daftar  Eror mulu</v>
      </c>
      <c r="H636" s="17" t="str">
        <f t="shared" si="1"/>
        <v>sma sekali tidak bisa daftar  eror mulu</v>
      </c>
    </row>
    <row r="637">
      <c r="A637" s="16" t="s">
        <v>632</v>
      </c>
      <c r="B637" s="17" t="str">
        <f>IFERROR(__xludf.DUMMYFUNCTION("REGEXREPLACE(A637,$A$2, )"),"Sekelas pemerintahan buat aplikasi jelek banget ga bisa dipakai error. Kacaauu")</f>
        <v>Sekelas pemerintahan buat aplikasi jelek banget ga bisa dipakai error. Kacaauu</v>
      </c>
      <c r="C637" s="17" t="str">
        <f>IFERROR(__xludf.DUMMYFUNCTION("REGEXREPLACE(B637,$A$3, )"),"Sekelas pemerintahan buat aplikasi jelek banget ga bisa dipakai error. Kacaauu")</f>
        <v>Sekelas pemerintahan buat aplikasi jelek banget ga bisa dipakai error. Kacaauu</v>
      </c>
      <c r="D637" s="17" t="str">
        <f>IFERROR(__xludf.DUMMYFUNCTION("REGEXREPLACE(C637,$A$4, )"),"Sekelas pemerintahan buat aplikasi jelek banget ga bisa dipakai error. Kacaauu")</f>
        <v>Sekelas pemerintahan buat aplikasi jelek banget ga bisa dipakai error. Kacaauu</v>
      </c>
      <c r="E637" s="17" t="str">
        <f>IFERROR(__xludf.DUMMYFUNCTION("REGEXREPLACE(D637,$A$5, )"),"Sekelas pemerintahan buat aplikasi jelek banget ga bisa dipakai error. Kacaauu")</f>
        <v>Sekelas pemerintahan buat aplikasi jelek banget ga bisa dipakai error. Kacaauu</v>
      </c>
      <c r="F637" s="17" t="str">
        <f>IFERROR(__xludf.DUMMYFUNCTION("REGEXREPLACE(E637,$A$6, )"),"Sekelas pemerintahan buat aplikasi jelek banget ga bisa dipakai error Kacaauu")</f>
        <v>Sekelas pemerintahan buat aplikasi jelek banget ga bisa dipakai error Kacaauu</v>
      </c>
      <c r="G637" s="18" t="str">
        <f>IFERROR(__xludf.DUMMYFUNCTION("REGEXREPLACE(F637,$A$7, )"),"Sekelas pemerintahan buat aplikasi jelek banget ga bisa dipakai error Kacaauu")</f>
        <v>Sekelas pemerintahan buat aplikasi jelek banget ga bisa dipakai error Kacaauu</v>
      </c>
      <c r="H637" s="17" t="str">
        <f t="shared" si="1"/>
        <v>sekelas pemerintahan buat aplikasi jelek banget ga bisa dipakai error kacaauu</v>
      </c>
    </row>
    <row r="638">
      <c r="A638" s="16" t="s">
        <v>633</v>
      </c>
      <c r="B638" s="17" t="str">
        <f>IFERROR(__xludf.DUMMYFUNCTION("REGEXREPLACE(A638,$A$2, )"),"Tidak bisa regestrasi.. error truss")</f>
        <v>Tidak bisa regestrasi.. error truss</v>
      </c>
      <c r="C638" s="17" t="str">
        <f>IFERROR(__xludf.DUMMYFUNCTION("REGEXREPLACE(B638,$A$3, )"),"Tidak bisa regestrasi.. error truss")</f>
        <v>Tidak bisa regestrasi.. error truss</v>
      </c>
      <c r="D638" s="17" t="str">
        <f>IFERROR(__xludf.DUMMYFUNCTION("REGEXREPLACE(C638,$A$4, )"),"Tidak bisa regestrasi.. error truss")</f>
        <v>Tidak bisa regestrasi.. error truss</v>
      </c>
      <c r="E638" s="17" t="str">
        <f>IFERROR(__xludf.DUMMYFUNCTION("REGEXREPLACE(D638,$A$5, )"),"Tidak bisa regestrasi.. error truss")</f>
        <v>Tidak bisa regestrasi.. error truss</v>
      </c>
      <c r="F638" s="17" t="str">
        <f>IFERROR(__xludf.DUMMYFUNCTION("REGEXREPLACE(E638,$A$6, )"),"Tidak bisa regestrasi error truss")</f>
        <v>Tidak bisa regestrasi error truss</v>
      </c>
      <c r="G638" s="18" t="str">
        <f>IFERROR(__xludf.DUMMYFUNCTION("REGEXREPLACE(F638,$A$7, )"),"Tidak bisa regestrasi error truss")</f>
        <v>Tidak bisa regestrasi error truss</v>
      </c>
      <c r="H638" s="17" t="str">
        <f t="shared" si="1"/>
        <v>tidak bisa regestrasi error truss</v>
      </c>
    </row>
    <row r="639">
      <c r="A639" s="16" t="s">
        <v>634</v>
      </c>
      <c r="B639" s="17" t="str">
        <f>IFERROR(__xludf.DUMMYFUNCTION("REGEXREPLACE(A639,$A$2, )"),"Aplikasi gaada guna terus aja erorr gaada apa kata2 lain, gimna mau masuk klo bginj teruss bngke")</f>
        <v>Aplikasi gaada guna terus aja erorr gaada apa kata2 lain, gimna mau masuk klo bginj teruss bngke</v>
      </c>
      <c r="C639" s="17" t="str">
        <f>IFERROR(__xludf.DUMMYFUNCTION("REGEXREPLACE(B639,$A$3, )"),"Aplikasi gaada guna terus aja erorr gaada apa kata2 lain, gimna mau masuk klo bginj teruss bngke")</f>
        <v>Aplikasi gaada guna terus aja erorr gaada apa kata2 lain, gimna mau masuk klo bginj teruss bngke</v>
      </c>
      <c r="D639" s="17" t="str">
        <f>IFERROR(__xludf.DUMMYFUNCTION("REGEXREPLACE(C639,$A$4, )"),"Aplikasi gaada guna terus aja erorr gaada apa kata2 lain, gimna mau masuk klo bginj teruss bngke")</f>
        <v>Aplikasi gaada guna terus aja erorr gaada apa kata2 lain, gimna mau masuk klo bginj teruss bngke</v>
      </c>
      <c r="E639" s="17" t="str">
        <f>IFERROR(__xludf.DUMMYFUNCTION("REGEXREPLACE(D639,$A$5, )"),"Aplikasi gaada guna terus aja erorr gaada apa kata lain, gimna mau masuk klo bginj teruss bngke")</f>
        <v>Aplikasi gaada guna terus aja erorr gaada apa kata lain, gimna mau masuk klo bginj teruss bngke</v>
      </c>
      <c r="F639" s="17" t="str">
        <f>IFERROR(__xludf.DUMMYFUNCTION("REGEXREPLACE(E639,$A$6, )"),"Aplikasi gaada guna terus aja erorr gaada apa kata lain gimna mau masuk klo bginj teruss bngke")</f>
        <v>Aplikasi gaada guna terus aja erorr gaada apa kata lain gimna mau masuk klo bginj teruss bngke</v>
      </c>
      <c r="G639" s="18" t="str">
        <f>IFERROR(__xludf.DUMMYFUNCTION("REGEXREPLACE(F639,$A$7, )"),"Aplikasi gaada guna terus aja erorr gaada apa kata lain gimna mau masuk klo bginj teruss bngke")</f>
        <v>Aplikasi gaada guna terus aja erorr gaada apa kata lain gimna mau masuk klo bginj teruss bngke</v>
      </c>
      <c r="H639" s="17" t="str">
        <f t="shared" si="1"/>
        <v>aplikasi gaada guna terus aja erorr gaada apa kata lain gimna mau masuk klo bginj teruss bngke</v>
      </c>
    </row>
    <row r="640">
      <c r="A640" s="16" t="s">
        <v>635</v>
      </c>
      <c r="B640" s="17" t="str">
        <f>IFERROR(__xludf.DUMMYFUNCTION("REGEXREPLACE(A640,$A$2, )"),"Aplikasi produk gagal lemot sama kayak Mensos nya")</f>
        <v>Aplikasi produk gagal lemot sama kayak Mensos nya</v>
      </c>
      <c r="C640" s="17" t="str">
        <f>IFERROR(__xludf.DUMMYFUNCTION("REGEXREPLACE(B640,$A$3, )"),"Aplikasi produk gagal lemot sama kayak Mensos nya")</f>
        <v>Aplikasi produk gagal lemot sama kayak Mensos nya</v>
      </c>
      <c r="D640" s="17" t="str">
        <f>IFERROR(__xludf.DUMMYFUNCTION("REGEXREPLACE(C640,$A$4, )"),"Aplikasi produk gagal lemot sama kayak Mensos nya")</f>
        <v>Aplikasi produk gagal lemot sama kayak Mensos nya</v>
      </c>
      <c r="E640" s="17" t="str">
        <f>IFERROR(__xludf.DUMMYFUNCTION("REGEXREPLACE(D640,$A$5, )"),"Aplikasi produk gagal lemot sama kayak Mensos nya")</f>
        <v>Aplikasi produk gagal lemot sama kayak Mensos nya</v>
      </c>
      <c r="F640" s="17" t="str">
        <f>IFERROR(__xludf.DUMMYFUNCTION("REGEXREPLACE(E640,$A$6, )"),"Aplikasi produk gagal lemot sama kayak Mensos nya")</f>
        <v>Aplikasi produk gagal lemot sama kayak Mensos nya</v>
      </c>
      <c r="G640" s="18" t="str">
        <f>IFERROR(__xludf.DUMMYFUNCTION("REGEXREPLACE(F640,$A$7, )"),"Aplikasi produk gagal lemot sama kayak Mensos nya")</f>
        <v>Aplikasi produk gagal lemot sama kayak Mensos nya</v>
      </c>
      <c r="H640" s="17" t="str">
        <f t="shared" si="1"/>
        <v>aplikasi produk gagal lemot sama kayak mensos nya</v>
      </c>
    </row>
    <row r="641">
      <c r="A641" s="16" t="s">
        <v>636</v>
      </c>
      <c r="B641" s="17" t="str">
        <f>IFERROR(__xludf.DUMMYFUNCTION("REGEXREPLACE(A641,$A$2, )"),"Tiap mau buat akun selalu error")</f>
        <v>Tiap mau buat akun selalu error</v>
      </c>
      <c r="C641" s="17" t="str">
        <f>IFERROR(__xludf.DUMMYFUNCTION("REGEXREPLACE(B641,$A$3, )"),"Tiap mau buat akun selalu error")</f>
        <v>Tiap mau buat akun selalu error</v>
      </c>
      <c r="D641" s="17" t="str">
        <f>IFERROR(__xludf.DUMMYFUNCTION("REGEXREPLACE(C641,$A$4, )"),"Tiap mau buat akun selalu error")</f>
        <v>Tiap mau buat akun selalu error</v>
      </c>
      <c r="E641" s="17" t="str">
        <f>IFERROR(__xludf.DUMMYFUNCTION("REGEXREPLACE(D641,$A$5, )"),"Tiap mau buat akun selalu error")</f>
        <v>Tiap mau buat akun selalu error</v>
      </c>
      <c r="F641" s="17" t="str">
        <f>IFERROR(__xludf.DUMMYFUNCTION("REGEXREPLACE(E641,$A$6, )"),"Tiap mau buat akun selalu error")</f>
        <v>Tiap mau buat akun selalu error</v>
      </c>
      <c r="G641" s="18" t="str">
        <f>IFERROR(__xludf.DUMMYFUNCTION("REGEXREPLACE(F641,$A$7, )"),"Tiap mau buat akun selalu error")</f>
        <v>Tiap mau buat akun selalu error</v>
      </c>
      <c r="H641" s="17" t="str">
        <f t="shared" si="1"/>
        <v>tiap mau buat akun selalu error</v>
      </c>
    </row>
    <row r="642">
      <c r="A642" s="16" t="s">
        <v>637</v>
      </c>
      <c r="B642" s="17" t="str">
        <f>IFERROR(__xludf.DUMMYFUNCTION("REGEXREPLACE(A642,$A$2, )"),"Kenapa tidak bisa login dan daftar ya")</f>
        <v>Kenapa tidak bisa login dan daftar ya</v>
      </c>
      <c r="C642" s="17" t="str">
        <f>IFERROR(__xludf.DUMMYFUNCTION("REGEXREPLACE(B642,$A$3, )"),"Kenapa tidak bisa login dan daftar ya")</f>
        <v>Kenapa tidak bisa login dan daftar ya</v>
      </c>
      <c r="D642" s="17" t="str">
        <f>IFERROR(__xludf.DUMMYFUNCTION("REGEXREPLACE(C642,$A$4, )"),"Kenapa tidak bisa login dan daftar ya")</f>
        <v>Kenapa tidak bisa login dan daftar ya</v>
      </c>
      <c r="E642" s="17" t="str">
        <f>IFERROR(__xludf.DUMMYFUNCTION("REGEXREPLACE(D642,$A$5, )"),"Kenapa tidak bisa login dan daftar ya")</f>
        <v>Kenapa tidak bisa login dan daftar ya</v>
      </c>
      <c r="F642" s="17" t="str">
        <f>IFERROR(__xludf.DUMMYFUNCTION("REGEXREPLACE(E642,$A$6, )"),"Kenapa tidak bisa login dan daftar ya")</f>
        <v>Kenapa tidak bisa login dan daftar ya</v>
      </c>
      <c r="G642" s="18" t="str">
        <f>IFERROR(__xludf.DUMMYFUNCTION("REGEXREPLACE(F642,$A$7, )"),"Kenapa tidak bisa login dan daftar ya")</f>
        <v>Kenapa tidak bisa login dan daftar ya</v>
      </c>
      <c r="H642" s="17" t="str">
        <f t="shared" si="1"/>
        <v>kenapa tidak bisa login dan daftar ya</v>
      </c>
    </row>
    <row r="643">
      <c r="A643" s="16" t="s">
        <v>638</v>
      </c>
      <c r="B643" s="17" t="str">
        <f>IFERROR(__xludf.DUMMYFUNCTION("REGEXREPLACE(A643,$A$2, )"),"Sudah di verivikasi akun saya tp ko susah untuk melengkapi data nya")</f>
        <v>Sudah di verivikasi akun saya tp ko susah untuk melengkapi data nya</v>
      </c>
      <c r="C643" s="17" t="str">
        <f>IFERROR(__xludf.DUMMYFUNCTION("REGEXREPLACE(B643,$A$3, )"),"Sudah di verivikasi akun saya tp ko susah untuk melengkapi data nya")</f>
        <v>Sudah di verivikasi akun saya tp ko susah untuk melengkapi data nya</v>
      </c>
      <c r="D643" s="17" t="str">
        <f>IFERROR(__xludf.DUMMYFUNCTION("REGEXREPLACE(C643,$A$4, )"),"Sudah di verivikasi akun saya tp ko susah untuk melengkapi data nya")</f>
        <v>Sudah di verivikasi akun saya tp ko susah untuk melengkapi data nya</v>
      </c>
      <c r="E643" s="17" t="str">
        <f>IFERROR(__xludf.DUMMYFUNCTION("REGEXREPLACE(D643,$A$5, )"),"Sudah di verivikasi akun saya tp ko susah untuk melengkapi data nya")</f>
        <v>Sudah di verivikasi akun saya tp ko susah untuk melengkapi data nya</v>
      </c>
      <c r="F643" s="17" t="str">
        <f>IFERROR(__xludf.DUMMYFUNCTION("REGEXREPLACE(E643,$A$6, )"),"Sudah di verivikasi akun saya tp ko susah untuk melengkapi data nya")</f>
        <v>Sudah di verivikasi akun saya tp ko susah untuk melengkapi data nya</v>
      </c>
      <c r="G643" s="18" t="str">
        <f>IFERROR(__xludf.DUMMYFUNCTION("REGEXREPLACE(F643,$A$7, )"),"Sudah di verivikasi akun saya tp ko susah untuk melengkapi data nya")</f>
        <v>Sudah di verivikasi akun saya tp ko susah untuk melengkapi data nya</v>
      </c>
      <c r="H643" s="17" t="str">
        <f t="shared" si="1"/>
        <v>sudah di verivikasi akun saya tp ko susah untuk melengkapi data nya</v>
      </c>
    </row>
    <row r="644">
      <c r="A644" s="16" t="s">
        <v>639</v>
      </c>
      <c r="B644" s="17" t="str">
        <f>IFERROR(__xludf.DUMMYFUNCTION("REGEXREPLACE(A644,$A$2, )"),"HOAX. Login pun tak bisa. Siapa IT programer nya yg bikin ini aplikasi?")</f>
        <v>HOAX. Login pun tak bisa. Siapa IT programer nya yg bikin ini aplikasi?</v>
      </c>
      <c r="C644" s="17" t="str">
        <f>IFERROR(__xludf.DUMMYFUNCTION("REGEXREPLACE(B644,$A$3, )"),"HOAX. Login pun tak bisa. Siapa IT programer nya yg bikin ini aplikasi?")</f>
        <v>HOAX. Login pun tak bisa. Siapa IT programer nya yg bikin ini aplikasi?</v>
      </c>
      <c r="D644" s="17" t="str">
        <f>IFERROR(__xludf.DUMMYFUNCTION("REGEXREPLACE(C644,$A$4, )"),"HOAX. Login pun tak bisa. Siapa IT programer nya yg bikin ini aplikasi?")</f>
        <v>HOAX. Login pun tak bisa. Siapa IT programer nya yg bikin ini aplikasi?</v>
      </c>
      <c r="E644" s="17" t="str">
        <f>IFERROR(__xludf.DUMMYFUNCTION("REGEXREPLACE(D644,$A$5, )"),"HOAX. Login pun tak bisa. Siapa IT programer nya yg bikin ini aplikasi?")</f>
        <v>HOAX. Login pun tak bisa. Siapa IT programer nya yg bikin ini aplikasi?</v>
      </c>
      <c r="F644" s="17" t="str">
        <f>IFERROR(__xludf.DUMMYFUNCTION("REGEXREPLACE(E644,$A$6, )"),"HOAX Login pun tak bisa Siapa IT programer nya yg bikin ini aplikasi")</f>
        <v>HOAX Login pun tak bisa Siapa IT programer nya yg bikin ini aplikasi</v>
      </c>
      <c r="G644" s="18" t="str">
        <f>IFERROR(__xludf.DUMMYFUNCTION("REGEXREPLACE(F644,$A$7, )"),"HOAX Login pun tak bisa Siapa IT programer nya yg bikin ini aplikasi")</f>
        <v>HOAX Login pun tak bisa Siapa IT programer nya yg bikin ini aplikasi</v>
      </c>
      <c r="H644" s="17" t="str">
        <f t="shared" si="1"/>
        <v>hoax login pun tak bisa siapa it programer nya yg bikin ini aplikasi</v>
      </c>
    </row>
    <row r="645">
      <c r="A645" s="16" t="s">
        <v>640</v>
      </c>
      <c r="B645" s="17" t="str">
        <f>IFERROR(__xludf.DUMMYFUNCTION("REGEXREPLACE(A645,$A$2, )"),"Aplikasi buruk saat mengisi bagian provinsi eror terus")</f>
        <v>Aplikasi buruk saat mengisi bagian provinsi eror terus</v>
      </c>
      <c r="C645" s="17" t="str">
        <f>IFERROR(__xludf.DUMMYFUNCTION("REGEXREPLACE(B645,$A$3, )"),"Aplikasi buruk saat mengisi bagian provinsi eror terus")</f>
        <v>Aplikasi buruk saat mengisi bagian provinsi eror terus</v>
      </c>
      <c r="D645" s="17" t="str">
        <f>IFERROR(__xludf.DUMMYFUNCTION("REGEXREPLACE(C645,$A$4, )"),"Aplikasi buruk saat mengisi bagian provinsi eror terus")</f>
        <v>Aplikasi buruk saat mengisi bagian provinsi eror terus</v>
      </c>
      <c r="E645" s="17" t="str">
        <f>IFERROR(__xludf.DUMMYFUNCTION("REGEXREPLACE(D645,$A$5, )"),"Aplikasi buruk saat mengisi bagian provinsi eror terus")</f>
        <v>Aplikasi buruk saat mengisi bagian provinsi eror terus</v>
      </c>
      <c r="F645" s="17" t="str">
        <f>IFERROR(__xludf.DUMMYFUNCTION("REGEXREPLACE(E645,$A$6, )"),"Aplikasi buruk saat mengisi bagian provinsi eror terus")</f>
        <v>Aplikasi buruk saat mengisi bagian provinsi eror terus</v>
      </c>
      <c r="G645" s="18" t="str">
        <f>IFERROR(__xludf.DUMMYFUNCTION("REGEXREPLACE(F645,$A$7, )"),"Aplikasi buruk saat mengisi bagian provinsi eror terus")</f>
        <v>Aplikasi buruk saat mengisi bagian provinsi eror terus</v>
      </c>
      <c r="H645" s="17" t="str">
        <f t="shared" si="1"/>
        <v>aplikasi buruk saat mengisi bagian provinsi eror terus</v>
      </c>
    </row>
    <row r="646">
      <c r="A646" s="16" t="s">
        <v>641</v>
      </c>
      <c r="B646" s="17" t="str">
        <f>IFERROR(__xludf.DUMMYFUNCTION("REGEXREPLACE(A646,$A$2, )"),"tidak bisa daftar dengan keterangan error json parse")</f>
        <v>tidak bisa daftar dengan keterangan error json parse</v>
      </c>
      <c r="C646" s="17" t="str">
        <f>IFERROR(__xludf.DUMMYFUNCTION("REGEXREPLACE(B646,$A$3, )"),"tidak bisa daftar dengan keterangan error json parse")</f>
        <v>tidak bisa daftar dengan keterangan error json parse</v>
      </c>
      <c r="D646" s="17" t="str">
        <f>IFERROR(__xludf.DUMMYFUNCTION("REGEXREPLACE(C646,$A$4, )"),"tidak bisa daftar dengan keterangan error json parse")</f>
        <v>tidak bisa daftar dengan keterangan error json parse</v>
      </c>
      <c r="E646" s="17" t="str">
        <f>IFERROR(__xludf.DUMMYFUNCTION("REGEXREPLACE(D646,$A$5, )"),"tidak bisa daftar dengan keterangan error json parse")</f>
        <v>tidak bisa daftar dengan keterangan error json parse</v>
      </c>
      <c r="F646" s="17" t="str">
        <f>IFERROR(__xludf.DUMMYFUNCTION("REGEXREPLACE(E646,$A$6, )"),"tidak bisa daftar dengan keterangan error json parse")</f>
        <v>tidak bisa daftar dengan keterangan error json parse</v>
      </c>
      <c r="G646" s="18" t="str">
        <f>IFERROR(__xludf.DUMMYFUNCTION("REGEXREPLACE(F646,$A$7, )"),"tidak bisa daftar dengan keterangan error json parse")</f>
        <v>tidak bisa daftar dengan keterangan error json parse</v>
      </c>
      <c r="H646" s="17" t="str">
        <f t="shared" si="1"/>
        <v>tidak bisa daftar dengan keterangan error json parse</v>
      </c>
    </row>
    <row r="647">
      <c r="A647" s="16" t="s">
        <v>642</v>
      </c>
      <c r="B647" s="17" t="str">
        <f>IFERROR(__xludf.DUMMYFUNCTION("REGEXREPLACE(A647,$A$2, )"),"Aplikasi buruk, error terus tidak bisa mengajukan usulan.")</f>
        <v>Aplikasi buruk, error terus tidak bisa mengajukan usulan.</v>
      </c>
      <c r="C647" s="17" t="str">
        <f>IFERROR(__xludf.DUMMYFUNCTION("REGEXREPLACE(B647,$A$3, )"),"Aplikasi buruk, error terus tidak bisa mengajukan usulan.")</f>
        <v>Aplikasi buruk, error terus tidak bisa mengajukan usulan.</v>
      </c>
      <c r="D647" s="17" t="str">
        <f>IFERROR(__xludf.DUMMYFUNCTION("REGEXREPLACE(C647,$A$4, )"),"Aplikasi buruk, error terus tidak bisa mengajukan usulan.")</f>
        <v>Aplikasi buruk, error terus tidak bisa mengajukan usulan.</v>
      </c>
      <c r="E647" s="17" t="str">
        <f>IFERROR(__xludf.DUMMYFUNCTION("REGEXREPLACE(D647,$A$5, )"),"Aplikasi buruk, error terus tidak bisa mengajukan usulan.")</f>
        <v>Aplikasi buruk, error terus tidak bisa mengajukan usulan.</v>
      </c>
      <c r="F647" s="17" t="str">
        <f>IFERROR(__xludf.DUMMYFUNCTION("REGEXREPLACE(E647,$A$6, )"),"Aplikasi buruk error terus tidak bisa mengajukan usulan")</f>
        <v>Aplikasi buruk error terus tidak bisa mengajukan usulan</v>
      </c>
      <c r="G647" s="18" t="str">
        <f>IFERROR(__xludf.DUMMYFUNCTION("REGEXREPLACE(F647,$A$7, )"),"Aplikasi buruk error terus tidak bisa mengajukan usulan")</f>
        <v>Aplikasi buruk error terus tidak bisa mengajukan usulan</v>
      </c>
      <c r="H647" s="17" t="str">
        <f t="shared" si="1"/>
        <v>aplikasi buruk error terus tidak bisa mengajukan usulan</v>
      </c>
    </row>
    <row r="648">
      <c r="A648" s="16" t="s">
        <v>643</v>
      </c>
      <c r="B648" s="17" t="str">
        <f>IFERROR(__xludf.DUMMYFUNCTION("REGEXREPLACE(A648,$A$2, )"),"Saya tidak bisa daftar,masalah isi provinsi dan foto ,tolong perbaiki")</f>
        <v>Saya tidak bisa daftar,masalah isi provinsi dan foto ,tolong perbaiki</v>
      </c>
      <c r="C648" s="17" t="str">
        <f>IFERROR(__xludf.DUMMYFUNCTION("REGEXREPLACE(B648,$A$3, )"),"Saya tidak bisa daftar,masalah isi provinsi dan foto ,tolong perbaiki")</f>
        <v>Saya tidak bisa daftar,masalah isi provinsi dan foto ,tolong perbaiki</v>
      </c>
      <c r="D648" s="17" t="str">
        <f>IFERROR(__xludf.DUMMYFUNCTION("REGEXREPLACE(C648,$A$4, )"),"Saya tidak bisa daftar,masalah isi provinsi dan foto ,tolong perbaiki")</f>
        <v>Saya tidak bisa daftar,masalah isi provinsi dan foto ,tolong perbaiki</v>
      </c>
      <c r="E648" s="17" t="str">
        <f>IFERROR(__xludf.DUMMYFUNCTION("REGEXREPLACE(D648,$A$5, )"),"Saya tidak bisa daftar,masalah isi provinsi dan foto ,tolong perbaiki")</f>
        <v>Saya tidak bisa daftar,masalah isi provinsi dan foto ,tolong perbaiki</v>
      </c>
      <c r="F648" s="17" t="str">
        <f>IFERROR(__xludf.DUMMYFUNCTION("REGEXREPLACE(E648,$A$6, )"),"Saya tidak bisa daftarmasalah isi provinsi dan foto tolong perbaiki")</f>
        <v>Saya tidak bisa daftarmasalah isi provinsi dan foto tolong perbaiki</v>
      </c>
      <c r="G648" s="18" t="str">
        <f>IFERROR(__xludf.DUMMYFUNCTION("REGEXREPLACE(F648,$A$7, )"),"Saya tidak bisa daftarmasalah isi provinsi dan foto tolong perbaiki")</f>
        <v>Saya tidak bisa daftarmasalah isi provinsi dan foto tolong perbaiki</v>
      </c>
      <c r="H648" s="17" t="str">
        <f t="shared" si="1"/>
        <v>saya tidak bisa daftarmasalah isi provinsi dan foto tolong perbaiki</v>
      </c>
    </row>
    <row r="649">
      <c r="A649" s="16" t="s">
        <v>644</v>
      </c>
      <c r="B649" s="17" t="str">
        <f>IFERROR(__xludf.DUMMYFUNCTION("REGEXREPLACE(A649,$A$2, )"),"Tolong di perbaiki lagi aplikasinya supaya tidak erorr dalam pembuatan akun,terimakasih")</f>
        <v>Tolong di perbaiki lagi aplikasinya supaya tidak erorr dalam pembuatan akun,terimakasih</v>
      </c>
      <c r="C649" s="17" t="str">
        <f>IFERROR(__xludf.DUMMYFUNCTION("REGEXREPLACE(B649,$A$3, )"),"Tolong di perbaiki lagi aplikasinya supaya tidak erorr dalam pembuatan akun,terimakasih")</f>
        <v>Tolong di perbaiki lagi aplikasinya supaya tidak erorr dalam pembuatan akun,terimakasih</v>
      </c>
      <c r="D649" s="17" t="str">
        <f>IFERROR(__xludf.DUMMYFUNCTION("REGEXREPLACE(C649,$A$4, )"),"Tolong di perbaiki lagi aplikasinya supaya tidak erorr dalam pembuatan akun,terimakasih")</f>
        <v>Tolong di perbaiki lagi aplikasinya supaya tidak erorr dalam pembuatan akun,terimakasih</v>
      </c>
      <c r="E649" s="17" t="str">
        <f>IFERROR(__xludf.DUMMYFUNCTION("REGEXREPLACE(D649,$A$5, )"),"Tolong di perbaiki lagi aplikasinya supaya tidak erorr dalam pembuatan akun,terimakasih")</f>
        <v>Tolong di perbaiki lagi aplikasinya supaya tidak erorr dalam pembuatan akun,terimakasih</v>
      </c>
      <c r="F649" s="17" t="str">
        <f>IFERROR(__xludf.DUMMYFUNCTION("REGEXREPLACE(E649,$A$6, )"),"Tolong di perbaiki lagi aplikasinya supaya tidak erorr dalam pembuatan akunterimakasih")</f>
        <v>Tolong di perbaiki lagi aplikasinya supaya tidak erorr dalam pembuatan akunterimakasih</v>
      </c>
      <c r="G649" s="18" t="str">
        <f>IFERROR(__xludf.DUMMYFUNCTION("REGEXREPLACE(F649,$A$7, )"),"Tolong di perbaiki lagi aplikasinya supaya tidak erorr dalam pembuatan akunterimakasih")</f>
        <v>Tolong di perbaiki lagi aplikasinya supaya tidak erorr dalam pembuatan akunterimakasih</v>
      </c>
      <c r="H649" s="17" t="str">
        <f t="shared" si="1"/>
        <v>tolong di perbaiki lagi aplikasinya supaya tidak erorr dalam pembuatan akunterimakasih</v>
      </c>
    </row>
    <row r="650">
      <c r="A650" s="16" t="s">
        <v>645</v>
      </c>
      <c r="B650" s="17" t="str">
        <f>IFERROR(__xludf.DUMMYFUNCTION("REGEXREPLACE(A650,$A$2, )"),"g bisa daftar trs udah di coba berapa x jg, apa udah di tutup utk pendaftaran'y?")</f>
        <v>g bisa daftar trs udah di coba berapa x jg, apa udah di tutup utk pendaftaran'y?</v>
      </c>
      <c r="C650" s="17" t="str">
        <f>IFERROR(__xludf.DUMMYFUNCTION("REGEXREPLACE(B650,$A$3, )"),"g bisa daftar trs udah di coba berapa x jg, apa udah di tutup utk pendaftaran'y?")</f>
        <v>g bisa daftar trs udah di coba berapa x jg, apa udah di tutup utk pendaftaran'y?</v>
      </c>
      <c r="D650" s="17" t="str">
        <f>IFERROR(__xludf.DUMMYFUNCTION("REGEXREPLACE(C650,$A$4, )"),"g bisa daftar trs udah di coba berapa x jg, apa udah di tutup utk pendaftaran'y?")</f>
        <v>g bisa daftar trs udah di coba berapa x jg, apa udah di tutup utk pendaftaran'y?</v>
      </c>
      <c r="E650" s="17" t="str">
        <f>IFERROR(__xludf.DUMMYFUNCTION("REGEXREPLACE(D650,$A$5, )"),"g bisa daftar trs udah di coba berapa x jg, apa udah di tutup utk pendaftaran'y?")</f>
        <v>g bisa daftar trs udah di coba berapa x jg, apa udah di tutup utk pendaftaran'y?</v>
      </c>
      <c r="F650" s="17" t="str">
        <f>IFERROR(__xludf.DUMMYFUNCTION("REGEXREPLACE(E650,$A$6, )"),"g bisa daftar trs udah di coba berapa x jg apa udah di tutup utk pendaftarany")</f>
        <v>g bisa daftar trs udah di coba berapa x jg apa udah di tutup utk pendaftarany</v>
      </c>
      <c r="G650" s="18" t="str">
        <f>IFERROR(__xludf.DUMMYFUNCTION("REGEXREPLACE(F650,$A$7, )"),"g bisa daftar trs udah di coba berapa x jg apa udah di tutup utk pendaftarany")</f>
        <v>g bisa daftar trs udah di coba berapa x jg apa udah di tutup utk pendaftarany</v>
      </c>
      <c r="H650" s="17" t="str">
        <f t="shared" si="1"/>
        <v>g bisa daftar trs udah di coba berapa x jg apa udah di tutup utk pendaftarany</v>
      </c>
    </row>
    <row r="651">
      <c r="A651" s="16" t="s">
        <v>646</v>
      </c>
      <c r="B651" s="17" t="str">
        <f>IFERROR(__xludf.DUMMYFUNCTION("REGEXREPLACE(A651,$A$2, )"),"Saat daftat Eror terus dan aplikasi nya tidak keluar di pintasan hp")</f>
        <v>Saat daftat Eror terus dan aplikasi nya tidak keluar di pintasan hp</v>
      </c>
      <c r="C651" s="17" t="str">
        <f>IFERROR(__xludf.DUMMYFUNCTION("REGEXREPLACE(B651,$A$3, )"),"Saat daftat Eror terus dan aplikasi nya tidak keluar di pintasan hp")</f>
        <v>Saat daftat Eror terus dan aplikasi nya tidak keluar di pintasan hp</v>
      </c>
      <c r="D651" s="17" t="str">
        <f>IFERROR(__xludf.DUMMYFUNCTION("REGEXREPLACE(C651,$A$4, )"),"Saat daftat Eror terus dan aplikasi nya tidak keluar di pintasan hp")</f>
        <v>Saat daftat Eror terus dan aplikasi nya tidak keluar di pintasan hp</v>
      </c>
      <c r="E651" s="17" t="str">
        <f>IFERROR(__xludf.DUMMYFUNCTION("REGEXREPLACE(D651,$A$5, )"),"Saat daftat Eror terus dan aplikasi nya tidak keluar di pintasan hp")</f>
        <v>Saat daftat Eror terus dan aplikasi nya tidak keluar di pintasan hp</v>
      </c>
      <c r="F651" s="17" t="str">
        <f>IFERROR(__xludf.DUMMYFUNCTION("REGEXREPLACE(E651,$A$6, )"),"Saat daftat Eror terus dan aplikasi nya tidak keluar di pintasan hp")</f>
        <v>Saat daftat Eror terus dan aplikasi nya tidak keluar di pintasan hp</v>
      </c>
      <c r="G651" s="18" t="str">
        <f>IFERROR(__xludf.DUMMYFUNCTION("REGEXREPLACE(F651,$A$7, )"),"Saat daftat Eror terus dan aplikasi nya tidak keluar di pintasan hp")</f>
        <v>Saat daftat Eror terus dan aplikasi nya tidak keluar di pintasan hp</v>
      </c>
      <c r="H651" s="17" t="str">
        <f t="shared" si="1"/>
        <v>saat daftat eror terus dan aplikasi nya tidak keluar di pintasan hp</v>
      </c>
    </row>
    <row r="652">
      <c r="A652" s="16" t="s">
        <v>647</v>
      </c>
      <c r="B652" s="17" t="str">
        <f>IFERROR(__xludf.DUMMYFUNCTION("REGEXREPLACE(A652,$A$2, )"),"Aplikasi apaan ini tidak bisa di gunakan tidak bisa membantu sama sekali")</f>
        <v>Aplikasi apaan ini tidak bisa di gunakan tidak bisa membantu sama sekali</v>
      </c>
      <c r="C652" s="17" t="str">
        <f>IFERROR(__xludf.DUMMYFUNCTION("REGEXREPLACE(B652,$A$3, )"),"Aplikasi apaan ini tidak bisa di gunakan tidak bisa membantu sama sekali")</f>
        <v>Aplikasi apaan ini tidak bisa di gunakan tidak bisa membantu sama sekali</v>
      </c>
      <c r="D652" s="17" t="str">
        <f>IFERROR(__xludf.DUMMYFUNCTION("REGEXREPLACE(C652,$A$4, )"),"Aplikasi apaan ini tidak bisa di gunakan tidak bisa membantu sama sekali")</f>
        <v>Aplikasi apaan ini tidak bisa di gunakan tidak bisa membantu sama sekali</v>
      </c>
      <c r="E652" s="17" t="str">
        <f>IFERROR(__xludf.DUMMYFUNCTION("REGEXREPLACE(D652,$A$5, )"),"Aplikasi apaan ini tidak bisa di gunakan tidak bisa membantu sama sekali")</f>
        <v>Aplikasi apaan ini tidak bisa di gunakan tidak bisa membantu sama sekali</v>
      </c>
      <c r="F652" s="17" t="str">
        <f>IFERROR(__xludf.DUMMYFUNCTION("REGEXREPLACE(E652,$A$6, )"),"Aplikasi apaan ini tidak bisa di gunakan tidak bisa membantu sama sekali")</f>
        <v>Aplikasi apaan ini tidak bisa di gunakan tidak bisa membantu sama sekali</v>
      </c>
      <c r="G652" s="18" t="str">
        <f>IFERROR(__xludf.DUMMYFUNCTION("REGEXREPLACE(F652,$A$7, )"),"Aplikasi apaan ini tidak bisa di gunakan tidak bisa membantu sama sekali")</f>
        <v>Aplikasi apaan ini tidak bisa di gunakan tidak bisa membantu sama sekali</v>
      </c>
      <c r="H652" s="17" t="str">
        <f t="shared" si="1"/>
        <v>aplikasi apaan ini tidak bisa di gunakan tidak bisa membantu sama sekali</v>
      </c>
    </row>
    <row r="653">
      <c r="A653" s="16" t="s">
        <v>648</v>
      </c>
      <c r="B653" s="17" t="str">
        <f>IFERROR(__xludf.DUMMYFUNCTION("REGEXREPLACE(A653,$A$2, )"),"heran sama pemerintah ini buat aplikasi aja kayak gini ,,,bisa di buka enggak,,,gajih gede tapi cuma buat aplikasi begini aja gk bisa,,,niat bantu rakyat gk kalian wahai pemerintah.")</f>
        <v>heran sama pemerintah ini buat aplikasi aja kayak gini ,,,bisa di buka enggak,,,gajih gede tapi cuma buat aplikasi begini aja gk bisa,,,niat bantu rakyat gk kalian wahai pemerintah.</v>
      </c>
      <c r="C653" s="17" t="str">
        <f>IFERROR(__xludf.DUMMYFUNCTION("REGEXREPLACE(B653,$A$3, )"),"heran sama pemerintah ini buat aplikasi aja kayak gini ,,,bisa di buka enggak,,,gajih gede tapi cuma buat aplikasi begini aja gk bisa,,,niat bantu rakyat gk kalian wahai pemerintah.")</f>
        <v>heran sama pemerintah ini buat aplikasi aja kayak gini ,,,bisa di buka enggak,,,gajih gede tapi cuma buat aplikasi begini aja gk bisa,,,niat bantu rakyat gk kalian wahai pemerintah.</v>
      </c>
      <c r="D653" s="17" t="str">
        <f>IFERROR(__xludf.DUMMYFUNCTION("REGEXREPLACE(C653,$A$4, )"),"heran sama pemerintah ini buat aplikasi aja kayak gini ,,,bisa di buka enggak,,,gajih gede tapi cuma buat aplikasi begini aja gk bisa,,,niat bantu rakyat gk kalian wahai pemerintah.")</f>
        <v>heran sama pemerintah ini buat aplikasi aja kayak gini ,,,bisa di buka enggak,,,gajih gede tapi cuma buat aplikasi begini aja gk bisa,,,niat bantu rakyat gk kalian wahai pemerintah.</v>
      </c>
      <c r="E653" s="17" t="str">
        <f>IFERROR(__xludf.DUMMYFUNCTION("REGEXREPLACE(D653,$A$5, )"),"heran sama pemerintah ini buat aplikasi aja kayak gini ,,,bisa di buka enggak,,,gajih gede tapi cuma buat aplikasi begini aja gk bisa,,,niat bantu rakyat gk kalian wahai pemerintah.")</f>
        <v>heran sama pemerintah ini buat aplikasi aja kayak gini ,,,bisa di buka enggak,,,gajih gede tapi cuma buat aplikasi begini aja gk bisa,,,niat bantu rakyat gk kalian wahai pemerintah.</v>
      </c>
      <c r="F653" s="17" t="str">
        <f>IFERROR(__xludf.DUMMYFUNCTION("REGEXREPLACE(E653,$A$6, )"),"heran sama pemerintah ini buat aplikasi aja kayak gini bisa di buka enggakgajih gede tapi cuma buat aplikasi begini aja gk bisaniat bantu rakyat gk kalian wahai pemerintah")</f>
        <v>heran sama pemerintah ini buat aplikasi aja kayak gini bisa di buka enggakgajih gede tapi cuma buat aplikasi begini aja gk bisaniat bantu rakyat gk kalian wahai pemerintah</v>
      </c>
      <c r="G653" s="18" t="str">
        <f>IFERROR(__xludf.DUMMYFUNCTION("REGEXREPLACE(F653,$A$7, )"),"heran sama pemerintah ini buat aplikasi aja kayak gini bisa di buka enggakgajih gede tapi cuma buat aplikasi begini aja gk bisaniat bantu rakyat gk kalian wahai pemerintah")</f>
        <v>heran sama pemerintah ini buat aplikasi aja kayak gini bisa di buka enggakgajih gede tapi cuma buat aplikasi begini aja gk bisaniat bantu rakyat gk kalian wahai pemerintah</v>
      </c>
      <c r="H653" s="17" t="str">
        <f t="shared" si="1"/>
        <v>heran sama pemerintah ini buat aplikasi aja kayak gini bisa di buka enggakgajih gede tapi cuma buat aplikasi begini aja gk bisaniat bantu rakyat gk kalian wahai pemerintah</v>
      </c>
    </row>
    <row r="654">
      <c r="A654" s="16" t="s">
        <v>649</v>
      </c>
      <c r="B654" s="17" t="str">
        <f>IFERROR(__xludf.DUMMYFUNCTION("REGEXREPLACE(A654,$A$2, )"),"Admin tolong diperbaiki kenapa kalo mau menambah usulan eror terus")</f>
        <v>Admin tolong diperbaiki kenapa kalo mau menambah usulan eror terus</v>
      </c>
      <c r="C654" s="17" t="str">
        <f>IFERROR(__xludf.DUMMYFUNCTION("REGEXREPLACE(B654,$A$3, )"),"Admin tolong diperbaiki kenapa kalo mau menambah usulan eror terus")</f>
        <v>Admin tolong diperbaiki kenapa kalo mau menambah usulan eror terus</v>
      </c>
      <c r="D654" s="17" t="str">
        <f>IFERROR(__xludf.DUMMYFUNCTION("REGEXREPLACE(C654,$A$4, )"),"Admin tolong diperbaiki kenapa kalo mau menambah usulan eror terus")</f>
        <v>Admin tolong diperbaiki kenapa kalo mau menambah usulan eror terus</v>
      </c>
      <c r="E654" s="17" t="str">
        <f>IFERROR(__xludf.DUMMYFUNCTION("REGEXREPLACE(D654,$A$5, )"),"Admin tolong diperbaiki kenapa kalo mau menambah usulan eror terus")</f>
        <v>Admin tolong diperbaiki kenapa kalo mau menambah usulan eror terus</v>
      </c>
      <c r="F654" s="17" t="str">
        <f>IFERROR(__xludf.DUMMYFUNCTION("REGEXREPLACE(E654,$A$6, )"),"Admin tolong diperbaiki kenapa kalo mau menambah usulan eror terus")</f>
        <v>Admin tolong diperbaiki kenapa kalo mau menambah usulan eror terus</v>
      </c>
      <c r="G654" s="18" t="str">
        <f>IFERROR(__xludf.DUMMYFUNCTION("REGEXREPLACE(F654,$A$7, )"),"Admin tolong diperbaiki kenapa kalo mau menambah usulan eror terus")</f>
        <v>Admin tolong diperbaiki kenapa kalo mau menambah usulan eror terus</v>
      </c>
      <c r="H654" s="17" t="str">
        <f t="shared" si="1"/>
        <v>admin tolong diperbaiki kenapa kalo mau menambah usulan eror terus</v>
      </c>
    </row>
    <row r="655">
      <c r="A655" s="16" t="s">
        <v>650</v>
      </c>
      <c r="B655" s="17" t="str">
        <f>IFERROR(__xludf.DUMMYFUNCTION("REGEXREPLACE(A655,$A$2, )"),"Apikasi nya eror terus tolong di pebaiki Agar kmi yg bisa cek ada ny dana untuk kmi yg mbutuhkan")</f>
        <v>Apikasi nya eror terus tolong di pebaiki Agar kmi yg bisa cek ada ny dana untuk kmi yg mbutuhkan</v>
      </c>
      <c r="C655" s="17" t="str">
        <f>IFERROR(__xludf.DUMMYFUNCTION("REGEXREPLACE(B655,$A$3, )"),"Apikasi nya eror terus tolong di pebaiki Agar kmi yg bisa cek ada ny dana untuk kmi yg mbutuhkan")</f>
        <v>Apikasi nya eror terus tolong di pebaiki Agar kmi yg bisa cek ada ny dana untuk kmi yg mbutuhkan</v>
      </c>
      <c r="D655" s="17" t="str">
        <f>IFERROR(__xludf.DUMMYFUNCTION("REGEXREPLACE(C655,$A$4, )"),"Apikasi nya eror terus tolong di pebaiki Agar kmi yg bisa cek ada ny dana untuk kmi yg mbutuhkan")</f>
        <v>Apikasi nya eror terus tolong di pebaiki Agar kmi yg bisa cek ada ny dana untuk kmi yg mbutuhkan</v>
      </c>
      <c r="E655" s="17" t="str">
        <f>IFERROR(__xludf.DUMMYFUNCTION("REGEXREPLACE(D655,$A$5, )"),"Apikasi nya eror terus tolong di pebaiki Agar kmi yg bisa cek ada ny dana untuk kmi yg mbutuhkan")</f>
        <v>Apikasi nya eror terus tolong di pebaiki Agar kmi yg bisa cek ada ny dana untuk kmi yg mbutuhkan</v>
      </c>
      <c r="F655" s="17" t="str">
        <f>IFERROR(__xludf.DUMMYFUNCTION("REGEXREPLACE(E655,$A$6, )"),"Apikasi nya eror terus tolong di pebaiki Agar kmi yg bisa cek ada ny dana untuk kmi yg mbutuhkan")</f>
        <v>Apikasi nya eror terus tolong di pebaiki Agar kmi yg bisa cek ada ny dana untuk kmi yg mbutuhkan</v>
      </c>
      <c r="G655" s="18" t="str">
        <f>IFERROR(__xludf.DUMMYFUNCTION("REGEXREPLACE(F655,$A$7, )"),"Apikasi nya eror terus tolong di pebaiki Agar kmi yg bisa cek ada ny dana untuk kmi yg mbutuhkan")</f>
        <v>Apikasi nya eror terus tolong di pebaiki Agar kmi yg bisa cek ada ny dana untuk kmi yg mbutuhkan</v>
      </c>
      <c r="H655" s="17" t="str">
        <f t="shared" si="1"/>
        <v>apikasi nya eror terus tolong di pebaiki agar kmi yg bisa cek ada ny dana untuk kmi yg mbutuhkan</v>
      </c>
    </row>
    <row r="656">
      <c r="A656" s="16" t="s">
        <v>651</v>
      </c>
      <c r="B656" s="17" t="str">
        <f>IFERROR(__xludf.DUMMYFUNCTION("REGEXREPLACE(A656,$A$2, )"),"Tolong dong, ini aplikasinya sedang error")</f>
        <v>Tolong dong, ini aplikasinya sedang error</v>
      </c>
      <c r="C656" s="17" t="str">
        <f>IFERROR(__xludf.DUMMYFUNCTION("REGEXREPLACE(B656,$A$3, )"),"Tolong dong, ini aplikasinya sedang error")</f>
        <v>Tolong dong, ini aplikasinya sedang error</v>
      </c>
      <c r="D656" s="17" t="str">
        <f>IFERROR(__xludf.DUMMYFUNCTION("REGEXREPLACE(C656,$A$4, )"),"Tolong dong, ini aplikasinya sedang error")</f>
        <v>Tolong dong, ini aplikasinya sedang error</v>
      </c>
      <c r="E656" s="17" t="str">
        <f>IFERROR(__xludf.DUMMYFUNCTION("REGEXREPLACE(D656,$A$5, )"),"Tolong dong, ini aplikasinya sedang error")</f>
        <v>Tolong dong, ini aplikasinya sedang error</v>
      </c>
      <c r="F656" s="17" t="str">
        <f>IFERROR(__xludf.DUMMYFUNCTION("REGEXREPLACE(E656,$A$6, )"),"Tolong dong ini aplikasinya sedang error")</f>
        <v>Tolong dong ini aplikasinya sedang error</v>
      </c>
      <c r="G656" s="18" t="str">
        <f>IFERROR(__xludf.DUMMYFUNCTION("REGEXREPLACE(F656,$A$7, )"),"Tolong dong ini aplikasinya sedang error")</f>
        <v>Tolong dong ini aplikasinya sedang error</v>
      </c>
      <c r="H656" s="17" t="str">
        <f t="shared" si="1"/>
        <v>tolong dong ini aplikasinya sedang error</v>
      </c>
    </row>
    <row r="657">
      <c r="A657" s="16" t="s">
        <v>652</v>
      </c>
      <c r="B657" s="17" t="str">
        <f>IFERROR(__xludf.DUMMYFUNCTION("REGEXREPLACE(A657,$A$2, )"),"Error mulu setiap mau login... 👎")</f>
        <v>Error mulu setiap mau login... 👎</v>
      </c>
      <c r="C657" s="17" t="str">
        <f>IFERROR(__xludf.DUMMYFUNCTION("REGEXREPLACE(B657,$A$3, )"),"Error mulu setiap mau login... 👎")</f>
        <v>Error mulu setiap mau login... 👎</v>
      </c>
      <c r="D657" s="17" t="str">
        <f>IFERROR(__xludf.DUMMYFUNCTION("REGEXREPLACE(C657,$A$4, )"),"Error mulu setiap mau login... 👎")</f>
        <v>Error mulu setiap mau login... 👎</v>
      </c>
      <c r="E657" s="17" t="str">
        <f>IFERROR(__xludf.DUMMYFUNCTION("REGEXREPLACE(D657,$A$5, )"),"Error mulu setiap mau login... 👎")</f>
        <v>Error mulu setiap mau login... 👎</v>
      </c>
      <c r="F657" s="17" t="str">
        <f>IFERROR(__xludf.DUMMYFUNCTION("REGEXREPLACE(E657,$A$6, )"),"Error mulu setiap mau login 👎")</f>
        <v>Error mulu setiap mau login 👎</v>
      </c>
      <c r="G657" s="18" t="str">
        <f>IFERROR(__xludf.DUMMYFUNCTION("REGEXREPLACE(F657,$A$7, )"),"Error mulu setiap mau login ")</f>
        <v>Error mulu setiap mau login </v>
      </c>
      <c r="H657" s="17" t="str">
        <f t="shared" si="1"/>
        <v>error mulu setiap mau login </v>
      </c>
    </row>
    <row r="658">
      <c r="A658" s="16" t="s">
        <v>653</v>
      </c>
      <c r="B658" s="17" t="str">
        <f>IFERROR(__xludf.DUMMYFUNCTION("REGEXREPLACE(A658,$A$2, )"),"Dana pemerintah triliunan rupiah tapi membuat aplikasi macam begini supaya bisa berjalan dengan lancar aja tidak becus??? Sungguh memalukan.")</f>
        <v>Dana pemerintah triliunan rupiah tapi membuat aplikasi macam begini supaya bisa berjalan dengan lancar aja tidak becus??? Sungguh memalukan.</v>
      </c>
      <c r="C658" s="17" t="str">
        <f>IFERROR(__xludf.DUMMYFUNCTION("REGEXREPLACE(B658,$A$3, )"),"Dana pemerintah triliunan rupiah tapi membuat aplikasi macam begini supaya bisa berjalan dengan lancar aja tidak becus??? Sungguh memalukan.")</f>
        <v>Dana pemerintah triliunan rupiah tapi membuat aplikasi macam begini supaya bisa berjalan dengan lancar aja tidak becus??? Sungguh memalukan.</v>
      </c>
      <c r="D658" s="17" t="str">
        <f>IFERROR(__xludf.DUMMYFUNCTION("REGEXREPLACE(C658,$A$4, )"),"Dana pemerintah triliunan rupiah tapi membuat aplikasi macam begini supaya bisa berjalan dengan lancar aja tidak becus??? Sungguh memalukan.")</f>
        <v>Dana pemerintah triliunan rupiah tapi membuat aplikasi macam begini supaya bisa berjalan dengan lancar aja tidak becus??? Sungguh memalukan.</v>
      </c>
      <c r="E658" s="17" t="str">
        <f>IFERROR(__xludf.DUMMYFUNCTION("REGEXREPLACE(D658,$A$5, )"),"Dana pemerintah triliunan rupiah tapi membuat aplikasi macam begini supaya bisa berjalan dengan lancar aja tidak becus??? Sungguh memalukan.")</f>
        <v>Dana pemerintah triliunan rupiah tapi membuat aplikasi macam begini supaya bisa berjalan dengan lancar aja tidak becus??? Sungguh memalukan.</v>
      </c>
      <c r="F658" s="17" t="str">
        <f>IFERROR(__xludf.DUMMYFUNCTION("REGEXREPLACE(E658,$A$6, )"),"Dana pemerintah triliunan rupiah tapi membuat aplikasi macam begini supaya bisa berjalan dengan lancar aja tidak becus Sungguh memalukan")</f>
        <v>Dana pemerintah triliunan rupiah tapi membuat aplikasi macam begini supaya bisa berjalan dengan lancar aja tidak becus Sungguh memalukan</v>
      </c>
      <c r="G658" s="18" t="str">
        <f>IFERROR(__xludf.DUMMYFUNCTION("REGEXREPLACE(F658,$A$7, )"),"Dana pemerintah triliunan rupiah tapi membuat aplikasi macam begini supaya bisa berjalan dengan lancar aja tidak becus Sungguh memalukan")</f>
        <v>Dana pemerintah triliunan rupiah tapi membuat aplikasi macam begini supaya bisa berjalan dengan lancar aja tidak becus Sungguh memalukan</v>
      </c>
      <c r="H658" s="17" t="str">
        <f t="shared" si="1"/>
        <v>dana pemerintah triliunan rupiah tapi membuat aplikasi macam begini supaya bisa berjalan dengan lancar aja tidak becus sungguh memalukan</v>
      </c>
    </row>
    <row r="659">
      <c r="B659" s="4"/>
    </row>
    <row r="660">
      <c r="B660" s="4"/>
    </row>
    <row r="661">
      <c r="B661" s="4"/>
    </row>
    <row r="662">
      <c r="B662" s="4"/>
    </row>
    <row r="663">
      <c r="B663" s="4"/>
    </row>
    <row r="664">
      <c r="B664" s="4"/>
    </row>
    <row r="665">
      <c r="B665" s="4"/>
    </row>
    <row r="666">
      <c r="B666" s="4"/>
    </row>
    <row r="667">
      <c r="B667" s="4"/>
    </row>
    <row r="668">
      <c r="B668" s="4"/>
    </row>
    <row r="669">
      <c r="B669" s="4"/>
    </row>
    <row r="670">
      <c r="B670" s="4"/>
    </row>
    <row r="671">
      <c r="B671" s="4"/>
    </row>
    <row r="672">
      <c r="B672" s="4"/>
    </row>
    <row r="673">
      <c r="B673" s="4"/>
    </row>
    <row r="674">
      <c r="B674" s="4"/>
    </row>
    <row r="675">
      <c r="B675" s="4"/>
    </row>
    <row r="676">
      <c r="B676" s="4"/>
    </row>
    <row r="677">
      <c r="B677" s="4"/>
    </row>
    <row r="678">
      <c r="B678" s="4"/>
    </row>
    <row r="679">
      <c r="B679" s="4"/>
    </row>
    <row r="680">
      <c r="B680" s="4"/>
    </row>
    <row r="681">
      <c r="B681" s="4"/>
    </row>
    <row r="682">
      <c r="B682" s="4"/>
    </row>
    <row r="683">
      <c r="B683" s="4"/>
    </row>
    <row r="684">
      <c r="B684" s="4"/>
    </row>
    <row r="685">
      <c r="B685" s="4"/>
    </row>
    <row r="686">
      <c r="B686" s="4"/>
    </row>
    <row r="687">
      <c r="B687" s="4"/>
    </row>
    <row r="688">
      <c r="B688" s="4"/>
    </row>
    <row r="689">
      <c r="B689" s="4"/>
    </row>
    <row r="690">
      <c r="B690" s="4"/>
    </row>
    <row r="691">
      <c r="B691" s="4"/>
    </row>
    <row r="692">
      <c r="B692" s="4"/>
    </row>
    <row r="693">
      <c r="B693" s="4"/>
    </row>
    <row r="694">
      <c r="B694" s="4"/>
    </row>
    <row r="695">
      <c r="B695" s="4"/>
    </row>
    <row r="696">
      <c r="B696" s="4"/>
    </row>
    <row r="697">
      <c r="B697" s="4"/>
    </row>
    <row r="698">
      <c r="B698" s="4"/>
    </row>
    <row r="699">
      <c r="B699" s="4"/>
    </row>
    <row r="700">
      <c r="B700" s="4"/>
    </row>
    <row r="701">
      <c r="B701" s="4"/>
    </row>
    <row r="702">
      <c r="B702" s="4"/>
    </row>
    <row r="703">
      <c r="B703" s="4"/>
    </row>
    <row r="704">
      <c r="B704" s="4"/>
    </row>
    <row r="705">
      <c r="B705" s="4"/>
    </row>
    <row r="706">
      <c r="B706" s="4"/>
    </row>
    <row r="707">
      <c r="B707" s="4"/>
    </row>
    <row r="708">
      <c r="B708" s="4"/>
    </row>
    <row r="709">
      <c r="B709" s="4"/>
    </row>
    <row r="710">
      <c r="B710" s="4"/>
    </row>
    <row r="711">
      <c r="B711" s="4"/>
    </row>
    <row r="712">
      <c r="B712" s="4"/>
    </row>
    <row r="713">
      <c r="B713" s="4"/>
    </row>
    <row r="714">
      <c r="B714" s="4"/>
    </row>
    <row r="715">
      <c r="B715" s="4"/>
    </row>
    <row r="716">
      <c r="B716" s="4"/>
    </row>
    <row r="717">
      <c r="B717" s="4"/>
    </row>
    <row r="718">
      <c r="B718" s="4"/>
    </row>
    <row r="719">
      <c r="B719" s="4"/>
    </row>
    <row r="720">
      <c r="B720" s="4"/>
    </row>
    <row r="721">
      <c r="B721" s="4"/>
    </row>
    <row r="722">
      <c r="B722" s="4"/>
    </row>
    <row r="723">
      <c r="B723" s="4"/>
    </row>
    <row r="724">
      <c r="B724" s="4"/>
    </row>
    <row r="725">
      <c r="B725" s="4"/>
    </row>
    <row r="726">
      <c r="B726" s="4"/>
    </row>
    <row r="727">
      <c r="B727" s="4"/>
    </row>
    <row r="728">
      <c r="B728" s="4"/>
    </row>
    <row r="729">
      <c r="B729" s="4"/>
    </row>
    <row r="730">
      <c r="B730" s="4"/>
    </row>
    <row r="731">
      <c r="B731" s="4"/>
    </row>
    <row r="732">
      <c r="B732" s="4"/>
    </row>
    <row r="733">
      <c r="B733" s="4"/>
    </row>
    <row r="734">
      <c r="B734" s="4"/>
    </row>
    <row r="735">
      <c r="B735" s="4"/>
    </row>
    <row r="736">
      <c r="B736" s="4"/>
    </row>
    <row r="737">
      <c r="B737" s="4"/>
    </row>
    <row r="738">
      <c r="B738" s="4"/>
    </row>
    <row r="739">
      <c r="B739" s="4"/>
    </row>
    <row r="740">
      <c r="B740" s="4"/>
    </row>
    <row r="741">
      <c r="B741" s="4"/>
    </row>
    <row r="742">
      <c r="B742" s="4"/>
    </row>
    <row r="743">
      <c r="B743" s="4"/>
    </row>
    <row r="744">
      <c r="B744" s="4"/>
    </row>
    <row r="745">
      <c r="B745" s="4"/>
    </row>
    <row r="746">
      <c r="B746" s="4"/>
    </row>
    <row r="747">
      <c r="B747" s="4"/>
    </row>
    <row r="748">
      <c r="B748" s="4"/>
    </row>
    <row r="749">
      <c r="B749" s="4"/>
    </row>
    <row r="750">
      <c r="B750" s="4"/>
    </row>
    <row r="751">
      <c r="B751" s="4"/>
    </row>
    <row r="752">
      <c r="B752" s="4"/>
    </row>
    <row r="753">
      <c r="B753" s="4"/>
    </row>
    <row r="754">
      <c r="B754" s="4"/>
    </row>
    <row r="755">
      <c r="B755" s="4"/>
    </row>
    <row r="756">
      <c r="B756" s="4"/>
    </row>
    <row r="757">
      <c r="B757" s="4"/>
    </row>
    <row r="758">
      <c r="B758" s="4"/>
    </row>
    <row r="759">
      <c r="B759" s="4"/>
    </row>
    <row r="760">
      <c r="B760" s="4"/>
    </row>
    <row r="761">
      <c r="B761" s="4"/>
    </row>
    <row r="762">
      <c r="B762" s="4"/>
    </row>
    <row r="763">
      <c r="B763" s="4"/>
    </row>
    <row r="764">
      <c r="B764" s="4"/>
    </row>
    <row r="765">
      <c r="B765" s="4"/>
    </row>
    <row r="766">
      <c r="B766" s="4"/>
    </row>
    <row r="767">
      <c r="B767" s="4"/>
    </row>
    <row r="768">
      <c r="B768" s="4"/>
    </row>
    <row r="769">
      <c r="B769" s="4"/>
    </row>
    <row r="770">
      <c r="B770" s="4"/>
    </row>
    <row r="771">
      <c r="B771" s="4"/>
    </row>
    <row r="772">
      <c r="B772" s="4"/>
    </row>
    <row r="773">
      <c r="B773" s="4"/>
    </row>
    <row r="774">
      <c r="B774" s="4"/>
    </row>
    <row r="775">
      <c r="B775" s="4"/>
    </row>
    <row r="776">
      <c r="B776" s="4"/>
    </row>
    <row r="777">
      <c r="B777" s="4"/>
    </row>
    <row r="778">
      <c r="B778" s="4"/>
    </row>
    <row r="779">
      <c r="B779" s="4"/>
    </row>
    <row r="780">
      <c r="B780" s="4"/>
    </row>
    <row r="781">
      <c r="B781" s="4"/>
    </row>
    <row r="782">
      <c r="B782" s="4"/>
    </row>
    <row r="783">
      <c r="B783" s="4"/>
    </row>
    <row r="784">
      <c r="B784" s="4"/>
    </row>
    <row r="785">
      <c r="B785" s="4"/>
    </row>
    <row r="786">
      <c r="B786" s="4"/>
    </row>
    <row r="787">
      <c r="B787" s="4"/>
    </row>
    <row r="788">
      <c r="B788" s="4"/>
    </row>
    <row r="789">
      <c r="B789" s="4"/>
    </row>
    <row r="790">
      <c r="B790" s="4"/>
    </row>
    <row r="791">
      <c r="B791" s="4"/>
    </row>
    <row r="792">
      <c r="B792" s="4"/>
    </row>
    <row r="793">
      <c r="B793" s="4"/>
    </row>
    <row r="794">
      <c r="B794" s="4"/>
    </row>
    <row r="795">
      <c r="B795" s="4"/>
    </row>
    <row r="796">
      <c r="B796" s="4"/>
    </row>
    <row r="797">
      <c r="B797" s="4"/>
    </row>
    <row r="798">
      <c r="B798" s="4"/>
    </row>
    <row r="799">
      <c r="B799" s="4"/>
    </row>
    <row r="800">
      <c r="B800" s="4"/>
    </row>
    <row r="801">
      <c r="B801" s="4"/>
    </row>
    <row r="802">
      <c r="B802" s="4"/>
    </row>
    <row r="803">
      <c r="B803" s="4"/>
    </row>
    <row r="804">
      <c r="B804" s="4"/>
    </row>
    <row r="805">
      <c r="B805" s="4"/>
    </row>
    <row r="806">
      <c r="B806" s="4"/>
    </row>
    <row r="807">
      <c r="B807" s="4"/>
    </row>
    <row r="808">
      <c r="B808" s="4"/>
    </row>
    <row r="809">
      <c r="B809" s="4"/>
    </row>
    <row r="810">
      <c r="B810" s="4"/>
    </row>
    <row r="811">
      <c r="B811" s="4"/>
    </row>
    <row r="812">
      <c r="B812" s="4"/>
    </row>
    <row r="813">
      <c r="B813" s="4"/>
    </row>
    <row r="814">
      <c r="B814" s="4"/>
    </row>
    <row r="815">
      <c r="B815" s="4"/>
    </row>
    <row r="816">
      <c r="B816" s="4"/>
    </row>
    <row r="817">
      <c r="B817" s="4"/>
    </row>
    <row r="818">
      <c r="B818" s="4"/>
    </row>
    <row r="819">
      <c r="B819" s="4"/>
    </row>
    <row r="820">
      <c r="B820" s="4"/>
    </row>
    <row r="821">
      <c r="B821" s="4"/>
    </row>
    <row r="822">
      <c r="B822" s="4"/>
    </row>
    <row r="823">
      <c r="B823" s="4"/>
    </row>
    <row r="824">
      <c r="B824" s="4"/>
    </row>
    <row r="825">
      <c r="B825" s="4"/>
    </row>
    <row r="826">
      <c r="B826" s="4"/>
    </row>
    <row r="827">
      <c r="B827" s="4"/>
    </row>
    <row r="828">
      <c r="B828" s="4"/>
    </row>
    <row r="829">
      <c r="B829" s="4"/>
    </row>
    <row r="830">
      <c r="B830" s="4"/>
    </row>
    <row r="831">
      <c r="B831" s="4"/>
    </row>
    <row r="832">
      <c r="B832" s="4"/>
    </row>
    <row r="833">
      <c r="B833" s="4"/>
    </row>
    <row r="834">
      <c r="B834" s="4"/>
    </row>
    <row r="835">
      <c r="B835" s="4"/>
    </row>
    <row r="836">
      <c r="B836" s="4"/>
    </row>
    <row r="837">
      <c r="B837" s="4"/>
    </row>
    <row r="838">
      <c r="B838" s="4"/>
    </row>
    <row r="839">
      <c r="B839" s="4"/>
    </row>
    <row r="840">
      <c r="B840" s="4"/>
    </row>
    <row r="841">
      <c r="B841" s="4"/>
    </row>
    <row r="842">
      <c r="B842" s="4"/>
    </row>
    <row r="843">
      <c r="B843" s="4"/>
    </row>
    <row r="844">
      <c r="B844" s="4"/>
    </row>
    <row r="845">
      <c r="B845" s="4"/>
    </row>
    <row r="846">
      <c r="B846" s="4"/>
    </row>
    <row r="847">
      <c r="B847" s="4"/>
    </row>
    <row r="848">
      <c r="B848" s="4"/>
    </row>
    <row r="849">
      <c r="B849" s="4"/>
    </row>
    <row r="850">
      <c r="B850" s="4"/>
    </row>
    <row r="851">
      <c r="B851" s="4"/>
    </row>
    <row r="852">
      <c r="B852" s="4"/>
    </row>
    <row r="853">
      <c r="B853" s="4"/>
    </row>
    <row r="854">
      <c r="B854" s="4"/>
    </row>
    <row r="855">
      <c r="B855" s="4"/>
    </row>
    <row r="856">
      <c r="B856" s="4"/>
    </row>
    <row r="857">
      <c r="B857" s="4"/>
    </row>
    <row r="858">
      <c r="B858" s="4"/>
    </row>
    <row r="859">
      <c r="B859" s="4"/>
    </row>
    <row r="860">
      <c r="B860" s="4"/>
    </row>
    <row r="861">
      <c r="B861" s="4"/>
    </row>
    <row r="862">
      <c r="B862" s="4"/>
    </row>
    <row r="863">
      <c r="B863" s="4"/>
    </row>
    <row r="864">
      <c r="B864" s="4"/>
    </row>
    <row r="865">
      <c r="B865" s="4"/>
    </row>
    <row r="866">
      <c r="B866" s="4"/>
    </row>
    <row r="867">
      <c r="B867" s="4"/>
    </row>
    <row r="868">
      <c r="B868" s="4"/>
    </row>
    <row r="869">
      <c r="B869" s="4"/>
    </row>
    <row r="870">
      <c r="B870" s="4"/>
    </row>
    <row r="871">
      <c r="B871" s="4"/>
    </row>
    <row r="872">
      <c r="B872" s="4"/>
    </row>
    <row r="873">
      <c r="B873" s="4"/>
    </row>
    <row r="874">
      <c r="B874" s="4"/>
    </row>
    <row r="875">
      <c r="B875" s="4"/>
    </row>
    <row r="876">
      <c r="B876" s="4"/>
    </row>
    <row r="877">
      <c r="B877" s="4"/>
    </row>
    <row r="878">
      <c r="B878" s="4"/>
    </row>
    <row r="879">
      <c r="B879" s="4"/>
    </row>
    <row r="880">
      <c r="B880" s="4"/>
    </row>
    <row r="881">
      <c r="B881" s="4"/>
    </row>
    <row r="882">
      <c r="B882" s="4"/>
    </row>
    <row r="883">
      <c r="B883" s="4"/>
    </row>
    <row r="884">
      <c r="B884" s="4"/>
    </row>
    <row r="885">
      <c r="B885" s="4"/>
    </row>
    <row r="886">
      <c r="B886" s="4"/>
    </row>
    <row r="887">
      <c r="B887" s="4"/>
    </row>
    <row r="888">
      <c r="B888" s="4"/>
    </row>
    <row r="889">
      <c r="B889" s="4"/>
    </row>
    <row r="890">
      <c r="B890" s="4"/>
    </row>
    <row r="891">
      <c r="B891" s="4"/>
    </row>
    <row r="892">
      <c r="B892" s="4"/>
    </row>
    <row r="893">
      <c r="B893" s="4"/>
    </row>
    <row r="894">
      <c r="B894" s="4"/>
    </row>
    <row r="895">
      <c r="B895" s="4"/>
    </row>
    <row r="896">
      <c r="B896" s="4"/>
    </row>
    <row r="897">
      <c r="B897" s="4"/>
    </row>
    <row r="898">
      <c r="B898" s="4"/>
    </row>
    <row r="899">
      <c r="B899" s="4"/>
    </row>
    <row r="900">
      <c r="B900" s="4"/>
    </row>
    <row r="901">
      <c r="B901" s="4"/>
    </row>
    <row r="902">
      <c r="B902" s="4"/>
    </row>
    <row r="903">
      <c r="B903" s="4"/>
    </row>
    <row r="904">
      <c r="B904" s="4"/>
    </row>
    <row r="905">
      <c r="B905" s="4"/>
    </row>
    <row r="906">
      <c r="B906" s="4"/>
    </row>
    <row r="907">
      <c r="B907" s="4"/>
    </row>
    <row r="908">
      <c r="B908" s="4"/>
    </row>
    <row r="909">
      <c r="B909" s="4"/>
    </row>
    <row r="910">
      <c r="B910" s="4"/>
    </row>
    <row r="911">
      <c r="B911" s="4"/>
    </row>
    <row r="912">
      <c r="B912" s="4"/>
    </row>
    <row r="913">
      <c r="B913" s="4"/>
    </row>
    <row r="914">
      <c r="B914" s="4"/>
    </row>
    <row r="915">
      <c r="B915" s="4"/>
    </row>
    <row r="916">
      <c r="B916" s="4"/>
    </row>
    <row r="917">
      <c r="B917" s="4"/>
    </row>
    <row r="918">
      <c r="B918" s="4"/>
    </row>
    <row r="919">
      <c r="B919" s="4"/>
    </row>
    <row r="920">
      <c r="B920" s="4"/>
    </row>
    <row r="921">
      <c r="B921" s="4"/>
    </row>
    <row r="922">
      <c r="B922" s="4"/>
    </row>
    <row r="923">
      <c r="B923" s="4"/>
    </row>
    <row r="924">
      <c r="B924" s="4"/>
    </row>
    <row r="925">
      <c r="B925" s="4"/>
    </row>
    <row r="926">
      <c r="B926" s="4"/>
    </row>
    <row r="927">
      <c r="B927" s="4"/>
    </row>
    <row r="928">
      <c r="B928" s="4"/>
    </row>
    <row r="929">
      <c r="B929" s="4"/>
    </row>
    <row r="930">
      <c r="B930" s="4"/>
    </row>
    <row r="931">
      <c r="B931" s="4"/>
    </row>
    <row r="932">
      <c r="B932" s="4"/>
    </row>
    <row r="933">
      <c r="B933" s="4"/>
    </row>
    <row r="934">
      <c r="B934" s="4"/>
    </row>
    <row r="935">
      <c r="B935" s="4"/>
    </row>
    <row r="936">
      <c r="B936" s="4"/>
    </row>
    <row r="937">
      <c r="B937" s="4"/>
    </row>
    <row r="938">
      <c r="B938" s="4"/>
    </row>
    <row r="939">
      <c r="B939" s="4"/>
    </row>
    <row r="940">
      <c r="B940" s="4"/>
    </row>
    <row r="941">
      <c r="B941" s="4"/>
    </row>
    <row r="942">
      <c r="B942" s="4"/>
    </row>
    <row r="943">
      <c r="B943" s="4"/>
    </row>
    <row r="944">
      <c r="B944" s="4"/>
    </row>
    <row r="945">
      <c r="B945" s="4"/>
    </row>
    <row r="946">
      <c r="B946" s="4"/>
    </row>
    <row r="947">
      <c r="B947" s="4"/>
    </row>
    <row r="948">
      <c r="B948" s="4"/>
    </row>
    <row r="949">
      <c r="B949" s="4"/>
    </row>
    <row r="950">
      <c r="B950" s="4"/>
    </row>
    <row r="951">
      <c r="B951" s="4"/>
    </row>
    <row r="952">
      <c r="B952" s="4"/>
    </row>
    <row r="953">
      <c r="B953" s="4"/>
    </row>
    <row r="954">
      <c r="B954" s="4"/>
    </row>
    <row r="955">
      <c r="B955" s="4"/>
    </row>
    <row r="956">
      <c r="B956" s="4"/>
    </row>
    <row r="957">
      <c r="B957" s="4"/>
    </row>
    <row r="958">
      <c r="B958" s="4"/>
    </row>
    <row r="959">
      <c r="B959" s="4"/>
    </row>
    <row r="960">
      <c r="B960" s="4"/>
    </row>
    <row r="961">
      <c r="B961" s="4"/>
    </row>
    <row r="962">
      <c r="B962" s="4"/>
    </row>
    <row r="963">
      <c r="B963" s="4"/>
    </row>
    <row r="964">
      <c r="B964" s="4"/>
    </row>
    <row r="965">
      <c r="B965" s="4"/>
    </row>
    <row r="966">
      <c r="B966" s="4"/>
    </row>
    <row r="967">
      <c r="B967" s="4"/>
    </row>
    <row r="968">
      <c r="B968" s="4"/>
    </row>
    <row r="969">
      <c r="B969" s="4"/>
    </row>
    <row r="970">
      <c r="B970" s="4"/>
    </row>
    <row r="971">
      <c r="B971" s="4"/>
    </row>
    <row r="972">
      <c r="B972" s="4"/>
    </row>
    <row r="973">
      <c r="B973" s="4"/>
    </row>
    <row r="974">
      <c r="B974" s="4"/>
    </row>
    <row r="975">
      <c r="B975" s="4"/>
    </row>
    <row r="976">
      <c r="B976" s="4"/>
    </row>
    <row r="977">
      <c r="B977" s="4"/>
    </row>
    <row r="978">
      <c r="B978" s="4"/>
    </row>
    <row r="979">
      <c r="B979" s="4"/>
    </row>
    <row r="980">
      <c r="B980" s="4"/>
    </row>
    <row r="981">
      <c r="B981" s="4"/>
    </row>
    <row r="982">
      <c r="B982" s="4"/>
    </row>
    <row r="983">
      <c r="B983" s="4"/>
    </row>
    <row r="984">
      <c r="B984" s="4"/>
    </row>
    <row r="985">
      <c r="B985" s="4"/>
    </row>
    <row r="986">
      <c r="B986" s="4"/>
    </row>
    <row r="987">
      <c r="B987" s="4"/>
    </row>
    <row r="988">
      <c r="B988" s="4"/>
    </row>
    <row r="989">
      <c r="B989" s="4"/>
    </row>
    <row r="990">
      <c r="B990" s="4"/>
    </row>
    <row r="991">
      <c r="B991" s="4"/>
    </row>
    <row r="992">
      <c r="B992" s="4"/>
    </row>
    <row r="993">
      <c r="B993" s="4"/>
    </row>
    <row r="994">
      <c r="B994" s="4"/>
    </row>
    <row r="995">
      <c r="B995" s="4"/>
    </row>
    <row r="996">
      <c r="B996" s="4"/>
    </row>
    <row r="997">
      <c r="B997" s="4"/>
    </row>
    <row r="998">
      <c r="B998" s="4"/>
    </row>
    <row r="999">
      <c r="B999" s="4"/>
    </row>
    <row r="1000">
      <c r="B1000" s="4"/>
    </row>
    <row r="1001">
      <c r="B1001"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668</v>
      </c>
    </row>
    <row r="2">
      <c r="A2" s="19" t="s">
        <v>669</v>
      </c>
    </row>
    <row r="3">
      <c r="A3" s="19" t="s">
        <v>670</v>
      </c>
    </row>
    <row r="4">
      <c r="A4" s="19" t="s">
        <v>671</v>
      </c>
    </row>
    <row r="5">
      <c r="A5" s="19" t="s">
        <v>672</v>
      </c>
    </row>
    <row r="6">
      <c r="A6" s="19" t="s">
        <v>673</v>
      </c>
    </row>
    <row r="7">
      <c r="A7" s="19" t="s">
        <v>674</v>
      </c>
    </row>
    <row r="8">
      <c r="A8" s="19" t="s">
        <v>675</v>
      </c>
    </row>
    <row r="9">
      <c r="A9" s="19" t="s">
        <v>676</v>
      </c>
    </row>
    <row r="10">
      <c r="A10" s="19" t="s">
        <v>677</v>
      </c>
    </row>
    <row r="11">
      <c r="A11" s="19" t="s">
        <v>678</v>
      </c>
    </row>
    <row r="12">
      <c r="A12" s="19" t="s">
        <v>679</v>
      </c>
    </row>
    <row r="13">
      <c r="A13" s="19" t="s">
        <v>680</v>
      </c>
    </row>
    <row r="14">
      <c r="A14" s="19" t="s">
        <v>681</v>
      </c>
    </row>
    <row r="15">
      <c r="A15" s="19" t="s">
        <v>682</v>
      </c>
    </row>
    <row r="16">
      <c r="A16" s="19" t="s">
        <v>683</v>
      </c>
    </row>
    <row r="17">
      <c r="A17" s="19" t="s">
        <v>684</v>
      </c>
    </row>
    <row r="18">
      <c r="A18" s="19" t="s">
        <v>685</v>
      </c>
    </row>
    <row r="19">
      <c r="A19" s="19" t="s">
        <v>686</v>
      </c>
    </row>
    <row r="20">
      <c r="A20" s="19" t="s">
        <v>687</v>
      </c>
    </row>
    <row r="21">
      <c r="A21" s="19" t="s">
        <v>688</v>
      </c>
    </row>
    <row r="22">
      <c r="A22" s="19" t="s">
        <v>689</v>
      </c>
    </row>
    <row r="23">
      <c r="A23" s="19" t="s">
        <v>690</v>
      </c>
    </row>
    <row r="24">
      <c r="A24" s="19" t="s">
        <v>691</v>
      </c>
    </row>
    <row r="25">
      <c r="A25" s="19" t="s">
        <v>692</v>
      </c>
    </row>
    <row r="26">
      <c r="A26" s="19" t="s">
        <v>693</v>
      </c>
    </row>
    <row r="27">
      <c r="A27" s="19" t="s">
        <v>694</v>
      </c>
    </row>
    <row r="28">
      <c r="A28" s="19" t="s">
        <v>695</v>
      </c>
    </row>
    <row r="29">
      <c r="A29" s="19" t="s">
        <v>696</v>
      </c>
    </row>
    <row r="30">
      <c r="A30" s="19" t="s">
        <v>697</v>
      </c>
    </row>
    <row r="31">
      <c r="A31" s="19" t="s">
        <v>698</v>
      </c>
    </row>
    <row r="32">
      <c r="A32" s="19" t="s">
        <v>699</v>
      </c>
    </row>
    <row r="33">
      <c r="A33" s="19" t="s">
        <v>700</v>
      </c>
    </row>
    <row r="34">
      <c r="A34" s="19" t="s">
        <v>701</v>
      </c>
    </row>
    <row r="35">
      <c r="A35" s="19" t="s">
        <v>702</v>
      </c>
    </row>
    <row r="36">
      <c r="A36" s="19" t="s">
        <v>703</v>
      </c>
    </row>
    <row r="37">
      <c r="A37" s="19" t="s">
        <v>704</v>
      </c>
    </row>
    <row r="38">
      <c r="A38" s="19" t="s">
        <v>705</v>
      </c>
    </row>
    <row r="39">
      <c r="A39" s="19" t="s">
        <v>706</v>
      </c>
    </row>
    <row r="40">
      <c r="A40" s="19" t="s">
        <v>707</v>
      </c>
    </row>
    <row r="41">
      <c r="A41" s="19" t="s">
        <v>708</v>
      </c>
    </row>
    <row r="42">
      <c r="A42" s="19" t="s">
        <v>709</v>
      </c>
    </row>
    <row r="43">
      <c r="A43" s="19" t="s">
        <v>710</v>
      </c>
    </row>
    <row r="44">
      <c r="A44" s="19" t="s">
        <v>711</v>
      </c>
    </row>
    <row r="45">
      <c r="A45" s="19" t="s">
        <v>712</v>
      </c>
    </row>
    <row r="46">
      <c r="A46" s="19" t="s">
        <v>713</v>
      </c>
    </row>
    <row r="47">
      <c r="A47" s="19" t="s">
        <v>714</v>
      </c>
    </row>
    <row r="48">
      <c r="A48" s="19" t="s">
        <v>715</v>
      </c>
    </row>
    <row r="49">
      <c r="A49" s="19" t="s">
        <v>716</v>
      </c>
    </row>
    <row r="50">
      <c r="A50" s="19" t="s">
        <v>717</v>
      </c>
    </row>
    <row r="51">
      <c r="A51" s="19" t="s">
        <v>718</v>
      </c>
    </row>
    <row r="52">
      <c r="A52" s="19" t="s">
        <v>719</v>
      </c>
    </row>
    <row r="53">
      <c r="A53" s="19" t="s">
        <v>720</v>
      </c>
    </row>
    <row r="54">
      <c r="A54" s="19" t="s">
        <v>721</v>
      </c>
    </row>
    <row r="55">
      <c r="A55" s="19" t="s">
        <v>722</v>
      </c>
    </row>
    <row r="56">
      <c r="A56" s="19" t="s">
        <v>723</v>
      </c>
    </row>
    <row r="57">
      <c r="A57" s="19" t="s">
        <v>724</v>
      </c>
    </row>
    <row r="58">
      <c r="A58" s="19" t="s">
        <v>725</v>
      </c>
    </row>
    <row r="59">
      <c r="A59" s="19" t="s">
        <v>726</v>
      </c>
    </row>
    <row r="60">
      <c r="A60" s="19" t="s">
        <v>727</v>
      </c>
    </row>
    <row r="61">
      <c r="A61" s="19" t="s">
        <v>728</v>
      </c>
    </row>
    <row r="62">
      <c r="A62" s="19" t="s">
        <v>729</v>
      </c>
    </row>
    <row r="63">
      <c r="A63" s="19" t="s">
        <v>730</v>
      </c>
    </row>
    <row r="64">
      <c r="A64" s="19" t="s">
        <v>731</v>
      </c>
    </row>
    <row r="65">
      <c r="A65" s="19" t="s">
        <v>732</v>
      </c>
    </row>
    <row r="66">
      <c r="A66" s="19" t="s">
        <v>733</v>
      </c>
    </row>
    <row r="67">
      <c r="A67" s="19" t="s">
        <v>734</v>
      </c>
    </row>
    <row r="68">
      <c r="A68" s="19" t="s">
        <v>735</v>
      </c>
    </row>
    <row r="69">
      <c r="A69" s="19" t="s">
        <v>736</v>
      </c>
    </row>
    <row r="70">
      <c r="A70" s="19" t="s">
        <v>737</v>
      </c>
    </row>
    <row r="71">
      <c r="A71" s="19" t="s">
        <v>738</v>
      </c>
    </row>
    <row r="72">
      <c r="A72" s="19" t="s">
        <v>739</v>
      </c>
    </row>
    <row r="73">
      <c r="A73" s="19" t="s">
        <v>740</v>
      </c>
    </row>
    <row r="74">
      <c r="A74" s="19" t="s">
        <v>741</v>
      </c>
    </row>
    <row r="75">
      <c r="A75" s="19" t="s">
        <v>742</v>
      </c>
    </row>
    <row r="76">
      <c r="A76" s="19" t="s">
        <v>743</v>
      </c>
    </row>
    <row r="77">
      <c r="A77" s="19" t="s">
        <v>744</v>
      </c>
    </row>
    <row r="78">
      <c r="A78" s="19" t="s">
        <v>745</v>
      </c>
    </row>
    <row r="79">
      <c r="A79" s="19" t="s">
        <v>746</v>
      </c>
    </row>
    <row r="80">
      <c r="A80" s="19" t="s">
        <v>747</v>
      </c>
    </row>
    <row r="81">
      <c r="A81" s="19" t="s">
        <v>748</v>
      </c>
    </row>
    <row r="82">
      <c r="A82" s="19" t="s">
        <v>749</v>
      </c>
    </row>
    <row r="83">
      <c r="A83" s="19" t="s">
        <v>750</v>
      </c>
    </row>
    <row r="84">
      <c r="A84" s="19" t="s">
        <v>751</v>
      </c>
    </row>
    <row r="85">
      <c r="A85" s="19" t="s">
        <v>752</v>
      </c>
    </row>
    <row r="86">
      <c r="A86" s="19" t="s">
        <v>753</v>
      </c>
    </row>
    <row r="87">
      <c r="A87" s="19" t="s">
        <v>754</v>
      </c>
    </row>
    <row r="88">
      <c r="A88" s="19" t="s">
        <v>755</v>
      </c>
    </row>
    <row r="89">
      <c r="A89" s="19" t="s">
        <v>756</v>
      </c>
    </row>
    <row r="90">
      <c r="A90" s="19" t="s">
        <v>757</v>
      </c>
    </row>
    <row r="91">
      <c r="A91" s="19" t="s">
        <v>758</v>
      </c>
    </row>
    <row r="92">
      <c r="A92" s="19" t="s">
        <v>759</v>
      </c>
    </row>
    <row r="93">
      <c r="A93" s="19" t="s">
        <v>760</v>
      </c>
    </row>
    <row r="94">
      <c r="A94" s="19" t="s">
        <v>761</v>
      </c>
    </row>
    <row r="95">
      <c r="A95" s="19" t="s">
        <v>762</v>
      </c>
    </row>
    <row r="96">
      <c r="A96" s="19" t="s">
        <v>763</v>
      </c>
    </row>
    <row r="97">
      <c r="A97" s="19" t="s">
        <v>764</v>
      </c>
    </row>
    <row r="98">
      <c r="A98" s="19" t="s">
        <v>765</v>
      </c>
    </row>
    <row r="99">
      <c r="A99" s="19" t="s">
        <v>766</v>
      </c>
    </row>
    <row r="100">
      <c r="A100" s="19" t="s">
        <v>767</v>
      </c>
    </row>
    <row r="101">
      <c r="A101" s="19" t="s">
        <v>768</v>
      </c>
    </row>
    <row r="102">
      <c r="A102" s="19" t="s">
        <v>769</v>
      </c>
    </row>
    <row r="103">
      <c r="A103" s="19" t="s">
        <v>770</v>
      </c>
    </row>
    <row r="104">
      <c r="A104" s="19" t="s">
        <v>771</v>
      </c>
    </row>
    <row r="105">
      <c r="A105" s="19" t="s">
        <v>772</v>
      </c>
    </row>
    <row r="106">
      <c r="A106" s="19" t="s">
        <v>773</v>
      </c>
    </row>
    <row r="107">
      <c r="A107" s="19" t="s">
        <v>774</v>
      </c>
    </row>
    <row r="108">
      <c r="A108" s="19" t="s">
        <v>775</v>
      </c>
    </row>
    <row r="109">
      <c r="A109" s="19" t="s">
        <v>776</v>
      </c>
    </row>
    <row r="110">
      <c r="A110" s="19" t="s">
        <v>777</v>
      </c>
    </row>
    <row r="111">
      <c r="A111" s="19" t="s">
        <v>778</v>
      </c>
    </row>
    <row r="112">
      <c r="A112" s="19" t="s">
        <v>779</v>
      </c>
    </row>
    <row r="113">
      <c r="A113" s="19" t="s">
        <v>780</v>
      </c>
    </row>
    <row r="114">
      <c r="A114" s="19" t="s">
        <v>781</v>
      </c>
    </row>
    <row r="115">
      <c r="A115" s="19" t="s">
        <v>782</v>
      </c>
    </row>
    <row r="116">
      <c r="A116" s="19" t="s">
        <v>783</v>
      </c>
    </row>
    <row r="117">
      <c r="A117" s="19" t="s">
        <v>784</v>
      </c>
    </row>
    <row r="118">
      <c r="A118" s="19" t="s">
        <v>785</v>
      </c>
    </row>
    <row r="119">
      <c r="A119" s="19" t="s">
        <v>786</v>
      </c>
    </row>
    <row r="120">
      <c r="A120" s="19" t="s">
        <v>787</v>
      </c>
    </row>
    <row r="121">
      <c r="A121" s="19" t="s">
        <v>788</v>
      </c>
    </row>
    <row r="122">
      <c r="A122" s="19" t="s">
        <v>789</v>
      </c>
    </row>
    <row r="123">
      <c r="A123" s="19" t="s">
        <v>790</v>
      </c>
    </row>
    <row r="124">
      <c r="A124" s="19" t="s">
        <v>791</v>
      </c>
    </row>
    <row r="125">
      <c r="A125" s="19" t="s">
        <v>792</v>
      </c>
    </row>
    <row r="126">
      <c r="A126" s="19" t="s">
        <v>793</v>
      </c>
    </row>
    <row r="127">
      <c r="A127" s="19" t="s">
        <v>794</v>
      </c>
    </row>
    <row r="128">
      <c r="A128" s="19" t="s">
        <v>795</v>
      </c>
    </row>
    <row r="129">
      <c r="A129" s="19" t="s">
        <v>796</v>
      </c>
    </row>
    <row r="130">
      <c r="A130" s="19" t="s">
        <v>797</v>
      </c>
    </row>
    <row r="131">
      <c r="A131" s="19" t="s">
        <v>798</v>
      </c>
    </row>
    <row r="132">
      <c r="A132" s="19" t="s">
        <v>799</v>
      </c>
    </row>
    <row r="133">
      <c r="A133" s="19" t="s">
        <v>800</v>
      </c>
    </row>
    <row r="134">
      <c r="A134" s="19" t="s">
        <v>801</v>
      </c>
    </row>
    <row r="135">
      <c r="A135" s="19" t="s">
        <v>802</v>
      </c>
    </row>
    <row r="136">
      <c r="A136" s="19" t="s">
        <v>803</v>
      </c>
    </row>
    <row r="137">
      <c r="A137" s="19" t="s">
        <v>804</v>
      </c>
    </row>
    <row r="138">
      <c r="A138" s="19" t="s">
        <v>805</v>
      </c>
    </row>
    <row r="139">
      <c r="A139" s="19" t="s">
        <v>806</v>
      </c>
    </row>
    <row r="140">
      <c r="A140" s="19" t="s">
        <v>807</v>
      </c>
    </row>
    <row r="141">
      <c r="A141" s="19" t="s">
        <v>808</v>
      </c>
    </row>
    <row r="142">
      <c r="A142" s="19" t="s">
        <v>809</v>
      </c>
    </row>
    <row r="143">
      <c r="A143" s="19" t="s">
        <v>810</v>
      </c>
    </row>
    <row r="144">
      <c r="A144" s="19" t="s">
        <v>811</v>
      </c>
    </row>
    <row r="145">
      <c r="A145" s="19" t="s">
        <v>812</v>
      </c>
    </row>
    <row r="146">
      <c r="A146" s="19" t="s">
        <v>813</v>
      </c>
    </row>
    <row r="147">
      <c r="A147" s="19" t="s">
        <v>814</v>
      </c>
    </row>
    <row r="148">
      <c r="A148" s="19" t="s">
        <v>815</v>
      </c>
    </row>
    <row r="149">
      <c r="A149" s="19" t="s">
        <v>816</v>
      </c>
    </row>
    <row r="150">
      <c r="A150" s="19" t="s">
        <v>817</v>
      </c>
    </row>
    <row r="151">
      <c r="A151" s="19" t="s">
        <v>818</v>
      </c>
    </row>
    <row r="152">
      <c r="A152" s="19" t="s">
        <v>819</v>
      </c>
    </row>
    <row r="153">
      <c r="A153" s="19" t="s">
        <v>820</v>
      </c>
    </row>
    <row r="154">
      <c r="A154" s="19" t="s">
        <v>821</v>
      </c>
    </row>
    <row r="155">
      <c r="A155" s="19" t="s">
        <v>822</v>
      </c>
    </row>
    <row r="156">
      <c r="A156" s="19" t="s">
        <v>823</v>
      </c>
    </row>
    <row r="157">
      <c r="A157" s="19" t="s">
        <v>824</v>
      </c>
    </row>
    <row r="158">
      <c r="A158" s="19" t="s">
        <v>825</v>
      </c>
    </row>
    <row r="159">
      <c r="A159" s="19" t="s">
        <v>826</v>
      </c>
    </row>
    <row r="160">
      <c r="A160" s="19" t="s">
        <v>827</v>
      </c>
    </row>
    <row r="161">
      <c r="A161" s="19" t="s">
        <v>828</v>
      </c>
    </row>
    <row r="162">
      <c r="A162" s="19" t="s">
        <v>829</v>
      </c>
    </row>
    <row r="163">
      <c r="A163" s="19" t="s">
        <v>830</v>
      </c>
    </row>
    <row r="164">
      <c r="A164" s="19" t="s">
        <v>831</v>
      </c>
    </row>
    <row r="165">
      <c r="A165" s="19" t="s">
        <v>832</v>
      </c>
    </row>
    <row r="166">
      <c r="A166" s="19" t="s">
        <v>833</v>
      </c>
    </row>
    <row r="167">
      <c r="A167" s="19" t="s">
        <v>834</v>
      </c>
    </row>
    <row r="168">
      <c r="A168" s="19" t="s">
        <v>835</v>
      </c>
    </row>
    <row r="169">
      <c r="A169" s="19" t="s">
        <v>836</v>
      </c>
    </row>
    <row r="170">
      <c r="A170" s="19" t="s">
        <v>837</v>
      </c>
    </row>
    <row r="171">
      <c r="A171" s="19" t="s">
        <v>838</v>
      </c>
    </row>
    <row r="172">
      <c r="A172" s="19" t="s">
        <v>839</v>
      </c>
    </row>
    <row r="173">
      <c r="A173" s="19" t="s">
        <v>840</v>
      </c>
    </row>
    <row r="174">
      <c r="A174" s="19" t="s">
        <v>841</v>
      </c>
    </row>
    <row r="175">
      <c r="A175" s="19" t="s">
        <v>842</v>
      </c>
    </row>
    <row r="176">
      <c r="A176" s="19" t="s">
        <v>843</v>
      </c>
    </row>
    <row r="177">
      <c r="A177" s="19" t="s">
        <v>844</v>
      </c>
    </row>
    <row r="178">
      <c r="A178" s="19" t="s">
        <v>845</v>
      </c>
    </row>
    <row r="179">
      <c r="A179" s="19" t="s">
        <v>846</v>
      </c>
    </row>
    <row r="180">
      <c r="A180" s="19" t="s">
        <v>847</v>
      </c>
    </row>
    <row r="181">
      <c r="A181" s="19" t="s">
        <v>848</v>
      </c>
    </row>
    <row r="182">
      <c r="A182" s="19" t="s">
        <v>849</v>
      </c>
    </row>
    <row r="183">
      <c r="A183" s="19" t="s">
        <v>850</v>
      </c>
    </row>
    <row r="184">
      <c r="A184" s="19" t="s">
        <v>851</v>
      </c>
    </row>
    <row r="185">
      <c r="A185" s="19" t="s">
        <v>852</v>
      </c>
    </row>
    <row r="186">
      <c r="A186" s="19" t="s">
        <v>853</v>
      </c>
    </row>
    <row r="187">
      <c r="A187" s="19" t="s">
        <v>854</v>
      </c>
    </row>
    <row r="188">
      <c r="A188" s="19" t="s">
        <v>855</v>
      </c>
    </row>
    <row r="189">
      <c r="A189" s="19" t="s">
        <v>856</v>
      </c>
    </row>
    <row r="190">
      <c r="A190" s="19" t="s">
        <v>857</v>
      </c>
    </row>
    <row r="191">
      <c r="A191" s="19" t="s">
        <v>858</v>
      </c>
    </row>
    <row r="192">
      <c r="A192" s="19" t="s">
        <v>859</v>
      </c>
    </row>
    <row r="193">
      <c r="A193" s="19" t="s">
        <v>860</v>
      </c>
    </row>
    <row r="194">
      <c r="A194" s="19" t="s">
        <v>861</v>
      </c>
    </row>
    <row r="195">
      <c r="A195" s="19" t="s">
        <v>862</v>
      </c>
    </row>
    <row r="196">
      <c r="A196" s="19" t="s">
        <v>863</v>
      </c>
    </row>
    <row r="197">
      <c r="A197" s="19" t="s">
        <v>864</v>
      </c>
    </row>
    <row r="198">
      <c r="A198" s="19" t="s">
        <v>865</v>
      </c>
    </row>
    <row r="199">
      <c r="A199" s="19" t="s">
        <v>866</v>
      </c>
    </row>
    <row r="200">
      <c r="A200" s="19" t="s">
        <v>867</v>
      </c>
    </row>
    <row r="201">
      <c r="A201" s="19" t="s">
        <v>868</v>
      </c>
    </row>
    <row r="202">
      <c r="A202" s="19" t="s">
        <v>869</v>
      </c>
    </row>
    <row r="203">
      <c r="A203" s="19" t="s">
        <v>870</v>
      </c>
    </row>
    <row r="204">
      <c r="A204" s="19" t="s">
        <v>871</v>
      </c>
    </row>
    <row r="205">
      <c r="A205" s="19" t="s">
        <v>872</v>
      </c>
    </row>
    <row r="206">
      <c r="A206" s="19" t="s">
        <v>873</v>
      </c>
    </row>
    <row r="207">
      <c r="A207" s="19" t="s">
        <v>874</v>
      </c>
    </row>
    <row r="208">
      <c r="A208" s="19" t="s">
        <v>875</v>
      </c>
    </row>
    <row r="209">
      <c r="A209" s="19" t="s">
        <v>876</v>
      </c>
    </row>
    <row r="210">
      <c r="A210" s="19" t="s">
        <v>877</v>
      </c>
    </row>
    <row r="211">
      <c r="A211" s="19" t="s">
        <v>878</v>
      </c>
    </row>
    <row r="212">
      <c r="A212" s="19" t="s">
        <v>879</v>
      </c>
    </row>
    <row r="213">
      <c r="A213" s="19" t="s">
        <v>880</v>
      </c>
    </row>
    <row r="214">
      <c r="A214" s="19" t="s">
        <v>881</v>
      </c>
    </row>
    <row r="215">
      <c r="A215" s="19" t="s">
        <v>882</v>
      </c>
    </row>
    <row r="216">
      <c r="A216" s="19" t="s">
        <v>883</v>
      </c>
    </row>
    <row r="217">
      <c r="A217" s="19" t="s">
        <v>884</v>
      </c>
    </row>
    <row r="218">
      <c r="A218" s="19" t="s">
        <v>885</v>
      </c>
    </row>
    <row r="219">
      <c r="A219" s="19" t="s">
        <v>886</v>
      </c>
    </row>
    <row r="220">
      <c r="A220" s="19" t="s">
        <v>887</v>
      </c>
    </row>
    <row r="221">
      <c r="A221" s="19" t="s">
        <v>888</v>
      </c>
    </row>
    <row r="222">
      <c r="A222" s="19" t="s">
        <v>889</v>
      </c>
    </row>
    <row r="223">
      <c r="A223" s="19" t="s">
        <v>890</v>
      </c>
    </row>
    <row r="224">
      <c r="A224" s="19" t="s">
        <v>891</v>
      </c>
    </row>
    <row r="225">
      <c r="A225" s="19" t="s">
        <v>892</v>
      </c>
    </row>
    <row r="226">
      <c r="A226" s="19" t="s">
        <v>893</v>
      </c>
    </row>
    <row r="227">
      <c r="A227" s="19" t="s">
        <v>894</v>
      </c>
    </row>
    <row r="228">
      <c r="A228" s="19" t="s">
        <v>895</v>
      </c>
    </row>
    <row r="229">
      <c r="A229" s="19" t="s">
        <v>896</v>
      </c>
    </row>
    <row r="230">
      <c r="A230" s="19" t="s">
        <v>897</v>
      </c>
    </row>
    <row r="231">
      <c r="A231" s="19" t="s">
        <v>898</v>
      </c>
    </row>
    <row r="232">
      <c r="A232" s="19" t="s">
        <v>899</v>
      </c>
    </row>
    <row r="233">
      <c r="A233" s="19" t="s">
        <v>900</v>
      </c>
    </row>
    <row r="234">
      <c r="A234" s="19" t="s">
        <v>901</v>
      </c>
    </row>
    <row r="235">
      <c r="A235" s="19" t="s">
        <v>902</v>
      </c>
    </row>
    <row r="236">
      <c r="A236" s="19" t="s">
        <v>903</v>
      </c>
    </row>
    <row r="237">
      <c r="A237" s="19" t="s">
        <v>904</v>
      </c>
    </row>
    <row r="238">
      <c r="A238" s="19" t="s">
        <v>905</v>
      </c>
    </row>
    <row r="239">
      <c r="A239" s="19" t="s">
        <v>906</v>
      </c>
    </row>
    <row r="240">
      <c r="A240" s="19" t="s">
        <v>907</v>
      </c>
    </row>
    <row r="241">
      <c r="A241" s="19" t="s">
        <v>908</v>
      </c>
    </row>
    <row r="242">
      <c r="A242" s="19" t="s">
        <v>909</v>
      </c>
    </row>
    <row r="243">
      <c r="A243" s="19" t="s">
        <v>910</v>
      </c>
    </row>
    <row r="244">
      <c r="A244" s="19" t="s">
        <v>911</v>
      </c>
    </row>
    <row r="245">
      <c r="A245" s="19" t="s">
        <v>912</v>
      </c>
    </row>
    <row r="246">
      <c r="A246" s="19" t="s">
        <v>913</v>
      </c>
    </row>
    <row r="247">
      <c r="A247" s="19" t="s">
        <v>914</v>
      </c>
    </row>
    <row r="248">
      <c r="A248" s="19" t="s">
        <v>915</v>
      </c>
    </row>
    <row r="249">
      <c r="A249" s="19" t="s">
        <v>916</v>
      </c>
    </row>
    <row r="250">
      <c r="A250" s="19" t="s">
        <v>917</v>
      </c>
    </row>
    <row r="251">
      <c r="A251" s="19" t="s">
        <v>918</v>
      </c>
    </row>
    <row r="252">
      <c r="A252" s="19" t="s">
        <v>919</v>
      </c>
    </row>
    <row r="253">
      <c r="A253" s="19" t="s">
        <v>920</v>
      </c>
    </row>
    <row r="254">
      <c r="A254" s="19" t="s">
        <v>921</v>
      </c>
    </row>
    <row r="255">
      <c r="A255" s="19" t="s">
        <v>922</v>
      </c>
    </row>
    <row r="256">
      <c r="A256" s="19" t="s">
        <v>923</v>
      </c>
    </row>
    <row r="257">
      <c r="A257" s="19" t="s">
        <v>924</v>
      </c>
    </row>
    <row r="258">
      <c r="A258" s="19" t="s">
        <v>925</v>
      </c>
    </row>
    <row r="259">
      <c r="A259" s="19" t="s">
        <v>926</v>
      </c>
    </row>
    <row r="260">
      <c r="A260" s="19" t="s">
        <v>927</v>
      </c>
    </row>
    <row r="261">
      <c r="A261" s="19" t="s">
        <v>928</v>
      </c>
    </row>
    <row r="262">
      <c r="A262" s="19" t="s">
        <v>929</v>
      </c>
    </row>
    <row r="263">
      <c r="A263" s="19" t="s">
        <v>930</v>
      </c>
    </row>
    <row r="264">
      <c r="A264" s="19" t="s">
        <v>931</v>
      </c>
    </row>
    <row r="265">
      <c r="A265" s="19" t="s">
        <v>932</v>
      </c>
    </row>
    <row r="266">
      <c r="A266" s="19" t="s">
        <v>933</v>
      </c>
    </row>
    <row r="267">
      <c r="A267" s="19" t="s">
        <v>934</v>
      </c>
    </row>
    <row r="268">
      <c r="A268" s="19" t="s">
        <v>935</v>
      </c>
    </row>
    <row r="269">
      <c r="A269" s="19" t="s">
        <v>936</v>
      </c>
    </row>
    <row r="270">
      <c r="A270" s="19" t="s">
        <v>937</v>
      </c>
    </row>
    <row r="271">
      <c r="A271" s="19" t="s">
        <v>938</v>
      </c>
    </row>
    <row r="272">
      <c r="A272" s="19" t="s">
        <v>939</v>
      </c>
    </row>
    <row r="273">
      <c r="A273" s="19" t="s">
        <v>940</v>
      </c>
    </row>
    <row r="274">
      <c r="A274" s="19" t="s">
        <v>941</v>
      </c>
    </row>
    <row r="275">
      <c r="A275" s="19" t="s">
        <v>942</v>
      </c>
    </row>
    <row r="276">
      <c r="A276" s="19" t="s">
        <v>943</v>
      </c>
    </row>
    <row r="277">
      <c r="A277" s="19" t="s">
        <v>944</v>
      </c>
    </row>
    <row r="278">
      <c r="A278" s="19" t="s">
        <v>945</v>
      </c>
    </row>
    <row r="279">
      <c r="A279" s="19" t="s">
        <v>946</v>
      </c>
    </row>
    <row r="280">
      <c r="A280" s="19" t="s">
        <v>947</v>
      </c>
    </row>
    <row r="281">
      <c r="A281" s="19" t="s">
        <v>948</v>
      </c>
    </row>
    <row r="282">
      <c r="A282" s="19" t="s">
        <v>949</v>
      </c>
    </row>
    <row r="283">
      <c r="A283" s="19" t="s">
        <v>950</v>
      </c>
    </row>
    <row r="284">
      <c r="A284" s="19" t="s">
        <v>951</v>
      </c>
    </row>
    <row r="285">
      <c r="A285" s="19" t="s">
        <v>952</v>
      </c>
    </row>
    <row r="286">
      <c r="A286" s="19" t="s">
        <v>953</v>
      </c>
    </row>
    <row r="287">
      <c r="A287" s="19" t="s">
        <v>954</v>
      </c>
    </row>
    <row r="288">
      <c r="A288" s="19" t="s">
        <v>955</v>
      </c>
    </row>
    <row r="289">
      <c r="A289" s="19" t="s">
        <v>956</v>
      </c>
    </row>
    <row r="290">
      <c r="A290" s="19" t="s">
        <v>957</v>
      </c>
    </row>
    <row r="291">
      <c r="A291" s="19" t="s">
        <v>958</v>
      </c>
    </row>
    <row r="292">
      <c r="A292" s="19" t="s">
        <v>959</v>
      </c>
    </row>
    <row r="293">
      <c r="A293" s="19" t="s">
        <v>960</v>
      </c>
    </row>
    <row r="294">
      <c r="A294" s="19" t="s">
        <v>961</v>
      </c>
    </row>
    <row r="295">
      <c r="A295" s="19" t="s">
        <v>962</v>
      </c>
    </row>
    <row r="296">
      <c r="A296" s="19" t="s">
        <v>963</v>
      </c>
    </row>
    <row r="297">
      <c r="A297" s="19" t="s">
        <v>964</v>
      </c>
    </row>
    <row r="298">
      <c r="A298" s="19" t="s">
        <v>965</v>
      </c>
    </row>
    <row r="299">
      <c r="A299" s="19" t="s">
        <v>966</v>
      </c>
    </row>
    <row r="300">
      <c r="A300" s="19" t="s">
        <v>967</v>
      </c>
    </row>
    <row r="301">
      <c r="A301" s="19" t="s">
        <v>968</v>
      </c>
    </row>
    <row r="302">
      <c r="A302" s="19" t="s">
        <v>969</v>
      </c>
    </row>
    <row r="303">
      <c r="A303" s="19" t="s">
        <v>970</v>
      </c>
    </row>
    <row r="304">
      <c r="A304" s="19" t="s">
        <v>971</v>
      </c>
    </row>
    <row r="305">
      <c r="A305" s="19" t="s">
        <v>972</v>
      </c>
    </row>
    <row r="306">
      <c r="A306" s="19" t="s">
        <v>973</v>
      </c>
    </row>
    <row r="307">
      <c r="A307" s="19" t="s">
        <v>974</v>
      </c>
    </row>
    <row r="308">
      <c r="A308" s="19" t="s">
        <v>975</v>
      </c>
    </row>
    <row r="309">
      <c r="A309" s="19" t="s">
        <v>976</v>
      </c>
    </row>
    <row r="310">
      <c r="A310" s="19" t="s">
        <v>977</v>
      </c>
    </row>
    <row r="311">
      <c r="A311" s="19" t="s">
        <v>978</v>
      </c>
    </row>
    <row r="312">
      <c r="A312" s="19" t="s">
        <v>979</v>
      </c>
    </row>
    <row r="313">
      <c r="A313" s="19" t="s">
        <v>980</v>
      </c>
    </row>
    <row r="314">
      <c r="A314" s="19" t="s">
        <v>981</v>
      </c>
    </row>
    <row r="315">
      <c r="A315" s="19" t="s">
        <v>982</v>
      </c>
    </row>
    <row r="316">
      <c r="A316" s="19" t="s">
        <v>983</v>
      </c>
    </row>
    <row r="317">
      <c r="A317" s="19" t="s">
        <v>984</v>
      </c>
    </row>
    <row r="318">
      <c r="A318" s="19" t="s">
        <v>985</v>
      </c>
    </row>
    <row r="319">
      <c r="A319" s="19" t="s">
        <v>986</v>
      </c>
    </row>
    <row r="320">
      <c r="A320" s="19" t="s">
        <v>987</v>
      </c>
    </row>
    <row r="321">
      <c r="A321" s="19" t="s">
        <v>988</v>
      </c>
    </row>
    <row r="322">
      <c r="A322" s="19" t="s">
        <v>989</v>
      </c>
    </row>
    <row r="323">
      <c r="A323" s="19" t="s">
        <v>990</v>
      </c>
    </row>
    <row r="324">
      <c r="A324" s="19" t="s">
        <v>991</v>
      </c>
    </row>
    <row r="325">
      <c r="A325" s="19" t="s">
        <v>992</v>
      </c>
    </row>
    <row r="326">
      <c r="A326" s="19" t="s">
        <v>993</v>
      </c>
    </row>
    <row r="327">
      <c r="A327" s="19" t="s">
        <v>994</v>
      </c>
    </row>
    <row r="328">
      <c r="A328" s="19" t="s">
        <v>995</v>
      </c>
    </row>
    <row r="329">
      <c r="A329" s="19" t="s">
        <v>996</v>
      </c>
    </row>
    <row r="330">
      <c r="A330" s="19" t="s">
        <v>997</v>
      </c>
    </row>
    <row r="331">
      <c r="A331" s="19" t="s">
        <v>998</v>
      </c>
    </row>
    <row r="332">
      <c r="A332" s="19" t="s">
        <v>999</v>
      </c>
    </row>
    <row r="333">
      <c r="A333" s="19" t="s">
        <v>1000</v>
      </c>
    </row>
    <row r="334">
      <c r="A334" s="19" t="s">
        <v>1001</v>
      </c>
    </row>
    <row r="335">
      <c r="A335" s="19" t="s">
        <v>1002</v>
      </c>
    </row>
    <row r="336">
      <c r="A336" s="19" t="s">
        <v>1003</v>
      </c>
    </row>
    <row r="337">
      <c r="A337" s="19" t="s">
        <v>1004</v>
      </c>
    </row>
    <row r="338">
      <c r="A338" s="19" t="s">
        <v>1005</v>
      </c>
    </row>
    <row r="339">
      <c r="A339" s="19" t="s">
        <v>1006</v>
      </c>
    </row>
    <row r="340">
      <c r="A340" s="19" t="s">
        <v>1007</v>
      </c>
    </row>
    <row r="341">
      <c r="A341" s="19" t="s">
        <v>1008</v>
      </c>
    </row>
    <row r="342">
      <c r="A342" s="19" t="s">
        <v>1009</v>
      </c>
    </row>
    <row r="343">
      <c r="A343" s="19" t="s">
        <v>1010</v>
      </c>
    </row>
    <row r="344">
      <c r="A344" s="19" t="s">
        <v>1011</v>
      </c>
    </row>
    <row r="345">
      <c r="A345" s="19" t="s">
        <v>1012</v>
      </c>
    </row>
    <row r="346">
      <c r="A346" s="19" t="s">
        <v>1013</v>
      </c>
    </row>
    <row r="347">
      <c r="A347" s="19" t="s">
        <v>1014</v>
      </c>
    </row>
    <row r="348">
      <c r="A348" s="19" t="s">
        <v>1015</v>
      </c>
    </row>
    <row r="349">
      <c r="A349" s="19" t="s">
        <v>1016</v>
      </c>
    </row>
    <row r="350">
      <c r="A350" s="19" t="s">
        <v>1017</v>
      </c>
    </row>
    <row r="351">
      <c r="A351" s="19" t="s">
        <v>1018</v>
      </c>
    </row>
    <row r="352">
      <c r="A352" s="19" t="s">
        <v>1019</v>
      </c>
    </row>
    <row r="353">
      <c r="A353" s="19" t="s">
        <v>1020</v>
      </c>
    </row>
    <row r="354">
      <c r="A354" s="19" t="s">
        <v>1021</v>
      </c>
    </row>
    <row r="355">
      <c r="A355" s="19" t="s">
        <v>1022</v>
      </c>
    </row>
    <row r="356">
      <c r="A356" s="19" t="s">
        <v>1023</v>
      </c>
    </row>
    <row r="357">
      <c r="A357" s="19" t="s">
        <v>1024</v>
      </c>
    </row>
    <row r="358">
      <c r="A358" s="19" t="s">
        <v>1025</v>
      </c>
    </row>
    <row r="359">
      <c r="A359" s="19" t="s">
        <v>1026</v>
      </c>
    </row>
    <row r="360">
      <c r="A360" s="19" t="s">
        <v>1027</v>
      </c>
    </row>
    <row r="361">
      <c r="A361" s="19" t="s">
        <v>1028</v>
      </c>
    </row>
    <row r="362">
      <c r="A362" s="19" t="s">
        <v>1029</v>
      </c>
    </row>
    <row r="363">
      <c r="A363" s="19" t="s">
        <v>1030</v>
      </c>
    </row>
    <row r="364">
      <c r="A364" s="19" t="s">
        <v>1031</v>
      </c>
    </row>
    <row r="365">
      <c r="A365" s="19" t="s">
        <v>1032</v>
      </c>
    </row>
    <row r="366">
      <c r="A366" s="19" t="s">
        <v>1033</v>
      </c>
    </row>
    <row r="367">
      <c r="A367" s="19" t="s">
        <v>1034</v>
      </c>
    </row>
    <row r="368">
      <c r="A368" s="19" t="s">
        <v>1035</v>
      </c>
    </row>
    <row r="369">
      <c r="A369" s="19" t="s">
        <v>1036</v>
      </c>
    </row>
    <row r="370">
      <c r="A370" s="19" t="s">
        <v>1037</v>
      </c>
    </row>
    <row r="371">
      <c r="A371" s="19" t="s">
        <v>1038</v>
      </c>
    </row>
    <row r="372">
      <c r="A372" s="19" t="s">
        <v>1039</v>
      </c>
    </row>
    <row r="373">
      <c r="A373" s="19" t="s">
        <v>1040</v>
      </c>
    </row>
    <row r="374">
      <c r="A374" s="19" t="s">
        <v>1041</v>
      </c>
    </row>
    <row r="375">
      <c r="A375" s="19" t="s">
        <v>1042</v>
      </c>
    </row>
    <row r="376">
      <c r="A376" s="19" t="s">
        <v>1043</v>
      </c>
    </row>
    <row r="377">
      <c r="A377" s="19" t="s">
        <v>1044</v>
      </c>
    </row>
    <row r="378">
      <c r="A378" s="19" t="s">
        <v>1045</v>
      </c>
    </row>
    <row r="379">
      <c r="A379" s="19" t="s">
        <v>1046</v>
      </c>
    </row>
    <row r="380">
      <c r="A380" s="19" t="s">
        <v>1047</v>
      </c>
    </row>
    <row r="381">
      <c r="A381" s="19" t="s">
        <v>1048</v>
      </c>
    </row>
    <row r="382">
      <c r="A382" s="19" t="s">
        <v>1049</v>
      </c>
    </row>
    <row r="383">
      <c r="A383" s="19" t="s">
        <v>1050</v>
      </c>
    </row>
    <row r="384">
      <c r="A384" s="19" t="s">
        <v>1051</v>
      </c>
    </row>
    <row r="385">
      <c r="A385" s="19" t="s">
        <v>1052</v>
      </c>
    </row>
    <row r="386">
      <c r="A386" s="19" t="s">
        <v>1053</v>
      </c>
    </row>
    <row r="387">
      <c r="A387" s="19" t="s">
        <v>1054</v>
      </c>
    </row>
    <row r="388">
      <c r="A388" s="19" t="s">
        <v>1055</v>
      </c>
    </row>
    <row r="389">
      <c r="A389" s="19" t="s">
        <v>1056</v>
      </c>
    </row>
    <row r="390">
      <c r="A390" s="19" t="s">
        <v>1057</v>
      </c>
    </row>
    <row r="391">
      <c r="A391" s="19" t="s">
        <v>1058</v>
      </c>
    </row>
    <row r="392">
      <c r="A392" s="19" t="s">
        <v>1059</v>
      </c>
    </row>
    <row r="393">
      <c r="A393" s="19" t="s">
        <v>1060</v>
      </c>
    </row>
    <row r="394">
      <c r="A394" s="19" t="s">
        <v>1061</v>
      </c>
    </row>
    <row r="395">
      <c r="A395" s="19" t="s">
        <v>1062</v>
      </c>
    </row>
    <row r="396">
      <c r="A396" s="19" t="s">
        <v>1063</v>
      </c>
    </row>
    <row r="397">
      <c r="A397" s="19" t="s">
        <v>1064</v>
      </c>
    </row>
    <row r="398">
      <c r="A398" s="19" t="s">
        <v>1065</v>
      </c>
    </row>
    <row r="399">
      <c r="A399" s="19" t="s">
        <v>1066</v>
      </c>
    </row>
    <row r="400">
      <c r="A400" s="19" t="s">
        <v>1067</v>
      </c>
    </row>
    <row r="401">
      <c r="A401" s="19" t="s">
        <v>1068</v>
      </c>
    </row>
    <row r="402">
      <c r="A402" s="19" t="s">
        <v>1069</v>
      </c>
    </row>
    <row r="403">
      <c r="A403" s="19" t="s">
        <v>1070</v>
      </c>
    </row>
    <row r="404">
      <c r="A404" s="19" t="s">
        <v>1071</v>
      </c>
    </row>
    <row r="405">
      <c r="A405" s="19" t="s">
        <v>1072</v>
      </c>
    </row>
    <row r="406">
      <c r="A406" s="19" t="s">
        <v>1073</v>
      </c>
    </row>
    <row r="407">
      <c r="A407" s="19" t="s">
        <v>1074</v>
      </c>
    </row>
    <row r="408">
      <c r="A408" s="19" t="s">
        <v>1075</v>
      </c>
    </row>
    <row r="409">
      <c r="A409" s="19" t="s">
        <v>1076</v>
      </c>
    </row>
    <row r="410">
      <c r="A410" s="19" t="s">
        <v>1077</v>
      </c>
    </row>
    <row r="411">
      <c r="A411" s="19" t="s">
        <v>1078</v>
      </c>
    </row>
    <row r="412">
      <c r="A412" s="19" t="s">
        <v>1079</v>
      </c>
    </row>
    <row r="413">
      <c r="A413" s="19" t="s">
        <v>1080</v>
      </c>
    </row>
    <row r="414">
      <c r="A414" s="19" t="s">
        <v>1081</v>
      </c>
    </row>
    <row r="415">
      <c r="A415" s="19" t="s">
        <v>1082</v>
      </c>
    </row>
    <row r="416">
      <c r="A416" s="19" t="s">
        <v>1083</v>
      </c>
    </row>
    <row r="417">
      <c r="A417" s="19" t="s">
        <v>1084</v>
      </c>
    </row>
    <row r="418">
      <c r="A418" s="19" t="s">
        <v>1085</v>
      </c>
    </row>
    <row r="419">
      <c r="A419" s="19" t="s">
        <v>1086</v>
      </c>
    </row>
    <row r="420">
      <c r="A420" s="19" t="s">
        <v>1087</v>
      </c>
    </row>
    <row r="421">
      <c r="A421" s="19" t="s">
        <v>1088</v>
      </c>
    </row>
    <row r="422">
      <c r="A422" s="19" t="s">
        <v>1089</v>
      </c>
    </row>
    <row r="423">
      <c r="A423" s="19" t="s">
        <v>1090</v>
      </c>
    </row>
    <row r="424">
      <c r="A424" s="19" t="s">
        <v>1091</v>
      </c>
    </row>
    <row r="425">
      <c r="A425" s="19" t="s">
        <v>1092</v>
      </c>
    </row>
    <row r="426">
      <c r="A426" s="19" t="s">
        <v>1093</v>
      </c>
    </row>
    <row r="427">
      <c r="A427" s="19" t="s">
        <v>1094</v>
      </c>
    </row>
    <row r="428">
      <c r="A428" s="19" t="s">
        <v>1095</v>
      </c>
    </row>
    <row r="429">
      <c r="A429" s="19" t="s">
        <v>1096</v>
      </c>
    </row>
    <row r="430">
      <c r="A430" s="19" t="s">
        <v>1097</v>
      </c>
    </row>
    <row r="431">
      <c r="A431" s="19" t="s">
        <v>1098</v>
      </c>
    </row>
    <row r="432">
      <c r="A432" s="19" t="s">
        <v>1099</v>
      </c>
    </row>
    <row r="433">
      <c r="A433" s="19" t="s">
        <v>1100</v>
      </c>
    </row>
    <row r="434">
      <c r="A434" s="19" t="s">
        <v>1101</v>
      </c>
    </row>
    <row r="435">
      <c r="A435" s="19" t="s">
        <v>1102</v>
      </c>
    </row>
    <row r="436">
      <c r="A436" s="19" t="s">
        <v>1103</v>
      </c>
    </row>
    <row r="437">
      <c r="A437" s="19" t="s">
        <v>1104</v>
      </c>
    </row>
    <row r="438">
      <c r="A438" s="19" t="s">
        <v>1105</v>
      </c>
    </row>
    <row r="439">
      <c r="A439" s="19" t="s">
        <v>1106</v>
      </c>
    </row>
    <row r="440">
      <c r="A440" s="19" t="s">
        <v>1107</v>
      </c>
    </row>
    <row r="441">
      <c r="A441" s="19" t="s">
        <v>1108</v>
      </c>
    </row>
    <row r="442">
      <c r="A442" s="19" t="s">
        <v>1109</v>
      </c>
    </row>
    <row r="443">
      <c r="A443" s="19" t="s">
        <v>1110</v>
      </c>
    </row>
    <row r="444">
      <c r="A444" s="19" t="s">
        <v>1111</v>
      </c>
    </row>
    <row r="445">
      <c r="A445" s="19" t="s">
        <v>1112</v>
      </c>
    </row>
    <row r="446">
      <c r="A446" s="19" t="s">
        <v>1113</v>
      </c>
    </row>
    <row r="447">
      <c r="A447" s="19" t="s">
        <v>1114</v>
      </c>
    </row>
    <row r="448">
      <c r="A448" s="19" t="s">
        <v>1115</v>
      </c>
    </row>
    <row r="449">
      <c r="A449" s="19" t="s">
        <v>1116</v>
      </c>
    </row>
    <row r="450">
      <c r="A450" s="19" t="s">
        <v>1117</v>
      </c>
    </row>
    <row r="451">
      <c r="A451" s="19" t="s">
        <v>1118</v>
      </c>
    </row>
    <row r="452">
      <c r="A452" s="19" t="s">
        <v>1119</v>
      </c>
    </row>
    <row r="453">
      <c r="A453" s="19" t="s">
        <v>1120</v>
      </c>
    </row>
    <row r="454">
      <c r="A454" s="19" t="s">
        <v>1121</v>
      </c>
    </row>
    <row r="455">
      <c r="A455" s="19" t="s">
        <v>1122</v>
      </c>
    </row>
    <row r="456">
      <c r="A456" s="19" t="s">
        <v>1123</v>
      </c>
    </row>
    <row r="457">
      <c r="A457" s="19" t="s">
        <v>1124</v>
      </c>
    </row>
    <row r="458">
      <c r="A458" s="19" t="s">
        <v>1125</v>
      </c>
    </row>
    <row r="459">
      <c r="A459" s="19" t="s">
        <v>1126</v>
      </c>
    </row>
    <row r="460">
      <c r="A460" s="19" t="s">
        <v>1127</v>
      </c>
    </row>
    <row r="461">
      <c r="A461" s="19" t="s">
        <v>1128</v>
      </c>
    </row>
    <row r="462">
      <c r="A462" s="19" t="s">
        <v>1129</v>
      </c>
    </row>
    <row r="463">
      <c r="A463" s="19" t="s">
        <v>1130</v>
      </c>
    </row>
    <row r="464">
      <c r="A464" s="19" t="s">
        <v>1131</v>
      </c>
    </row>
    <row r="465">
      <c r="A465" s="19" t="s">
        <v>1132</v>
      </c>
    </row>
    <row r="466">
      <c r="A466" s="19" t="s">
        <v>1133</v>
      </c>
    </row>
    <row r="467">
      <c r="A467" s="19" t="s">
        <v>1134</v>
      </c>
    </row>
    <row r="468">
      <c r="A468" s="19" t="s">
        <v>1135</v>
      </c>
    </row>
    <row r="469">
      <c r="A469" s="19" t="s">
        <v>1136</v>
      </c>
    </row>
    <row r="470">
      <c r="A470" s="19" t="s">
        <v>1137</v>
      </c>
    </row>
    <row r="471">
      <c r="A471" s="19" t="s">
        <v>1138</v>
      </c>
    </row>
    <row r="472">
      <c r="A472" s="19" t="s">
        <v>1139</v>
      </c>
    </row>
    <row r="473">
      <c r="A473" s="19" t="s">
        <v>1140</v>
      </c>
    </row>
    <row r="474">
      <c r="A474" s="19" t="s">
        <v>1141</v>
      </c>
    </row>
    <row r="475">
      <c r="A475" s="19" t="s">
        <v>1142</v>
      </c>
    </row>
    <row r="476">
      <c r="A476" s="19" t="s">
        <v>1143</v>
      </c>
    </row>
    <row r="477">
      <c r="A477" s="19" t="s">
        <v>1144</v>
      </c>
    </row>
    <row r="478">
      <c r="A478" s="19" t="s">
        <v>1145</v>
      </c>
    </row>
    <row r="479">
      <c r="A479" s="19" t="s">
        <v>1146</v>
      </c>
    </row>
    <row r="480">
      <c r="A480" s="19" t="s">
        <v>1147</v>
      </c>
    </row>
    <row r="481">
      <c r="A481" s="19" t="s">
        <v>1148</v>
      </c>
    </row>
    <row r="482">
      <c r="A482" s="19" t="s">
        <v>1149</v>
      </c>
    </row>
    <row r="483">
      <c r="A483" s="19" t="s">
        <v>1150</v>
      </c>
    </row>
    <row r="484">
      <c r="A484" s="19" t="s">
        <v>1151</v>
      </c>
    </row>
    <row r="485">
      <c r="A485" s="19" t="s">
        <v>1152</v>
      </c>
    </row>
    <row r="486">
      <c r="A486" s="19" t="s">
        <v>1153</v>
      </c>
    </row>
    <row r="487">
      <c r="A487" s="19" t="s">
        <v>1154</v>
      </c>
    </row>
    <row r="488">
      <c r="A488" s="19" t="s">
        <v>1155</v>
      </c>
    </row>
    <row r="489">
      <c r="A489" s="19" t="s">
        <v>1156</v>
      </c>
    </row>
    <row r="490">
      <c r="A490" s="19" t="s">
        <v>1157</v>
      </c>
    </row>
    <row r="491">
      <c r="A491" s="19" t="s">
        <v>1158</v>
      </c>
    </row>
    <row r="492">
      <c r="A492" s="19" t="s">
        <v>1159</v>
      </c>
    </row>
    <row r="493">
      <c r="A493" s="19" t="s">
        <v>1160</v>
      </c>
    </row>
    <row r="494">
      <c r="A494" s="19" t="s">
        <v>1161</v>
      </c>
    </row>
    <row r="495">
      <c r="A495" s="19" t="s">
        <v>1162</v>
      </c>
    </row>
    <row r="496">
      <c r="A496" s="19" t="s">
        <v>1163</v>
      </c>
    </row>
    <row r="497">
      <c r="A497" s="19" t="s">
        <v>1164</v>
      </c>
    </row>
    <row r="498">
      <c r="A498" s="19" t="s">
        <v>1165</v>
      </c>
    </row>
    <row r="499">
      <c r="A499" s="19" t="s">
        <v>1166</v>
      </c>
    </row>
    <row r="500">
      <c r="A500" s="19" t="s">
        <v>1167</v>
      </c>
    </row>
    <row r="501">
      <c r="A501" s="19" t="s">
        <v>1168</v>
      </c>
    </row>
    <row r="502">
      <c r="A502" s="19" t="s">
        <v>1169</v>
      </c>
    </row>
    <row r="503">
      <c r="A503" s="19" t="s">
        <v>1170</v>
      </c>
    </row>
    <row r="504">
      <c r="A504" s="19" t="s">
        <v>1171</v>
      </c>
    </row>
    <row r="505">
      <c r="A505" s="19" t="s">
        <v>1172</v>
      </c>
    </row>
    <row r="506">
      <c r="A506" s="19" t="s">
        <v>1173</v>
      </c>
    </row>
    <row r="507">
      <c r="A507" s="19" t="s">
        <v>1174</v>
      </c>
    </row>
    <row r="508">
      <c r="A508" s="19" t="s">
        <v>1175</v>
      </c>
    </row>
    <row r="509">
      <c r="A509" s="19" t="s">
        <v>1176</v>
      </c>
    </row>
    <row r="510">
      <c r="A510" s="19" t="s">
        <v>1177</v>
      </c>
    </row>
    <row r="511">
      <c r="A511" s="19" t="s">
        <v>1178</v>
      </c>
    </row>
    <row r="512">
      <c r="A512" s="19" t="s">
        <v>1179</v>
      </c>
    </row>
    <row r="513">
      <c r="A513" s="19" t="s">
        <v>1180</v>
      </c>
    </row>
    <row r="514">
      <c r="A514" s="19" t="s">
        <v>1181</v>
      </c>
    </row>
    <row r="515">
      <c r="A515" s="19" t="s">
        <v>1182</v>
      </c>
    </row>
    <row r="516">
      <c r="A516" s="19" t="s">
        <v>1183</v>
      </c>
    </row>
    <row r="517">
      <c r="A517" s="19" t="s">
        <v>1184</v>
      </c>
    </row>
    <row r="518">
      <c r="A518" s="19" t="s">
        <v>1185</v>
      </c>
    </row>
    <row r="519">
      <c r="A519" s="19" t="s">
        <v>1186</v>
      </c>
    </row>
    <row r="520">
      <c r="A520" s="19" t="s">
        <v>1187</v>
      </c>
    </row>
    <row r="521">
      <c r="A521" s="19" t="s">
        <v>1188</v>
      </c>
    </row>
    <row r="522">
      <c r="A522" s="19" t="s">
        <v>1189</v>
      </c>
    </row>
    <row r="523">
      <c r="A523" s="19" t="s">
        <v>1190</v>
      </c>
    </row>
    <row r="524">
      <c r="A524" s="19" t="s">
        <v>1191</v>
      </c>
    </row>
    <row r="525">
      <c r="A525" s="19" t="s">
        <v>1192</v>
      </c>
    </row>
    <row r="526">
      <c r="A526" s="19" t="s">
        <v>1193</v>
      </c>
    </row>
    <row r="527">
      <c r="A527" s="19" t="s">
        <v>1194</v>
      </c>
    </row>
    <row r="528">
      <c r="A528" s="19" t="s">
        <v>1195</v>
      </c>
    </row>
    <row r="529">
      <c r="A529" s="19" t="s">
        <v>1196</v>
      </c>
    </row>
    <row r="530">
      <c r="A530" s="19" t="s">
        <v>1197</v>
      </c>
    </row>
    <row r="531">
      <c r="A531" s="19" t="s">
        <v>1198</v>
      </c>
    </row>
    <row r="532">
      <c r="A532" s="19" t="s">
        <v>1199</v>
      </c>
    </row>
    <row r="533">
      <c r="A533" s="19" t="s">
        <v>1200</v>
      </c>
    </row>
    <row r="534">
      <c r="A534" s="19" t="s">
        <v>1201</v>
      </c>
    </row>
    <row r="535">
      <c r="A535" s="19" t="s">
        <v>1202</v>
      </c>
    </row>
    <row r="536">
      <c r="A536" s="19" t="s">
        <v>1203</v>
      </c>
    </row>
    <row r="537">
      <c r="A537" s="19" t="s">
        <v>1204</v>
      </c>
    </row>
    <row r="538">
      <c r="A538" s="19" t="s">
        <v>1205</v>
      </c>
    </row>
    <row r="539">
      <c r="A539" s="19" t="s">
        <v>1206</v>
      </c>
    </row>
    <row r="540">
      <c r="A540" s="19" t="s">
        <v>1207</v>
      </c>
    </row>
    <row r="541">
      <c r="A541" s="19" t="s">
        <v>1208</v>
      </c>
    </row>
    <row r="542">
      <c r="A542" s="19" t="s">
        <v>1209</v>
      </c>
    </row>
    <row r="543">
      <c r="A543" s="19" t="s">
        <v>1210</v>
      </c>
    </row>
    <row r="544">
      <c r="A544" s="19" t="s">
        <v>1211</v>
      </c>
    </row>
    <row r="545">
      <c r="A545" s="19" t="s">
        <v>1212</v>
      </c>
    </row>
    <row r="546">
      <c r="A546" s="19" t="s">
        <v>1213</v>
      </c>
    </row>
    <row r="547">
      <c r="A547" s="19" t="s">
        <v>1214</v>
      </c>
    </row>
    <row r="548">
      <c r="A548" s="19" t="s">
        <v>1215</v>
      </c>
    </row>
    <row r="549">
      <c r="A549" s="19" t="s">
        <v>1216</v>
      </c>
    </row>
    <row r="550">
      <c r="A550" s="19" t="s">
        <v>1217</v>
      </c>
    </row>
    <row r="551">
      <c r="A551" s="19" t="s">
        <v>1218</v>
      </c>
    </row>
    <row r="552">
      <c r="A552" s="19" t="s">
        <v>1219</v>
      </c>
    </row>
    <row r="553">
      <c r="A553" s="19" t="s">
        <v>1220</v>
      </c>
    </row>
    <row r="554">
      <c r="A554" s="19" t="s">
        <v>1221</v>
      </c>
    </row>
    <row r="555">
      <c r="A555" s="19" t="s">
        <v>1222</v>
      </c>
    </row>
    <row r="556">
      <c r="A556" s="19" t="s">
        <v>1223</v>
      </c>
    </row>
    <row r="557">
      <c r="A557" s="19" t="s">
        <v>1224</v>
      </c>
    </row>
    <row r="558">
      <c r="A558" s="19" t="s">
        <v>1225</v>
      </c>
    </row>
    <row r="559">
      <c r="A559" s="19" t="s">
        <v>1226</v>
      </c>
    </row>
    <row r="560">
      <c r="A560" s="19" t="s">
        <v>1227</v>
      </c>
    </row>
    <row r="561">
      <c r="A561" s="19" t="s">
        <v>1228</v>
      </c>
    </row>
    <row r="562">
      <c r="A562" s="19" t="s">
        <v>1229</v>
      </c>
    </row>
    <row r="563">
      <c r="A563" s="19" t="s">
        <v>1230</v>
      </c>
    </row>
    <row r="564">
      <c r="A564" s="19" t="s">
        <v>1231</v>
      </c>
    </row>
    <row r="565">
      <c r="A565" s="19" t="s">
        <v>1232</v>
      </c>
    </row>
    <row r="566">
      <c r="A566" s="19" t="s">
        <v>1233</v>
      </c>
    </row>
    <row r="567">
      <c r="A567" s="19" t="s">
        <v>1234</v>
      </c>
    </row>
    <row r="568">
      <c r="A568" s="19" t="s">
        <v>1235</v>
      </c>
    </row>
    <row r="569">
      <c r="A569" s="19" t="s">
        <v>1236</v>
      </c>
    </row>
    <row r="570">
      <c r="A570" s="19" t="s">
        <v>1237</v>
      </c>
    </row>
    <row r="571">
      <c r="A571" s="19" t="s">
        <v>1238</v>
      </c>
    </row>
    <row r="572">
      <c r="A572" s="19" t="s">
        <v>1239</v>
      </c>
    </row>
    <row r="573">
      <c r="A573" s="19" t="s">
        <v>1240</v>
      </c>
    </row>
    <row r="574">
      <c r="A574" s="19" t="s">
        <v>1241</v>
      </c>
    </row>
    <row r="575">
      <c r="A575" s="19" t="s">
        <v>1242</v>
      </c>
    </row>
    <row r="576">
      <c r="A576" s="19" t="s">
        <v>1243</v>
      </c>
    </row>
    <row r="577">
      <c r="A577" s="19" t="s">
        <v>1244</v>
      </c>
    </row>
    <row r="578">
      <c r="A578" s="19" t="s">
        <v>1245</v>
      </c>
    </row>
    <row r="579">
      <c r="A579" s="19" t="s">
        <v>1246</v>
      </c>
    </row>
    <row r="580">
      <c r="A580" s="19" t="s">
        <v>1247</v>
      </c>
    </row>
    <row r="581">
      <c r="A581" s="19" t="s">
        <v>1248</v>
      </c>
    </row>
    <row r="582">
      <c r="A582" s="19" t="s">
        <v>1249</v>
      </c>
    </row>
    <row r="583">
      <c r="A583" s="19" t="s">
        <v>1249</v>
      </c>
    </row>
    <row r="584">
      <c r="A584" s="19" t="s">
        <v>1250</v>
      </c>
    </row>
    <row r="585">
      <c r="A585" s="19" t="s">
        <v>1251</v>
      </c>
    </row>
    <row r="586">
      <c r="A586" s="19" t="s">
        <v>1252</v>
      </c>
    </row>
    <row r="587">
      <c r="A587" s="19" t="s">
        <v>1253</v>
      </c>
    </row>
    <row r="588">
      <c r="A588" s="19" t="s">
        <v>1254</v>
      </c>
    </row>
    <row r="589">
      <c r="A589" s="19" t="s">
        <v>1255</v>
      </c>
    </row>
    <row r="590">
      <c r="A590" s="19" t="s">
        <v>1256</v>
      </c>
    </row>
    <row r="591">
      <c r="A591" s="19" t="s">
        <v>1257</v>
      </c>
    </row>
    <row r="592">
      <c r="A592" s="19" t="s">
        <v>1258</v>
      </c>
    </row>
    <row r="593">
      <c r="A593" s="19" t="s">
        <v>1259</v>
      </c>
    </row>
    <row r="594">
      <c r="A594" s="19" t="s">
        <v>1260</v>
      </c>
    </row>
    <row r="595">
      <c r="A595" s="19" t="s">
        <v>1261</v>
      </c>
    </row>
    <row r="596">
      <c r="A596" s="19" t="s">
        <v>1262</v>
      </c>
    </row>
    <row r="597">
      <c r="A597" s="19" t="s">
        <v>1263</v>
      </c>
    </row>
    <row r="598">
      <c r="A598" s="19" t="s">
        <v>1264</v>
      </c>
    </row>
    <row r="599">
      <c r="A599" s="19" t="s">
        <v>1265</v>
      </c>
    </row>
    <row r="600">
      <c r="A600" s="19" t="s">
        <v>1266</v>
      </c>
    </row>
    <row r="601">
      <c r="A601" s="19" t="s">
        <v>1267</v>
      </c>
    </row>
    <row r="602">
      <c r="A602" s="19" t="s">
        <v>1268</v>
      </c>
    </row>
    <row r="603">
      <c r="A603" s="19" t="s">
        <v>1269</v>
      </c>
    </row>
    <row r="604">
      <c r="A604" s="19" t="s">
        <v>1270</v>
      </c>
    </row>
    <row r="605">
      <c r="A605" s="19" t="s">
        <v>1271</v>
      </c>
    </row>
    <row r="606">
      <c r="A606" s="19" t="s">
        <v>1272</v>
      </c>
    </row>
    <row r="607">
      <c r="A607" s="19" t="s">
        <v>1273</v>
      </c>
    </row>
    <row r="608">
      <c r="A608" s="19" t="s">
        <v>1274</v>
      </c>
    </row>
    <row r="609">
      <c r="A609" s="19" t="s">
        <v>1275</v>
      </c>
    </row>
    <row r="610">
      <c r="A610" s="19" t="s">
        <v>1276</v>
      </c>
    </row>
    <row r="611">
      <c r="A611" s="19" t="s">
        <v>1277</v>
      </c>
    </row>
    <row r="612">
      <c r="A612" s="19" t="s">
        <v>1278</v>
      </c>
    </row>
    <row r="613">
      <c r="A613" s="19" t="s">
        <v>1279</v>
      </c>
    </row>
    <row r="614">
      <c r="A614" s="19" t="s">
        <v>1280</v>
      </c>
    </row>
    <row r="615">
      <c r="A615" s="19" t="s">
        <v>1281</v>
      </c>
    </row>
    <row r="616">
      <c r="A616" s="19" t="s">
        <v>1282</v>
      </c>
    </row>
    <row r="617">
      <c r="A617" s="19" t="s">
        <v>1283</v>
      </c>
    </row>
    <row r="618">
      <c r="A618" s="19" t="s">
        <v>1284</v>
      </c>
    </row>
    <row r="619">
      <c r="A619" s="19" t="s">
        <v>1285</v>
      </c>
    </row>
    <row r="620">
      <c r="A620" s="19" t="s">
        <v>1286</v>
      </c>
    </row>
    <row r="621">
      <c r="A621" s="19" t="s">
        <v>1287</v>
      </c>
    </row>
    <row r="622">
      <c r="A622" s="19" t="s">
        <v>1288</v>
      </c>
    </row>
    <row r="623">
      <c r="A623" s="19" t="s">
        <v>1289</v>
      </c>
    </row>
    <row r="624">
      <c r="A624" s="19" t="s">
        <v>1290</v>
      </c>
    </row>
    <row r="625">
      <c r="A625" s="19" t="s">
        <v>1291</v>
      </c>
    </row>
    <row r="626">
      <c r="A626" s="19" t="s">
        <v>1292</v>
      </c>
    </row>
    <row r="627">
      <c r="A627" s="19" t="s">
        <v>1293</v>
      </c>
    </row>
    <row r="628">
      <c r="A628" s="19" t="s">
        <v>1294</v>
      </c>
    </row>
    <row r="629">
      <c r="A629" s="19" t="s">
        <v>1295</v>
      </c>
    </row>
    <row r="630">
      <c r="A630" s="19" t="s">
        <v>1296</v>
      </c>
    </row>
    <row r="631">
      <c r="A631" s="19" t="s">
        <v>1297</v>
      </c>
    </row>
    <row r="632">
      <c r="A632" s="19" t="s">
        <v>1298</v>
      </c>
    </row>
    <row r="633">
      <c r="A633" s="19" t="s">
        <v>1299</v>
      </c>
    </row>
    <row r="634">
      <c r="A634" s="19" t="s">
        <v>1300</v>
      </c>
    </row>
    <row r="635">
      <c r="A635" s="19" t="s">
        <v>1301</v>
      </c>
    </row>
    <row r="636">
      <c r="A636" s="19" t="s">
        <v>1302</v>
      </c>
    </row>
    <row r="637">
      <c r="A637" s="19" t="s">
        <v>1303</v>
      </c>
    </row>
    <row r="638">
      <c r="A638" s="19" t="s">
        <v>1304</v>
      </c>
    </row>
    <row r="639">
      <c r="A639" s="19" t="s">
        <v>1305</v>
      </c>
    </row>
    <row r="640">
      <c r="A640" s="19" t="s">
        <v>1306</v>
      </c>
    </row>
    <row r="641">
      <c r="A641" s="19" t="s">
        <v>1307</v>
      </c>
    </row>
    <row r="642">
      <c r="A642" s="19" t="s">
        <v>1308</v>
      </c>
    </row>
    <row r="643">
      <c r="A643" s="19" t="s">
        <v>1309</v>
      </c>
    </row>
    <row r="644">
      <c r="A644" s="19" t="s">
        <v>1310</v>
      </c>
    </row>
    <row r="645">
      <c r="A645" s="19" t="s">
        <v>1311</v>
      </c>
    </row>
    <row r="646">
      <c r="A646" s="19" t="s">
        <v>1312</v>
      </c>
    </row>
    <row r="647">
      <c r="A647" s="19" t="s">
        <v>1313</v>
      </c>
    </row>
    <row r="648">
      <c r="A648" s="19" t="s">
        <v>1314</v>
      </c>
    </row>
    <row r="649">
      <c r="A649" s="19" t="s">
        <v>1315</v>
      </c>
    </row>
    <row r="650">
      <c r="A650" s="19" t="s">
        <v>1316</v>
      </c>
    </row>
    <row r="651">
      <c r="A651" s="19" t="s">
        <v>1317</v>
      </c>
    </row>
    <row r="652">
      <c r="A652" s="19" t="s">
        <v>1318</v>
      </c>
    </row>
    <row r="653">
      <c r="A653" s="19" t="s">
        <v>1319</v>
      </c>
    </row>
    <row r="654">
      <c r="A654" s="19" t="s">
        <v>1320</v>
      </c>
    </row>
    <row r="655">
      <c r="A655" s="19" t="s">
        <v>1321</v>
      </c>
    </row>
    <row r="656">
      <c r="A656" s="19" t="s">
        <v>1322</v>
      </c>
    </row>
    <row r="657">
      <c r="A657" s="19" t="s">
        <v>1323</v>
      </c>
    </row>
    <row r="658">
      <c r="A658" s="19" t="s">
        <v>1324</v>
      </c>
    </row>
    <row r="659">
      <c r="A659" s="19" t="s">
        <v>1325</v>
      </c>
    </row>
    <row r="660">
      <c r="A660" s="19" t="s">
        <v>1326</v>
      </c>
    </row>
    <row r="661">
      <c r="A661" s="19" t="s">
        <v>1327</v>
      </c>
    </row>
    <row r="662">
      <c r="A662" s="19" t="s">
        <v>1328</v>
      </c>
    </row>
    <row r="663">
      <c r="A663" s="19" t="s">
        <v>1329</v>
      </c>
    </row>
    <row r="664">
      <c r="A664" s="19" t="s">
        <v>1330</v>
      </c>
    </row>
    <row r="665">
      <c r="A665" s="19" t="s">
        <v>1331</v>
      </c>
    </row>
    <row r="666">
      <c r="A666" s="19" t="s">
        <v>1332</v>
      </c>
    </row>
    <row r="667">
      <c r="A667" s="19" t="s">
        <v>1333</v>
      </c>
    </row>
    <row r="668">
      <c r="A668" s="19" t="s">
        <v>1334</v>
      </c>
    </row>
    <row r="669">
      <c r="A669" s="19" t="s">
        <v>1335</v>
      </c>
    </row>
    <row r="670">
      <c r="A670" s="19" t="s">
        <v>1336</v>
      </c>
    </row>
    <row r="671">
      <c r="A671" s="19" t="s">
        <v>1337</v>
      </c>
    </row>
    <row r="672">
      <c r="A672" s="19" t="s">
        <v>1338</v>
      </c>
    </row>
    <row r="673">
      <c r="A673" s="19" t="s">
        <v>1339</v>
      </c>
    </row>
    <row r="674">
      <c r="A674" s="19" t="s">
        <v>1340</v>
      </c>
    </row>
    <row r="675">
      <c r="A675" s="19" t="s">
        <v>1341</v>
      </c>
    </row>
    <row r="676">
      <c r="A676" s="19" t="s">
        <v>1342</v>
      </c>
    </row>
    <row r="677">
      <c r="A677" s="19" t="s">
        <v>1343</v>
      </c>
    </row>
    <row r="678">
      <c r="A678" s="19" t="s">
        <v>1344</v>
      </c>
    </row>
    <row r="679">
      <c r="A679" s="19" t="s">
        <v>1345</v>
      </c>
    </row>
    <row r="680">
      <c r="A680" s="19" t="s">
        <v>1346</v>
      </c>
    </row>
    <row r="681">
      <c r="A681" s="19" t="s">
        <v>1347</v>
      </c>
    </row>
    <row r="682">
      <c r="A682" s="19" t="s">
        <v>1348</v>
      </c>
    </row>
    <row r="683">
      <c r="A683" s="19" t="s">
        <v>1349</v>
      </c>
    </row>
    <row r="684">
      <c r="A684" s="19" t="s">
        <v>1350</v>
      </c>
    </row>
    <row r="685">
      <c r="A685" s="19" t="s">
        <v>1351</v>
      </c>
    </row>
    <row r="686">
      <c r="A686" s="19" t="s">
        <v>1352</v>
      </c>
    </row>
    <row r="687">
      <c r="A687" s="19" t="s">
        <v>1353</v>
      </c>
    </row>
    <row r="688">
      <c r="A688" s="19" t="s">
        <v>1354</v>
      </c>
    </row>
    <row r="689">
      <c r="A689" s="19" t="s">
        <v>1355</v>
      </c>
    </row>
    <row r="690">
      <c r="A690" s="19" t="s">
        <v>1356</v>
      </c>
    </row>
    <row r="691">
      <c r="A691" s="19" t="s">
        <v>1357</v>
      </c>
    </row>
    <row r="692">
      <c r="A692" s="19" t="s">
        <v>1358</v>
      </c>
    </row>
    <row r="693">
      <c r="A693" s="19" t="s">
        <v>1359</v>
      </c>
    </row>
    <row r="694">
      <c r="A694" s="19" t="s">
        <v>1360</v>
      </c>
    </row>
    <row r="695">
      <c r="A695" s="19" t="s">
        <v>1361</v>
      </c>
    </row>
    <row r="696">
      <c r="A696" s="19" t="s">
        <v>1362</v>
      </c>
    </row>
    <row r="697">
      <c r="A697" s="19" t="s">
        <v>1363</v>
      </c>
    </row>
    <row r="698">
      <c r="A698" s="19" t="s">
        <v>1364</v>
      </c>
    </row>
    <row r="699">
      <c r="A699" s="19" t="s">
        <v>1365</v>
      </c>
    </row>
    <row r="700">
      <c r="A700" s="19" t="s">
        <v>1366</v>
      </c>
    </row>
    <row r="701">
      <c r="A701" s="19" t="s">
        <v>1367</v>
      </c>
    </row>
    <row r="702">
      <c r="A702" s="19" t="s">
        <v>1368</v>
      </c>
    </row>
    <row r="703">
      <c r="A703" s="19" t="s">
        <v>1369</v>
      </c>
    </row>
    <row r="704">
      <c r="A704" s="19" t="s">
        <v>1370</v>
      </c>
    </row>
    <row r="705">
      <c r="A705" s="19" t="s">
        <v>1371</v>
      </c>
    </row>
    <row r="706">
      <c r="A706" s="19" t="s">
        <v>1372</v>
      </c>
    </row>
    <row r="707">
      <c r="A707" s="19" t="s">
        <v>1373</v>
      </c>
    </row>
    <row r="708">
      <c r="A708" s="19" t="s">
        <v>1374</v>
      </c>
    </row>
    <row r="709">
      <c r="A709" s="19" t="s">
        <v>1375</v>
      </c>
    </row>
    <row r="710">
      <c r="A710" s="19" t="s">
        <v>1376</v>
      </c>
    </row>
    <row r="711">
      <c r="A711" s="19" t="s">
        <v>1377</v>
      </c>
    </row>
    <row r="712">
      <c r="A712" s="19" t="s">
        <v>1378</v>
      </c>
    </row>
    <row r="713">
      <c r="A713" s="19" t="s">
        <v>1379</v>
      </c>
    </row>
    <row r="714">
      <c r="A714" s="19" t="s">
        <v>1380</v>
      </c>
    </row>
    <row r="715">
      <c r="A715" s="19" t="s">
        <v>1381</v>
      </c>
    </row>
    <row r="716">
      <c r="A716" s="19" t="s">
        <v>1382</v>
      </c>
    </row>
    <row r="717">
      <c r="A717" s="19" t="s">
        <v>1383</v>
      </c>
    </row>
    <row r="718">
      <c r="A718" s="19" t="s">
        <v>1384</v>
      </c>
    </row>
    <row r="719">
      <c r="A719" s="19" t="s">
        <v>1385</v>
      </c>
    </row>
    <row r="720">
      <c r="A720" s="19" t="s">
        <v>1386</v>
      </c>
    </row>
    <row r="721">
      <c r="A721" s="19" t="s">
        <v>1387</v>
      </c>
    </row>
    <row r="722">
      <c r="A722" s="19" t="s">
        <v>1388</v>
      </c>
    </row>
    <row r="723">
      <c r="A723" s="19" t="s">
        <v>1389</v>
      </c>
    </row>
    <row r="724">
      <c r="A724" s="19" t="s">
        <v>1390</v>
      </c>
    </row>
    <row r="725">
      <c r="A725" s="19" t="s">
        <v>1391</v>
      </c>
    </row>
    <row r="726">
      <c r="A726" s="19" t="s">
        <v>1392</v>
      </c>
    </row>
    <row r="727">
      <c r="A727" s="19" t="s">
        <v>1393</v>
      </c>
    </row>
    <row r="728">
      <c r="A728" s="19" t="s">
        <v>1394</v>
      </c>
    </row>
    <row r="729">
      <c r="A729" s="19" t="s">
        <v>1395</v>
      </c>
    </row>
    <row r="730">
      <c r="A730" s="19" t="s">
        <v>1396</v>
      </c>
    </row>
    <row r="731">
      <c r="A731" s="19" t="s">
        <v>1397</v>
      </c>
    </row>
    <row r="732">
      <c r="A732" s="19" t="s">
        <v>1398</v>
      </c>
    </row>
    <row r="733">
      <c r="A733" s="19" t="s">
        <v>1399</v>
      </c>
    </row>
    <row r="734">
      <c r="A734" s="19" t="s">
        <v>1400</v>
      </c>
    </row>
    <row r="735">
      <c r="A735" s="19" t="s">
        <v>1401</v>
      </c>
    </row>
    <row r="736">
      <c r="A736" s="19" t="s">
        <v>1402</v>
      </c>
    </row>
    <row r="737">
      <c r="A737" s="19" t="s">
        <v>1403</v>
      </c>
    </row>
    <row r="738">
      <c r="A738" s="19" t="s">
        <v>1404</v>
      </c>
    </row>
    <row r="739">
      <c r="A739" s="19" t="s">
        <v>1405</v>
      </c>
    </row>
    <row r="740">
      <c r="A740" s="19" t="s">
        <v>1406</v>
      </c>
    </row>
    <row r="741">
      <c r="A741" s="19" t="s">
        <v>1407</v>
      </c>
    </row>
    <row r="742">
      <c r="A742" s="19" t="s">
        <v>1408</v>
      </c>
    </row>
    <row r="743">
      <c r="A743" s="19" t="s">
        <v>1409</v>
      </c>
    </row>
    <row r="744">
      <c r="A744" s="19" t="s">
        <v>1410</v>
      </c>
    </row>
    <row r="745">
      <c r="A745" s="19" t="s">
        <v>1411</v>
      </c>
    </row>
    <row r="746">
      <c r="A746" s="19" t="s">
        <v>1412</v>
      </c>
    </row>
    <row r="747">
      <c r="A747" s="19" t="s">
        <v>1413</v>
      </c>
    </row>
    <row r="748">
      <c r="A748" s="19" t="s">
        <v>1414</v>
      </c>
    </row>
    <row r="749">
      <c r="A749" s="19" t="s">
        <v>1415</v>
      </c>
    </row>
    <row r="750">
      <c r="A750" s="19" t="s">
        <v>1416</v>
      </c>
    </row>
    <row r="751">
      <c r="A751" s="19" t="s">
        <v>1417</v>
      </c>
    </row>
    <row r="752">
      <c r="A752" s="19" t="s">
        <v>1418</v>
      </c>
    </row>
    <row r="753">
      <c r="A753" s="19" t="s">
        <v>1419</v>
      </c>
    </row>
    <row r="754">
      <c r="A754" s="19" t="s">
        <v>1420</v>
      </c>
    </row>
    <row r="755">
      <c r="A755" s="19" t="s">
        <v>1421</v>
      </c>
    </row>
    <row r="756">
      <c r="A756" s="19" t="s">
        <v>1422</v>
      </c>
    </row>
    <row r="757">
      <c r="A757" s="19" t="s">
        <v>1423</v>
      </c>
    </row>
    <row r="758">
      <c r="A758" s="19" t="s">
        <v>1424</v>
      </c>
    </row>
    <row r="759">
      <c r="A759"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 customWidth="1" min="2" max="2" width="25.13"/>
  </cols>
  <sheetData>
    <row r="1">
      <c r="A1" s="15" t="s">
        <v>1425</v>
      </c>
      <c r="B1" s="15" t="s">
        <v>1426</v>
      </c>
    </row>
    <row r="2">
      <c r="A2" s="17" t="str">
        <f>Cleaning!H10</f>
        <v>sekedar mengingatkan bagi teman² yang juga menggunakan aplikasi cek bansos yang jaringannya error setiap x masuk coba lagi sekarang saya sudah coba masuk hampir  bulan tetap error tapi alhamdulillah kemarin sudah bisa masuk dan memilih selamat mencoba para pejuang bansos</v>
      </c>
      <c r="B2" s="21" t="str">
        <f>IFERROR(__xludf.DUMMYFUNCTION("REGEXREPLACE(A2,"" "","", "")"),"sekedar, mengingatkan, bagi, teman², yang, juga, menggunakan, aplikasi, cek, bansos, yang, jaringannya, error, setiap, x, masuk, coba, lagi, sekarang, saya, sudah, coba, masuk, hampir, , bulan, tetap, error, tapi, alhamdulillah, kemarin, sudah, bisa, masu"&amp;"k, dan, memilih, selamat, mencoba, para, pejuang, bansos")</f>
        <v>sekedar, mengingatkan, bagi, teman², yang, juga, menggunakan, aplikasi, cek, bansos, yang, jaringannya, error, setiap, x, masuk, coba, lagi, sekarang, saya, sudah, coba, masuk, hampir, , bulan, tetap, error, tapi, alhamdulillah, kemarin, sudah, bisa, masuk, dan, memilih, selamat, mencoba, para, pejuang, bansos</v>
      </c>
    </row>
    <row r="3">
      <c r="A3" s="17" t="str">
        <f>Cleaning!H11</f>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c r="B3" s="21" t="str">
        <f>IFERROR(__xludf.DUMMYFUNCTION("REGEXREPLACE(A3,"" "","", "")"),"app, sudah, berfungsi, dgn, baik, dan, bagussbg, masukan, data, nama, yg, terlihat, sbaiknya, tidak, berdasarkn, propinsikecamatan, dan, kelurahan, saja, tp, dilengkapi, dgn, dusun, dan, rtsaat, akan, melakukan, penilaian, kelayakan, serto, upload, foto, "&amp;"keadaan, orngnya, akan, tepat, dan, tdk, salah, orang, krn, dlm, satu, kelurahan, ada, nama, yg, sama, jg")</f>
        <v>app, sudah, berfungsi, dgn, baik, dan, bagussbg, masukan, data, nama, yg, terlihat, sbaiknya, tidak, berdasarkn, propinsikecamatan, dan, kelurahan, saja, tp, dilengkapi, dgn, dusun, dan, rtsaat, akan, melakukan, penilaian, kelayakan, serto, upload, foto, keadaan, orngnya, akan, tepat, dan, tdk, salah, orang, krn, dlm, satu, kelurahan, ada, nama, yg, sama, jg</v>
      </c>
    </row>
    <row r="4">
      <c r="A4" s="17" t="str">
        <f>Cleaning!H12</f>
        <v>gabisa login atau buat akun baru kenapa ya mohon beri keterangan dan dipermudah aplikasinya sangat berharap kepada pemerintah tp kesulitan untuk mendaftarkan diri trimakasih banyak semoga ada jalan terang</v>
      </c>
      <c r="B4" s="21" t="str">
        <f>IFERROR(__xludf.DUMMYFUNCTION("REGEXREPLACE(A4,"" "","", "")"),"gabisa, login, atau, buat, akun, baru, kenapa, ya, mohon, beri, keterangan, dan, dipermudah, aplikasinya, sangat, berharap, kepada, pemerintah, tp, kesulitan, untuk, mendaftarkan, diri, trimakasih, banyak, semoga, ada, jalan, terang")</f>
        <v>gabisa, login, atau, buat, akun, baru, kenapa, ya, mohon, beri, keterangan, dan, dipermudah, aplikasinya, sangat, berharap, kepada, pemerintah, tp, kesulitan, untuk, mendaftarkan, diri, trimakasih, banyak, semoga, ada, jalan, terang</v>
      </c>
    </row>
    <row r="5">
      <c r="A5" s="17" t="str">
        <f>Cleaning!H13</f>
        <v>saya gak pernah dapat bantuan apa apa cuma bisa lihat tetangga yg dapat yg ekonominya lebih baik dr saya dn kluarga mau bansos pkh atau apalah saya kira aplikasi ini membantu ternyata cuma php setiap membuat usulan selalu erorr</v>
      </c>
      <c r="B5" s="21" t="str">
        <f>IFERROR(__xludf.DUMMYFUNCTION("REGEXREPLACE(A5,"" "","", "")"),"saya, gak, pernah, dapat, bantuan, apa, apa, cuma, bisa, lihat, tetangga, yg, dapat, yg, ekonominya, lebih, baik, dr, saya, dn, kluarga, mau, bansos, pkh, atau, apalah, saya, kira, aplikasi, ini, membantu, ternyata, cuma, php, setiap, membuat, usulan, sel"&amp;"alu, erorr")</f>
        <v>saya, gak, pernah, dapat, bantuan, apa, apa, cuma, bisa, lihat, tetangga, yg, dapat, yg, ekonominya, lebih, baik, dr, saya, dn, kluarga, mau, bansos, pkh, atau, apalah, saya, kira, aplikasi, ini, membantu, ternyata, cuma, php, setiap, membuat, usulan, selalu, erorr</v>
      </c>
    </row>
    <row r="6">
      <c r="A6" s="17" t="str">
        <f>Cleaning!H14</f>
        <v>alhamdulillah setelah berhari hari gk bisa login tapi setelah di update sekarang udah bisa logindan udah bisa di buka aplikasinyaada satu lagi setelah bisa login tapi mau masukan usulan data error jasn tapi sekarang mau usul bansos stts belum cek terus dari  bln yg lalu</v>
      </c>
      <c r="B6" s="21" t="str">
        <f>IFERROR(__xludf.DUMMYFUNCTION("REGEXREPLACE(A6,"" "","", "")"),"alhamdulillah, setelah, berhari, hari, gk, bisa, login, tapi, setelah, di, update, sekarang, udah, bisa, logindan, udah, bisa, di, buka, aplikasinyaada, satu, lagi, setelah, bisa, login, tapi, mau, masukan, usulan, data, error, jasn, tapi, sekarang, mau, "&amp;"usul, bansos, stts, belum, cek, terus, dari, , bln, yg, lalu")</f>
        <v>alhamdulillah, setelah, berhari, hari, gk, bisa, login, tapi, setelah, di, update, sekarang, udah, bisa, logindan, udah, bisa, di, buka, aplikasinyaada, satu, lagi, setelah, bisa, login, tapi, mau, masukan, usulan, data, error, jasn, tapi, sekarang, mau, usul, bansos, stts, belum, cek, terus, dari, , bln, yg, lalu</v>
      </c>
    </row>
    <row r="7">
      <c r="A7" s="17" t="str">
        <f>Cleaning!H15</f>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gmn mau daftar bansos </v>
      </c>
      <c r="B7" s="21" t="str">
        <f>IFERROR(__xludf.DUMMYFUNCTION("REGEXREPLACE(A7,"" "","", "")"),"aplikasi, nya, susah, diakses, reset, paswor, selalu, eror, dan, hubungi, admin, sedangkan, tidak, ada, form, pengaduan, atau, call, center, di, aplikasinya, seharusnya, kalau, ingin, diakses, secara, online, banyak, kemudahan, dan, fitur, yang, ada, bisa"&amp;", di, gunakan, kalau, memang, ada, penjadwalan, misal, hanya, waktu, kerja, atau, tanggal, tanggal, tertentu, untuk, login, atau, daftar, ada, penjelasannya, di, dashboard, aplikasi, cek, bansos, kalau, aplikasi, sulit, diakses, oleh, masyarakat, awam, in"&amp;"i, saya, , gmn, mau, daftar, bansos, ")</f>
        <v>aplikasi, nya, susah, diakses, reset, paswor, selalu, eror, dan, hubungi, admin, sedangkan, tidak, ada, form, pengaduan, atau, call, center, di, aplikasinya, seharusnya, kalau, ingin, diakses, secara, online, banyak, kemudahan, dan, fitur, yang, ada, bisa, di, gunakan, kalau, memang, ada, penjadwalan, misal, hanya, waktu, kerja, atau, tanggal, tanggal, tertentu, untuk, login, atau, daftar, ada, penjelasannya, di, dashboard, aplikasi, cek, bansos, kalau, aplikasi, sulit, diakses, oleh, masyarakat, awam, ini, saya, , gmn, mau, daftar, bansos, </v>
      </c>
    </row>
    <row r="8">
      <c r="A8" s="17" t="str">
        <f>Cleaning!H16</f>
        <v>tolong dong admin aplikasi cek bansos saya sudah daftar sudah terverifikasi tapi saat saya mau tambah usulan kenapa error terus kadang error json parse kadang error hubungi admintolong dong supaya aplikasinya di tingkatkan lagi agar tidak error terus</v>
      </c>
      <c r="B8" s="21" t="str">
        <f>IFERROR(__xludf.DUMMYFUNCTION("REGEXREPLACE(A8,"" "","", "")"),"tolong, dong, admin, aplikasi, cek, bansos, saya, sudah, daftar, sudah, terverifikasi, tapi, saat, saya, mau, tambah, usulan, kenapa, error, terus, kadang, error, json, parse, kadang, error, hubungi, admintolong, dong, supaya, aplikasinya, di, tingkatkan,"&amp;" lagi, agar, tidak, error, terus")</f>
        <v>tolong, dong, admin, aplikasi, cek, bansos, saya, sudah, daftar, sudah, terverifikasi, tapi, saat, saya, mau, tambah, usulan, kenapa, error, terus, kadang, error, json, parse, kadang, error, hubungi, admintolong, dong, supaya, aplikasinya, di, tingkatkan, lagi, agar, tidak, error, terus</v>
      </c>
    </row>
    <row r="9">
      <c r="A9" s="17" t="str">
        <f>Cleaning!H17</f>
        <v>banyak yang bilang kalo apk ini error lah dll alhamdulillah gua sih lancar² aja mulai dari daftar login dan tambah usulan alhamdulillah lancar tapi gak tau gimana ke depannya di terima gak data kita sama kemensos itu aja sih yang penting hahaha </v>
      </c>
      <c r="B9" s="21" t="str">
        <f>IFERROR(__xludf.DUMMYFUNCTION("REGEXREPLACE(A9,"" "","", "")"),"banyak, yang, bilang, kalo, apk, ini, error, lah, dll, alhamdulillah, gua, sih, lancar², aja, mulai, dari, daftar, login, dan, tambah, usulan, alhamdulillah, lancar, tapi, gak, tau, gimana, ke, depannya, di, terima, gak, data, kita, sama, kemensos, itu, a"&amp;"ja, sih, yang, penting, hahaha, ")</f>
        <v>banyak, yang, bilang, kalo, apk, ini, error, lah, dll, alhamdulillah, gua, sih, lancar², aja, mulai, dari, daftar, login, dan, tambah, usulan, alhamdulillah, lancar, tapi, gak, tau, gimana, ke, depannya, di, terima, gak, data, kita, sama, kemensos, itu, aja, sih, yang, penting, hahaha, </v>
      </c>
    </row>
    <row r="10">
      <c r="A10" s="17" t="str">
        <f>Cleaning!H18</f>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c r="B10" s="21" t="str">
        <f>IFERROR(__xludf.DUMMYFUNCTION("REGEXREPLACE(A10,"" "","", "")"),"saya, beri, nilai, segini, karna, amat, sangat, kecewabukan, masalah, apk, yatapi, kenapa, saya, selalu, tida, dapat, menerima, bantuan, bansospkhsemacamnya, padahal, saya, orang, kurang, mampu, dan, aneh, ya, di, tempat, saya, orang, yg, termasuk, berada"&amp;", malah, dapet, bantuanmohon, untuk, bisa, di, dengar, untuk, semuanyamungkin, dari, kalian, juga, ada, yg, merasakan, yg, samasaya, curhat, disini, karna, apk, ya, juga, eror, jadi, saya, mengajukan, aduan, disinimohon, untuk, turun, kelapangan, saja, ag"&amp;"ar, bantuan, bisa, tepat, sasaran")</f>
        <v>saya, beri, nilai, segini, karna, amat, sangat, kecewabukan, masalah, apk, yatapi, kenapa, saya, selalu, tida, dapat, menerima, bantuan, bansospkhsemacamnya, padahal, saya, orang, kurang, mampu, dan, aneh, ya, di, tempat, saya, orang, yg, termasuk, berada, malah, dapet, bantuanmohon, untuk, bisa, di, dengar, untuk, semuanyamungkin, dari, kalian, juga, ada, yg, merasakan, yg, samasaya, curhat, disini, karna, apk, ya, juga, eror, jadi, saya, mengajukan, aduan, disinimohon, untuk, turun, kelapangan, saja, agar, bantuan, bisa, tepat, sasaran</v>
      </c>
    </row>
    <row r="11">
      <c r="A11" s="17" t="str">
        <f>Cleaning!H19</f>
        <v>komennya banyak yg gak bagustp krn sy sangat membutuhkan sy coba download jugahidup untungantp ternyata gak bisa loginsemua sudah benaremailnmr hp tp yg keluar paswordemail salahsy coba ganti pasword jawabannya tidak ditemukantolonglahkami rakyat gk mampusetelah corona kena phkjgn dipersulit</v>
      </c>
      <c r="B11" s="21" t="str">
        <f>IFERROR(__xludf.DUMMYFUNCTION("REGEXREPLACE(A11,"" "","", "")"),"komennya, banyak, yg, gak, bagustp, krn, sy, sangat, membutuhkan, sy, coba, download, jugahidup, untungantp, ternyata, gak, bisa, loginsemua, sudah, benaremailnmr, hp, tp, yg, keluar, paswordemail, salahsy, coba, ganti, pasword, jawabannya, tidak, ditemuk"&amp;"antolonglahkami, rakyat, gk, mampusetelah, corona, kena, phkjgn, dipersulit")</f>
        <v>komennya, banyak, yg, gak, bagustp, krn, sy, sangat, membutuhkan, sy, coba, download, jugahidup, untungantp, ternyata, gak, bisa, loginsemua, sudah, benaremailnmr, hp, tp, yg, keluar, paswordemail, salahsy, coba, ganti, pasword, jawabannya, tidak, ditemukantolonglahkami, rakyat, gk, mampusetelah, corona, kena, phkjgn, dipersulit</v>
      </c>
    </row>
    <row r="12">
      <c r="A12" s="17" t="str">
        <f>Cleaning!H20</f>
        <v>sedikit masukan untuk menu usulan sebaiknya ditambah kolom keterangan krna jika hnya melihat dr ktp dan foto rumah saja tdk bsa menggambarkan kseluruhan kondisi keluarga yg diusulkan tetangga saya ada yg rumahnya msh tanah tp sawah nya dmna dpt bntuan trs ada lansia yg tinggal sndri dan rumah jg pnya sodara mlh g dpt bantuan mohon bsa jd masukan agar dpt dikembangkan lg aplikasinya trims</v>
      </c>
      <c r="B12" s="21" t="str">
        <f>IFERROR(__xludf.DUMMYFUNCTION("REGEXREPLACE(A12,"" "","", "")"),"sedikit, masukan, untuk, menu, usulan, sebaiknya, ditambah, kolom, keterangan, krna, jika, hnya, melihat, dr, ktp, dan, foto, rumah, saja, tdk, bsa, menggambarkan, kseluruhan, kondisi, keluarga, yg, diusulkan, tetangga, saya, ada, yg, rumahnya, msh, tanah"&amp;", tp, sawah, nya, dmna, dpt, bntuan, trs, ada, lansia, yg, tinggal, sndri, dan, rumah, jg, pnya, sodara, mlh, g, dpt, bantuan, mohon, bsa, jd, masukan, agar, dpt, dikembangkan, lg, aplikasinya, trims")</f>
        <v>sedikit, masukan, untuk, menu, usulan, sebaiknya, ditambah, kolom, keterangan, krna, jika, hnya, melihat, dr, ktp, dan, foto, rumah, saja, tdk, bsa, menggambarkan, kseluruhan, kondisi, keluarga, yg, diusulkan, tetangga, saya, ada, yg, rumahnya, msh, tanah, tp, sawah, nya, dmna, dpt, bntuan, trs, ada, lansia, yg, tinggal, sndri, dan, rumah, jg, pnya, sodara, mlh, g, dpt, bantuan, mohon, bsa, jd, masukan, agar, dpt, dikembangkan, lg, aplikasinya, trims</v>
      </c>
    </row>
    <row r="13">
      <c r="A13" s="17" t="str">
        <f>Cleaning!H21</f>
        <v>awalnya sempet ragu dengan aplikasi ini karena sudah registrasi tapi tidak bisa dibuka ternyata harus nunggu di aktivasi terlebih dahulu setelah mendapatkan notifikasi bahwa sudah aktiv baru aplikasi ini bisa digunakan</v>
      </c>
      <c r="B13" s="21" t="str">
        <f>IFERROR(__xludf.DUMMYFUNCTION("REGEXREPLACE(A13,"" "","", "")"),"awalnya, sempet, ragu, dengan, aplikasi, ini, karena, sudah, registrasi, tapi, tidak, bisa, dibuka, ternyata, harus, nunggu, di, aktivasi, terlebih, dahulu, setelah, mendapatkan, notifikasi, bahwa, sudah, aktiv, baru, aplikasi, ini, bisa, digunakan")</f>
        <v>awalnya, sempet, ragu, dengan, aplikasi, ini, karena, sudah, registrasi, tapi, tidak, bisa, dibuka, ternyata, harus, nunggu, di, aktivasi, terlebih, dahulu, setelah, mendapatkan, notifikasi, bahwa, sudah, aktiv, baru, aplikasi, ini, bisa, digunakan</v>
      </c>
    </row>
    <row r="14">
      <c r="A14" s="17" t="str">
        <f>Cleaning!H22</f>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c r="B14" s="21" t="str">
        <f>IFERROR(__xludf.DUMMYFUNCTION("REGEXREPLACE(A14,"" "","", "")"),"kalau, bisa, beri, pilihan, batal, utk, tanggapan, kelayakan, karena, banyak, kesamaan, nama&amp;usia, dlm, satu, desawilayah, jadi, jika, ada, yg, salah, meng, klik, nama, dalam, memberikan, tanggapan, kelayakan, bisa, di, cancelterus, sebisa, mungkin, diset"&amp;"iap, nama, penerima, manfaat, dicantumkan, nama, dukuhdusunnya&amp;rtrw, nya, juga, krn, itu, sangat, penting, supaya, tepat, sasaran")</f>
        <v>kalau, bisa, beri, pilihan, batal, utk, tanggapan, kelayakan, karena, banyak, kesamaan, nama&amp;usia, dlm, satu, desawilayah, jadi, jika, ada, yg, salah, meng, klik, nama, dalam, memberikan, tanggapan, kelayakan, bisa, di, cancelterus, sebisa, mungkin, disetiap, nama, penerima, manfaat, dicantumkan, nama, dukuhdusunnya&amp;rtrw, nya, juga, krn, itu, sangat, penting, supaya, tepat, sasaran</v>
      </c>
    </row>
    <row r="15">
      <c r="A15" s="17" t="str">
        <f>Cleaning!H23</f>
        <v>yg eror aplikasinyacara mndaftarnya baru buat akun kok sudah terdaftar giliran login salah userpaswordjadi bingung bantuan cair cuma bisa lihatdengar dari jauh</v>
      </c>
      <c r="B15" s="21" t="str">
        <f>IFERROR(__xludf.DUMMYFUNCTION("REGEXREPLACE(A15,"" "","", "")"),"yg, eror, aplikasinyacara, mndaftarnya, baru, buat, akun, kok, sudah, terdaftar, giliran, login, salah, userpaswordjadi, bingung, bantuan, cair, cuma, bisa, lihatdengar, dari, jauh")</f>
        <v>yg, eror, aplikasinyacara, mndaftarnya, baru, buat, akun, kok, sudah, terdaftar, giliran, login, salah, userpaswordjadi, bingung, bantuan, cair, cuma, bisa, lihatdengar, dari, jauh</v>
      </c>
    </row>
    <row r="16">
      <c r="A16" s="17" t="str">
        <f>Cleaning!H24</f>
        <v>aplikasinya eror tidak bisa masukan data di logout login lg jg gk bisa kenapa rata rata aplikasi punya pemerintah sering down begini</v>
      </c>
      <c r="B16" s="21" t="str">
        <f>IFERROR(__xludf.DUMMYFUNCTION("REGEXREPLACE(A16,"" "","", "")"),"aplikasinya, eror, tidak, bisa, masukan, data, di, logout, login, lg, jg, gk, bisa, kenapa, rata, rata, aplikasi, punya, pemerintah, sering, down, begini")</f>
        <v>aplikasinya, eror, tidak, bisa, masukan, data, di, logout, login, lg, jg, gk, bisa, kenapa, rata, rata, aplikasi, punya, pemerintah, sering, down, begini</v>
      </c>
    </row>
    <row r="17">
      <c r="A17" s="17" t="str">
        <f>Cleaning!H25</f>
        <v>saya merubah ulasan saya karna saya sudah bisa masuk di aplikasi ini selanjutnya saya belum mencoba semuanya dan kita lihat nanti pungsi dari aplikasi iniapakah bintangnya bisa bertambahtetap atau malah berkurang</v>
      </c>
      <c r="B17" s="21" t="str">
        <f>IFERROR(__xludf.DUMMYFUNCTION("REGEXREPLACE(A17,"" "","", "")"),"saya, merubah, ulasan, saya, karna, saya, sudah, bisa, masuk, di, aplikasi, ini, selanjutnya, saya, belum, mencoba, semuanya, dan, kita, lihat, nanti, pungsi, dari, aplikasi, iniapakah, bintangnya, bisa, bertambahtetap, atau, malah, berkurang")</f>
        <v>saya, merubah, ulasan, saya, karna, saya, sudah, bisa, masuk, di, aplikasi, ini, selanjutnya, saya, belum, mencoba, semuanya, dan, kita, lihat, nanti, pungsi, dari, aplikasi, iniapakah, bintangnya, bisa, bertambahtetap, atau, malah, berkurang</v>
      </c>
    </row>
    <row r="18">
      <c r="A18" s="17" t="str">
        <f>Cleaning!H26</f>
        <v>aplikasi dan program yang sangat membantu masyarakat menengahmiskin atau rentan miskin sangat bermanfaat untuk penerima lanjutkan</v>
      </c>
      <c r="B18" s="21" t="str">
        <f>IFERROR(__xludf.DUMMYFUNCTION("REGEXREPLACE(A18,"" "","", "")"),"aplikasi, dan, program, yang, sangat, membantu, masyarakat, menengahmiskin, atau, rentan, miskin, sangat, bermanfaat, untuk, penerima, lanjutkan")</f>
        <v>aplikasi, dan, program, yang, sangat, membantu, masyarakat, menengahmiskin, atau, rentan, miskin, sangat, bermanfaat, untuk, penerima, lanjutkan</v>
      </c>
    </row>
    <row r="19">
      <c r="A19" s="17" t="str">
        <f>Cleaning!H27</f>
        <v>saya kasi  bintang bentuk apresiasi untuk pemerintah untuk go digital tapi saya mau bertanya kenapa situs pemerintahan sangat lambat loading dan kontak csnya gak ada yang respon jika dihubungi sedangkan kami ini yang pemula didunia digital dengan modal uang jajan bisa dapat server yg bagus walaupun diakses dengan koneksi internet seadanya heran dan lagilagi situs pemerintahan isinya kurang menarik mohon maaf</v>
      </c>
      <c r="B19" s="21" t="str">
        <f>IFERROR(__xludf.DUMMYFUNCTION("REGEXREPLACE(A19,"" "","", "")"),"saya, kasi, , bintang, bentuk, apresiasi, untuk, pemerintah, untuk, go, digital, tapi, saya, mau, bertanya, kenapa, situs, pemerintahan, sangat, lambat, loading, dan, kontak, csnya, gak, ada, yang, respon, jika, dihubungi, sedangkan, kami, ini, yang, pemu"&amp;"la, didunia, digital, dengan, modal, uang, jajan, bisa, dapat, server, yg, bagus, walaupun, diakses, dengan, koneksi, internet, seadanya, heran, dan, lagilagi, situs, pemerintahan, isinya, kurang, menarik, mohon, maaf")</f>
        <v>saya, kasi, , bintang, bentuk, apresiasi, untuk, pemerintah, untuk, go, digital, tapi, saya, mau, bertanya, kenapa, situs, pemerintahan, sangat, lambat, loading, dan, kontak, csnya, gak, ada, yang, respon, jika, dihubungi, sedangkan, kami, ini, yang, pemula, didunia, digital, dengan, modal, uang, jajan, bisa, dapat, server, yg, bagus, walaupun, diakses, dengan, koneksi, internet, seadanya, heran, dan, lagilagi, situs, pemerintahan, isinya, kurang, menarik, mohon, maaf</v>
      </c>
    </row>
    <row r="20">
      <c r="A20" s="17" t="str">
        <f>Cleaning!H28</f>
        <v>aplikasinya tidak bisa buat akun baru padahal semua data sudah terisi dan lengkap saat tekan buat akun akun muncul eror</v>
      </c>
      <c r="B20" s="21" t="str">
        <f>IFERROR(__xludf.DUMMYFUNCTION("REGEXREPLACE(A20,"" "","", "")"),"aplikasinya, tidak, bisa, buat, akun, baru, padahal, semua, data, sudah, terisi, dan, lengkap, saat, tekan, buat, akun, akun, muncul, eror")</f>
        <v>aplikasinya, tidak, bisa, buat, akun, baru, padahal, semua, data, sudah, terisi, dan, lengkap, saat, tekan, buat, akun, akun, muncul, eror</v>
      </c>
    </row>
    <row r="21">
      <c r="A21" s="17" t="str">
        <f>Cleaning!H29</f>
        <v>ini gimna yaa caranya setiap mau login selalu ada gangguan koneksi truss  padahal saya uda terima email ke  dri kemensos tinggal login aja tp selalu gak bisa di login tolonh balas donk kasi solusi nya</v>
      </c>
      <c r="B21" s="21" t="str">
        <f>IFERROR(__xludf.DUMMYFUNCTION("REGEXREPLACE(A21,"" "","", "")"),"ini, gimna, yaa, caranya, setiap, mau, login, selalu, ada, gangguan, koneksi, truss, , padahal, saya, uda, terima, email, ke, , dri, kemensos, tinggal, login, aja, tp, selalu, gak, bisa, di, login, tolonh, balas, donk, kasi, solusi, nya")</f>
        <v>ini, gimna, yaa, caranya, setiap, mau, login, selalu, ada, gangguan, koneksi, truss, , padahal, saya, uda, terima, email, ke, , dri, kemensos, tinggal, login, aja, tp, selalu, gak, bisa, di, login, tolonh, balas, donk, kasi, solusi, nya</v>
      </c>
    </row>
    <row r="22">
      <c r="A22" s="17" t="str">
        <f>Cleaning!H30</f>
        <v>kenapa tiap login mau tambah usulan selalu ada tulisan error json parse mohon bantuannya tolong diperbaiki lagi aplikasinya kalau error mulu gimana caranya mau daftar nih admin yang baik hati tolong dong benerin aplikasinya terima kasih</v>
      </c>
      <c r="B22" s="21" t="str">
        <f>IFERROR(__xludf.DUMMYFUNCTION("REGEXREPLACE(A22,"" "","", "")"),"kenapa, tiap, login, mau, tambah, usulan, selalu, ada, tulisan, error, json, parse, mohon, bantuannya, tolong, diperbaiki, lagi, aplikasinya, kalau, error, mulu, gimana, caranya, mau, daftar, nih, admin, yang, baik, hati, tolong, dong, benerin, aplikasiny"&amp;"a, terima, kasih")</f>
        <v>kenapa, tiap, login, mau, tambah, usulan, selalu, ada, tulisan, error, json, parse, mohon, bantuannya, tolong, diperbaiki, lagi, aplikasinya, kalau, error, mulu, gimana, caranya, mau, daftar, nih, admin, yang, baik, hati, tolong, dong, benerin, aplikasinya, terima, kasih</v>
      </c>
    </row>
    <row r="23">
      <c r="A23" s="17" t="str">
        <f>Cleaning!H31</f>
        <v>ubah jadi bintang  dulu karena aplikasi bisa berfungsi baik setelah update tinggal nunggu hasil dari usulan masyarakat yg di ajukan mandiri bisa berfungsi tidak</v>
      </c>
      <c r="B23" s="21" t="str">
        <f>IFERROR(__xludf.DUMMYFUNCTION("REGEXREPLACE(A23,"" "","", "")"),"ubah, jadi, bintang, , dulu, karena, aplikasi, bisa, berfungsi, baik, setelah, update, tinggal, nunggu, hasil, dari, usulan, masyarakat, yg, di, ajukan, mandiri, bisa, berfungsi, tidak")</f>
        <v>ubah, jadi, bintang, , dulu, karena, aplikasi, bisa, berfungsi, baik, setelah, update, tinggal, nunggu, hasil, dari, usulan, masyarakat, yg, di, ajukan, mandiri, bisa, berfungsi, tidak</v>
      </c>
    </row>
    <row r="24">
      <c r="A24" s="17" t="str">
        <f>Cleaning!H32</f>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c r="B24" s="21" t="str">
        <f>IFERROR(__xludf.DUMMYFUNCTION("REGEXREPLACE(A24,"" "","", "")"),"daftar, akun, baru, karna, gak, punya, akun, dicek, bansos, sudah, isi, data, sesuai, ktp, tetap, saja, gagal, katanyaterjadi, error, aplikasi, silahkan, hubungi, admintujuan, daftar, mau, ngusulkan, lansia, yang, layak, menerima, bansos, namun, tidak, da"&amp;"pat, bansos, hanya, dapat, beritannya, saja, sedang, mereka, sangat, membutuhkan")</f>
        <v>daftar, akun, baru, karna, gak, punya, akun, dicek, bansos, sudah, isi, data, sesuai, ktp, tetap, saja, gagal, katanyaterjadi, error, aplikasi, silahkan, hubungi, admintujuan, daftar, mau, ngusulkan, lansia, yang, layak, menerima, bansos, namun, tidak, dapat, bansos, hanya, dapat, beritannya, saja, sedang, mereka, sangat, membutuhkan</v>
      </c>
    </row>
    <row r="25">
      <c r="A25" s="17" t="str">
        <f>Cleaning!H33</f>
        <v>mohon ditingkatkan lagi admin karna di desa saya belum ada jaringan untuk mengupload setelah foto ktp dan foto rumah kalau bisa ada mode save nya agar ketika sudah dapat jaringan bisa di lanjutkan untuk pengaplotan usulan terimakasih salam desa awiu koltim aere</v>
      </c>
      <c r="B25" s="21" t="str">
        <f>IFERROR(__xludf.DUMMYFUNCTION("REGEXREPLACE(A25,"" "","", "")"),"mohon, ditingkatkan, lagi, admin, karna, di, desa, saya, belum, ada, jaringan, untuk, mengupload, setelah, foto, ktp, dan, foto, rumah, kalau, bisa, ada, mode, save, nya, agar, ketika, sudah, dapat, jaringan, bisa, di, lanjutkan, untuk, pengaplotan, usula"&amp;"n, terimakasih, salam, desa, awiu, koltim, aere")</f>
        <v>mohon, ditingkatkan, lagi, admin, karna, di, desa, saya, belum, ada, jaringan, untuk, mengupload, setelah, foto, ktp, dan, foto, rumah, kalau, bisa, ada, mode, save, nya, agar, ketika, sudah, dapat, jaringan, bisa, di, lanjutkan, untuk, pengaplotan, usulan, terimakasih, salam, desa, awiu, koltim, aere</v>
      </c>
    </row>
    <row r="26">
      <c r="A26" s="17" t="str">
        <f>Cleaning!H34</f>
        <v>bg yg msh sulit logincoba langkah login dibawahdr pengalaman sy   apdate aplikasi  hapus cache  sinyal bagus  akun sdh aktifaktivasi akun berhasil  login pake username yg dikirim melalui email  mohon bersabar ini ujian</v>
      </c>
      <c r="B26" s="21" t="str">
        <f>IFERROR(__xludf.DUMMYFUNCTION("REGEXREPLACE(A26,"" "","", "")"),"bg, yg, msh, sulit, logincoba, langkah, login, dibawahdr, pengalaman, sy, , , apdate, aplikasi, , hapus, cache, , sinyal, bagus, , akun, sdh, aktifaktivasi, akun, berhasil, , login, pake, username, yg, dikirim, melalui, email, , mohon, bersabar, ini, ujia"&amp;"n")</f>
        <v>bg, yg, msh, sulit, logincoba, langkah, login, dibawahdr, pengalaman, sy, , , apdate, aplikasi, , hapus, cache, , sinyal, bagus, , akun, sdh, aktifaktivasi, akun, berhasil, , login, pake, username, yg, dikirim, melalui, email, , mohon, bersabar, ini, ujian</v>
      </c>
    </row>
    <row r="27">
      <c r="A27" s="17" t="str">
        <f>Cleaning!H35</f>
        <v>aplikasinya sulit login sdh  bln gak masuk data dtks harus berjuang bagi pasien gagal ginjal boro dpt sembako biaya berobat aja pbi kaga dapat mana org dinsos yang datang dpt email verifikasi tapi belum di cek oleh dinsos nya</v>
      </c>
      <c r="B27" s="21" t="str">
        <f>IFERROR(__xludf.DUMMYFUNCTION("REGEXREPLACE(A27,"" "","", "")"),"aplikasinya, sulit, login, sdh, , bln, gak, masuk, data, dtks, harus, berjuang, bagi, pasien, gagal, ginjal, boro, dpt, sembako, biaya, berobat, aja, pbi, kaga, dapat, mana, org, dinsos, yang, datang, dpt, email, verifikasi, tapi, belum, di, cek, oleh, di"&amp;"nsos, nya")</f>
        <v>aplikasinya, sulit, login, sdh, , bln, gak, masuk, data, dtks, harus, berjuang, bagi, pasien, gagal, ginjal, boro, dpt, sembako, biaya, berobat, aja, pbi, kaga, dapat, mana, org, dinsos, yang, datang, dpt, email, verifikasi, tapi, belum, di, cek, oleh, dinsos, nya</v>
      </c>
    </row>
    <row r="28">
      <c r="A28" s="17" t="str">
        <f>Cleaning!H36</f>
        <v>aduh ada yang tau cara merubah data nya gak ya karena kurang teliti saya data nya ada yang salah tolong kasih tau donk cara merubah data dah saya uninstall download berkali² tetap aja</v>
      </c>
      <c r="B28" s="21" t="str">
        <f>IFERROR(__xludf.DUMMYFUNCTION("REGEXREPLACE(A28,"" "","", "")"),"aduh, ada, yang, tau, cara, merubah, data, nya, gak, ya, karena, kurang, teliti, saya, data, nya, ada, yang, salah, tolong, kasih, tau, donk, cara, merubah, data, dah, saya, uninstall, download, berkali², tetap, aja")</f>
        <v>aduh, ada, yang, tau, cara, merubah, data, nya, gak, ya, karena, kurang, teliti, saya, data, nya, ada, yang, salah, tolong, kasih, tau, donk, cara, merubah, data, dah, saya, uninstall, download, berkali², tetap, aja</v>
      </c>
    </row>
    <row r="29">
      <c r="A29" s="17" t="str">
        <f>Cleaning!H37</f>
        <v>sengaja saya kasih bintang  biar di tanggapi cepat kenapa waktu penambahan usulan mandiri tidak bisa di upload dngen keterangan error json parse setiap kali mau upload selalu muncul keterangan seperti itutolong jelaskan masalah nya dan solusi nya bagaimana</v>
      </c>
      <c r="B29" s="21" t="str">
        <f>IFERROR(__xludf.DUMMYFUNCTION("REGEXREPLACE(A29,"" "","", "")"),"sengaja, saya, kasih, bintang, , biar, di, tanggapi, cepat, kenapa, waktu, penambahan, usulan, mandiri, tidak, bisa, di, upload, dngen, keterangan, error, json, parse, setiap, kali, mau, upload, selalu, muncul, keterangan, seperti, itutolong, jelaskan, ma"&amp;"salah, nya, dan, solusi, nya, bagaimana")</f>
        <v>sengaja, saya, kasih, bintang, , biar, di, tanggapi, cepat, kenapa, waktu, penambahan, usulan, mandiri, tidak, bisa, di, upload, dngen, keterangan, error, json, parse, setiap, kali, mau, upload, selalu, muncul, keterangan, seperti, itutolong, jelaskan, masalah, nya, dan, solusi, nya, bagaimana</v>
      </c>
    </row>
    <row r="30">
      <c r="A30" s="17" t="str">
        <f>Cleaning!H38</f>
        <v>sangat tidak membantu benar² sdh buat akun baru dgn teliti dan ketika mau masukkacau tidak bisa dibuka tolong solusinya utk aplikasi cek bansos nya</v>
      </c>
      <c r="B30" s="21" t="str">
        <f>IFERROR(__xludf.DUMMYFUNCTION("REGEXREPLACE(A30,"" "","", "")"),"sangat, tidak, membantu, benar², sdh, buat, akun, baru, dgn, teliti, dan, ketika, mau, masukkacau, tidak, bisa, dibuka, tolong, solusinya, utk, aplikasi, cek, bansos, nya")</f>
        <v>sangat, tidak, membantu, benar², sdh, buat, akun, baru, dgn, teliti, dan, ketika, mau, masukkacau, tidak, bisa, dibuka, tolong, solusinya, utk, aplikasi, cek, bansos, nya</v>
      </c>
    </row>
    <row r="31">
      <c r="A31" s="17" t="str">
        <f>Cleaning!H39</f>
        <v>ini kenapa yaa ga bisa login padahal username nya udh bener  tapi tetep ga bisa login keterangannya usernamepassword salah   mohon info nya terima kasihh</v>
      </c>
      <c r="B31" s="21" t="str">
        <f>IFERROR(__xludf.DUMMYFUNCTION("REGEXREPLACE(A31,"" "","", "")"),"ini, kenapa, yaa, ga, bisa, login, padahal, username, nya, udh, bener, , tapi, tetep, ga, bisa, login, keterangannya, usernamepassword, salah, , , mohon, info, nya, terima, kasihh")</f>
        <v>ini, kenapa, yaa, ga, bisa, login, padahal, username, nya, udh, bener, , tapi, tetep, ga, bisa, login, keterangannya, usernamepassword, salah, , , mohon, info, nya, terima, kasihh</v>
      </c>
    </row>
    <row r="32">
      <c r="A32" s="17" t="str">
        <f>Cleaning!H40</f>
        <v>biar di baca sama yang buat apk saya udah daftar dan udah verivukasi ke email trus masuk pakek user name tulisannya belum terdaftar trus buat lagi tapi tulisannya sudah terdaftar udah gua coba berapa kali tetep ae sama</v>
      </c>
      <c r="B32" s="21" t="str">
        <f>IFERROR(__xludf.DUMMYFUNCTION("REGEXREPLACE(A32,"" "","", "")"),"biar, di, baca, sama, yang, buat, apk, saya, udah, daftar, dan, udah, verivukasi, ke, email, trus, masuk, pakek, user, name, tulisannya, belum, terdaftar, trus, buat, lagi, tapi, tulisannya, sudah, terdaftar, udah, gua, coba, berapa, kali, tetep, ae, sama")</f>
        <v>biar, di, baca, sama, yang, buat, apk, saya, udah, daftar, dan, udah, verivukasi, ke, email, trus, masuk, pakek, user, name, tulisannya, belum, terdaftar, trus, buat, lagi, tapi, tulisannya, sudah, terdaftar, udah, gua, coba, berapa, kali, tetep, ae, sama</v>
      </c>
    </row>
    <row r="33">
      <c r="A33" s="17" t="str">
        <f>Cleaning!H41</f>
        <v>uda hampir  bulanmasi jg dalam perbaikan aplikasi inigimanah mau usulan sangga kalau aplikasi nya saja sampai skrg blm bsh d gunakantlg dong d percepat perbaikan sistim aplikasi nyaagar bisa dapat bantuan bbm dr pemerintahmasa yg dapat kpm lamayg cuma dapat bantuan pbi gak dapat bantuan bbmkatanya setiap bulan selalu d aupdet kok gak sesuai ap yg d janjikan</v>
      </c>
      <c r="B33" s="21" t="str">
        <f>IFERROR(__xludf.DUMMYFUNCTION("REGEXREPLACE(A33,"" "","", "")"),"uda, hampir, , bulanmasi, jg, dalam, perbaikan, aplikasi, inigimanah, mau, usulan, sangga, kalau, aplikasi, nya, saja, sampai, skrg, blm, bsh, d, gunakantlg, dong, d, percepat, perbaikan, sistim, aplikasi, nyaagar, bisa, dapat, bantuan, bbm, dr, pemerinta"&amp;"hmasa, yg, dapat, kpm, lamayg, cuma, dapat, bantuan, pbi, gak, dapat, bantuan, bbmkatanya, setiap, bulan, selalu, d, aupdet, kok, gak, sesuai, ap, yg, d, janjikan")</f>
        <v>uda, hampir, , bulanmasi, jg, dalam, perbaikan, aplikasi, inigimanah, mau, usulan, sangga, kalau, aplikasi, nya, saja, sampai, skrg, blm, bsh, d, gunakantlg, dong, d, percepat, perbaikan, sistim, aplikasi, nyaagar, bisa, dapat, bantuan, bbm, dr, pemerintahmasa, yg, dapat, kpm, lamayg, cuma, dapat, bantuan, pbi, gak, dapat, bantuan, bbmkatanya, setiap, bulan, selalu, d, aupdet, kok, gak, sesuai, ap, yg, d, janjikan</v>
      </c>
    </row>
    <row r="34">
      <c r="A34" s="17" t="str">
        <f>Cleaning!H42</f>
        <v>susah banget di buka padahal udah daftarharusnya gampang di buka setiap buka user name belum di lakukan aktivasi selalu begitu knpa yatrus cek gmail juga nggak ada</v>
      </c>
      <c r="B34" s="21" t="str">
        <f>IFERROR(__xludf.DUMMYFUNCTION("REGEXREPLACE(A34,"" "","", "")"),"susah, banget, di, buka, padahal, udah, daftarharusnya, gampang, di, buka, setiap, buka, user, name, belum, di, lakukan, aktivasi, selalu, begitu, knpa, yatrus, cek, gmail, juga, nggak, ada")</f>
        <v>susah, banget, di, buka, padahal, udah, daftarharusnya, gampang, di, buka, setiap, buka, user, name, belum, di, lakukan, aktivasi, selalu, begitu, knpa, yatrus, cek, gmail, juga, nggak, ada</v>
      </c>
    </row>
    <row r="35">
      <c r="A35" s="17" t="str">
        <f>Cleaning!H43</f>
        <v>sudah bagus walau pun pengiriman data sangat downkarna server nya padat merayap seluruh indonesiasemoga dengan aplikasi ini bantuan dari pemerintah bisa tepat sasaran untuk yang membutukan</v>
      </c>
      <c r="B35" s="21" t="str">
        <f>IFERROR(__xludf.DUMMYFUNCTION("REGEXREPLACE(A35,"" "","", "")"),"sudah, bagus, walau, pun, pengiriman, data, sangat, downkarna, server, nya, padat, merayap, seluruh, indonesiasemoga, dengan, aplikasi, ini, bantuan, dari, pemerintah, bisa, tepat, sasaran, untuk, yang, membutukan")</f>
        <v>sudah, bagus, walau, pun, pengiriman, data, sangat, downkarna, server, nya, padat, merayap, seluruh, indonesiasemoga, dengan, aplikasi, ini, bantuan, dari, pemerintah, bisa, tepat, sasaran, untuk, yang, membutukan</v>
      </c>
    </row>
    <row r="36">
      <c r="A36" s="17" t="str">
        <f>Cleaning!H44</f>
        <v>ini kenapa yaa saya mau login tapi sandi selalu salah saya coba lupa kata sandi dan sudah berhasil di kirim sandi baru saya cek email memang ada email masuk tapi tidak ada sandi baru sudah saya cba berkali kali tetap seperti itu mohon bantuan nya</v>
      </c>
      <c r="B36" s="21" t="str">
        <f>IFERROR(__xludf.DUMMYFUNCTION("REGEXREPLACE(A36,"" "","", "")"),"ini, kenapa, yaa, saya, mau, login, tapi, sandi, selalu, salah, saya, coba, lupa, kata, sandi, dan, sudah, berhasil, di, kirim, sandi, baru, saya, cek, email, memang, ada, email, masuk, tapi, tidak, ada, sandi, baru, sudah, saya, cba, berkali, kali, tetap"&amp;", seperti, itu, mohon, bantuan, nya")</f>
        <v>ini, kenapa, yaa, saya, mau, login, tapi, sandi, selalu, salah, saya, coba, lupa, kata, sandi, dan, sudah, berhasil, di, kirim, sandi, baru, saya, cek, email, memang, ada, email, masuk, tapi, tidak, ada, sandi, baru, sudah, saya, cba, berkali, kali, tetap, seperti, itu, mohon, bantuan, nya</v>
      </c>
    </row>
    <row r="37">
      <c r="A37" s="17" t="str">
        <f>Cleaning!H45</f>
        <v>error terus waktu mau login nya tolong dong diperbaiki kualitas server nyaapalagi ini kan menyangkut pengajuan bantuan bagi masyarakat</v>
      </c>
      <c r="B37" s="21" t="str">
        <f>IFERROR(__xludf.DUMMYFUNCTION("REGEXREPLACE(A37,"" "","", "")"),"error, terus, waktu, mau, login, nya, tolong, dong, diperbaiki, kualitas, server, nyaapalagi, ini, kan, menyangkut, pengajuan, bantuan, bagi, masyarakat")</f>
        <v>error, terus, waktu, mau, login, nya, tolong, dong, diperbaiki, kualitas, server, nyaapalagi, ini, kan, menyangkut, pengajuan, bantuan, bagi, masyarakat</v>
      </c>
    </row>
    <row r="38">
      <c r="A38" s="17" t="str">
        <f>Cleaning!H46</f>
        <v>alhamdulillah sudah bisa aktivasi dan sudah bisa mengajukan bantuan tinggal nunggu di setujui tapi saya kasih bintang  dulu soal nya di profil jumlah keluarga cuma tiga fakta nya jumlah keluarga saya  empat suamikepala rumah tangga istri lagi hamil dan anak saya  yang tertera di aplikasi anak saya cuma  satu nanti kalau data sudah akurat saya kasih bintang  terima kasih</v>
      </c>
      <c r="B38" s="21" t="str">
        <f>IFERROR(__xludf.DUMMYFUNCTION("REGEXREPLACE(A38,"" "","", "")"),"alhamdulillah, sudah, bisa, aktivasi, dan, sudah, bisa, mengajukan, bantuan, tinggal, nunggu, di, setujui, tapi, saya, kasih, bintang, , dulu, soal, nya, di, profil, jumlah, keluarga, cuma, tiga, fakta, nya, jumlah, keluarga, saya, , empat, suamikepala, r"&amp;"umah, tangga, istri, lagi, hamil, dan, anak, saya, , yang, tertera, di, aplikasi, anak, saya, cuma, , satu, nanti, kalau, data, sudah, akurat, saya, kasih, bintang, , terima, kasih")</f>
        <v>alhamdulillah, sudah, bisa, aktivasi, dan, sudah, bisa, mengajukan, bantuan, tinggal, nunggu, di, setujui, tapi, saya, kasih, bintang, , dulu, soal, nya, di, profil, jumlah, keluarga, cuma, tiga, fakta, nya, jumlah, keluarga, saya, , empat, suamikepala, rumah, tangga, istri, lagi, hamil, dan, anak, saya, , yang, tertera, di, aplikasi, anak, saya, cuma, , satu, nanti, kalau, data, sudah, akurat, saya, kasih, bintang, , terima, kasih</v>
      </c>
    </row>
    <row r="39">
      <c r="A39" s="17" t="str">
        <f>Cleaning!H47</f>
        <v>kenapa akun yg saya daftar tidak bisa mskyg kluar terjadi aplikasi errordan hubungin atmin sdh berulang kali saya coba ttp seperti itu juga jwb y  knpa </v>
      </c>
      <c r="B39" s="21" t="str">
        <f>IFERROR(__xludf.DUMMYFUNCTION("REGEXREPLACE(A39,"" "","", "")"),"kenapa, akun, yg, saya, daftar, tidak, bisa, mskyg, kluar, terjadi, aplikasi, errordan, hubungin, atmin, sdh, berulang, kali, saya, coba, ttp, seperti, itu, juga, jwb, y, , knpa, ")</f>
        <v>kenapa, akun, yg, saya, daftar, tidak, bisa, mskyg, kluar, terjadi, aplikasi, errordan, hubungin, atmin, sdh, berulang, kali, saya, coba, ttp, seperti, itu, juga, jwb, y, , knpa, </v>
      </c>
    </row>
    <row r="40">
      <c r="A40" s="17" t="str">
        <f>Cleaning!H48</f>
        <v>assalamualaikum wrrb saya mau tambah di menu usulan tapi saya mau upload foto ktp sama foto depan rumah selalukembali ke menu utama lagi  minta tolong solusinya saya membutuhkan masuk dtks istri dan anak masuk tapi saya tidak  saya butuh harian lepas karena saya membutuhkan subsidi listrik</v>
      </c>
      <c r="B40" s="21" t="str">
        <f>IFERROR(__xludf.DUMMYFUNCTION("REGEXREPLACE(A40,"" "","", "")"),"assalamualaikum, wrrb, saya, mau, tambah, di, menu, usulan, tapi, saya, mau, upload, foto, ktp, sama, foto, depan, rumah, selalukembali, ke, menu, utama, lagi, , minta, tolong, solusinya, saya, membutuhkan, masuk, dtks, istri, dan, anak, masuk, tapi, saya"&amp;", tidak, , saya, butuh, harian, lepas, karena, saya, membutuhkan, subsidi, listrik")</f>
        <v>assalamualaikum, wrrb, saya, mau, tambah, di, menu, usulan, tapi, saya, mau, upload, foto, ktp, sama, foto, depan, rumah, selalukembali, ke, menu, utama, lagi, , minta, tolong, solusinya, saya, membutuhkan, masuk, dtks, istri, dan, anak, masuk, tapi, saya, tidak, , saya, butuh, harian, lepas, karena, saya, membutuhkan, subsidi, listrik</v>
      </c>
    </row>
    <row r="41">
      <c r="A41" s="17" t="str">
        <f>Cleaning!H49</f>
        <v>dapet email aktivasi akun coba login ngga bisa terjadi masalah koneksi sama saya di upgrade tapi tetep aja ngga bisa masih ada tulisan terjadi masalah koneksi jadi ginana ini</v>
      </c>
      <c r="B41" s="21" t="str">
        <f>IFERROR(__xludf.DUMMYFUNCTION("REGEXREPLACE(A41,"" "","", "")"),"dapet, email, aktivasi, akun, coba, login, ngga, bisa, terjadi, masalah, koneksi, sama, saya, di, upgrade, tapi, tetep, aja, ngga, bisa, masih, ada, tulisan, terjadi, masalah, koneksi, jadi, ginana, ini")</f>
        <v>dapet, email, aktivasi, akun, coba, login, ngga, bisa, terjadi, masalah, koneksi, sama, saya, di, upgrade, tapi, tetep, aja, ngga, bisa, masih, ada, tulisan, terjadi, masalah, koneksi, jadi, ginana, ini</v>
      </c>
    </row>
    <row r="42">
      <c r="A42" s="17" t="str">
        <f>Cleaning!H50</f>
        <v>kata nya daftar bisa dapet set top box sudah mengusulkan tapi tidak menu pilihan stb gratis aplikasi tidak yg bikin yang bener lah masa error terus</v>
      </c>
      <c r="B42" s="21" t="str">
        <f>IFERROR(__xludf.DUMMYFUNCTION("REGEXREPLACE(A42,"" "","", "")"),"kata, nya, daftar, bisa, dapet, set, top, box, sudah, mengusulkan, tapi, tidak, menu, pilihan, stb, gratis, aplikasi, tidak, yg, bikin, yang, bener, lah, masa, error, terus")</f>
        <v>kata, nya, daftar, bisa, dapet, set, top, box, sudah, mengusulkan, tapi, tidak, menu, pilihan, stb, gratis, aplikasi, tidak, yg, bikin, yang, bener, lah, masa, error, terus</v>
      </c>
    </row>
    <row r="43">
      <c r="A43" s="17" t="str">
        <f>Cleaning!H51</f>
        <v>dari semua ulasan semuanya mengeluh tdk bisa login termasuk saya tapi knp tdk di tindak lanjuti tidak ada perbaikan tolong dong di perbaiki</v>
      </c>
      <c r="B43" s="21" t="str">
        <f>IFERROR(__xludf.DUMMYFUNCTION("REGEXREPLACE(A43,"" "","", "")"),"dari, semua, ulasan, semuanya, mengeluh, tdk, bisa, login, termasuk, saya, tapi, knp, tdk, di, tindak, lanjuti, tidak, ada, perbaikan, tolong, dong, di, perbaiki")</f>
        <v>dari, semua, ulasan, semuanya, mengeluh, tdk, bisa, login, termasuk, saya, tapi, knp, tdk, di, tindak, lanjuti, tidak, ada, perbaikan, tolong, dong, di, perbaiki</v>
      </c>
    </row>
    <row r="44">
      <c r="A44" s="17" t="str">
        <f>Cleaning!H52</f>
        <v>saat saya meregistrasi aplikasi ini cuma  minggu sudah dapat pemberitahuan bahwa akun saya berhasil di registerasi tapi kenapa saat saya login kembali ke aplikasi nya selalu eror dengan tulisan error json parse</v>
      </c>
      <c r="B44" s="21" t="str">
        <f>IFERROR(__xludf.DUMMYFUNCTION("REGEXREPLACE(A44,"" "","", "")"),"saat, saya, meregistrasi, aplikasi, ini, cuma, , minggu, sudah, dapat, pemberitahuan, bahwa, akun, saya, berhasil, di, registerasi, tapi, kenapa, saat, saya, login, kembali, ke, aplikasi, nya, selalu, eror, dengan, tulisan, error, json, parse")</f>
        <v>saat, saya, meregistrasi, aplikasi, ini, cuma, , minggu, sudah, dapat, pemberitahuan, bahwa, akun, saya, berhasil, di, registerasi, tapi, kenapa, saat, saya, login, kembali, ke, aplikasi, nya, selalu, eror, dengan, tulisan, error, json, parse</v>
      </c>
    </row>
    <row r="45">
      <c r="A45" s="17" t="str">
        <f>Cleaning!H53</f>
        <v>aplikasinya bagus sangat membantu bagi yang sudah menerima bantuan dari pemerintahbuat yang belum dapat bsu buat pekerja yang aktif bayar bpjs tktapi masih belum terima aplikasi ini tidak berguna &amp; mengecewakan</v>
      </c>
      <c r="B45" s="21" t="str">
        <f>IFERROR(__xludf.DUMMYFUNCTION("REGEXREPLACE(A45,"" "","", "")"),"aplikasinya, bagus, sangat, membantu, bagi, yang, sudah, menerima, bantuan, dari, pemerintahbuat, yang, belum, dapat, bsu, buat, pekerja, yang, aktif, bayar, bpjs, tktapi, masih, belum, terima, aplikasi, ini, tidak, berguna, &amp;, mengecewakan")</f>
        <v>aplikasinya, bagus, sangat, membantu, bagi, yang, sudah, menerima, bantuan, dari, pemerintahbuat, yang, belum, dapat, bsu, buat, pekerja, yang, aktif, bayar, bpjs, tktapi, masih, belum, terima, aplikasi, ini, tidak, berguna, &amp;, mengecewakan</v>
      </c>
    </row>
    <row r="46">
      <c r="A46" s="17" t="str">
        <f>Cleaning!H54</f>
        <v>akhirnya bisa juga selama  bulan lebih trus mencoba walaupun error trs tetap berusaha dan akhirnya alhamdulillah berhasil tambah usulan</v>
      </c>
      <c r="B46" s="21" t="str">
        <f>IFERROR(__xludf.DUMMYFUNCTION("REGEXREPLACE(A46,"" "","", "")"),"akhirnya, bisa, juga, selama, , bulan, lebih, trus, mencoba, walaupun, error, trs, tetap, berusaha, dan, akhirnya, alhamdulillah, berhasil, tambah, usulan")</f>
        <v>akhirnya, bisa, juga, selama, , bulan, lebih, trus, mencoba, walaupun, error, trs, tetap, berusaha, dan, akhirnya, alhamdulillah, berhasil, tambah, usulan</v>
      </c>
    </row>
    <row r="47">
      <c r="A47" s="17" t="str">
        <f>Cleaning!H55</f>
        <v>setiap mau login tidak bisa katanya akun belom terverivikasi  padahal udah lama terverivikasi gimana mu dipake ini aplikasi</v>
      </c>
      <c r="B47" s="21" t="str">
        <f>IFERROR(__xludf.DUMMYFUNCTION("REGEXREPLACE(A47,"" "","", "")"),"setiap, mau, login, tidak, bisa, katanya, akun, belom, terverivikasi, , padahal, udah, lama, terverivikasi, gimana, mu, dipake, ini, aplikasi")</f>
        <v>setiap, mau, login, tidak, bisa, katanya, akun, belom, terverivikasi, , padahal, udah, lama, terverivikasi, gimana, mu, dipake, ini, aplikasi</v>
      </c>
    </row>
    <row r="48">
      <c r="A48" s="17" t="str">
        <f>Cleaning!H56</f>
        <v>kasih bintang lima walau sudah terverifikasi dan disetujui itu pun harus menunggu  bulan lebih  tapi tetap tidak bisa masuk dalam aplikasi mantapmantaptidak menyesal saya mendownload aplikasi ini tapi kenapa harus di pertemukan dengan aplikasi seperti ini </v>
      </c>
      <c r="B48" s="21" t="str">
        <f>IFERROR(__xludf.DUMMYFUNCTION("REGEXREPLACE(A48,"" "","", "")"),"kasih, bintang, lima, walau, sudah, terverifikasi, dan, disetujui, itu, pun, harus, menunggu, , bulan, lebih, , tapi, tetap, tidak, bisa, masuk, dalam, aplikasi, mantapmantaptidak, menyesal, saya, mendownload, aplikasi, ini, tapi, kenapa, harus, di, perte"&amp;"mukan, dengan, aplikasi, seperti, ini, ")</f>
        <v>kasih, bintang, lima, walau, sudah, terverifikasi, dan, disetujui, itu, pun, harus, menunggu, , bulan, lebih, , tapi, tetap, tidak, bisa, masuk, dalam, aplikasi, mantapmantaptidak, menyesal, saya, mendownload, aplikasi, ini, tapi, kenapa, harus, di, pertemukan, dengan, aplikasi, seperti, ini, </v>
      </c>
    </row>
    <row r="49">
      <c r="A49" s="17" t="str">
        <f>Cleaning!H57</f>
        <v>ini gimana ya saya sudah daftar pas login kok ga bisa masuk padahal nama dan pasword sudah benar jelasin dengan detil aktivasi sebenarnya gimana</v>
      </c>
      <c r="B49" s="21" t="str">
        <f>IFERROR(__xludf.DUMMYFUNCTION("REGEXREPLACE(A49,"" "","", "")"),"ini, gimana, ya, saya, sudah, daftar, pas, login, kok, ga, bisa, masuk, padahal, nama, dan, pasword, sudah, benar, jelasin, dengan, detil, aktivasi, sebenarnya, gimana")</f>
        <v>ini, gimana, ya, saya, sudah, daftar, pas, login, kok, ga, bisa, masuk, padahal, nama, dan, pasword, sudah, benar, jelasin, dengan, detil, aktivasi, sebenarnya, gimana</v>
      </c>
    </row>
    <row r="50">
      <c r="A50" s="17" t="str">
        <f>Cleaning!H58</f>
        <v>aplikasi ini memang bisa diandal kan kalo hanya untuk mendaptar tapi seharus nya di cantumkan nama dan no nik baru jelas jadi gk bingung kita karena kalo hanya nama saja susah mbedakan karena nama banyak yang sama</v>
      </c>
      <c r="B50" s="21" t="str">
        <f>IFERROR(__xludf.DUMMYFUNCTION("REGEXREPLACE(A50,"" "","", "")"),"aplikasi, ini, memang, bisa, diandal, kan, kalo, hanya, untuk, mendaptar, tapi, seharus, nya, di, cantumkan, nama, dan, no, nik, baru, jelas, jadi, gk, bingung, kita, karena, kalo, hanya, nama, saja, susah, mbedakan, karena, nama, banyak, yang, sama")</f>
        <v>aplikasi, ini, memang, bisa, diandal, kan, kalo, hanya, untuk, mendaptar, tapi, seharus, nya, di, cantumkan, nama, dan, no, nik, baru, jelas, jadi, gk, bingung, kita, karena, kalo, hanya, nama, saja, susah, mbedakan, karena, nama, banyak, yang, sama</v>
      </c>
    </row>
    <row r="51">
      <c r="A51" s="17" t="str">
        <f>Cleaning!H59</f>
        <v>trimakasih aplikasi ini membuat nambah pengalaman juga dan membuat saya dapat blt dari dulu saya gak pernah dpat sekarang berkat aplikasi ini jadi dapat blt</v>
      </c>
      <c r="B51" s="21" t="str">
        <f>IFERROR(__xludf.DUMMYFUNCTION("REGEXREPLACE(A51,"" "","", "")"),"trimakasih, aplikasi, ini, membuat, nambah, pengalaman, juga, dan, membuat, saya, dapat, blt, dari, dulu, saya, gak, pernah, dpat, sekarang, berkat, aplikasi, ini, jadi, dapat, blt")</f>
        <v>trimakasih, aplikasi, ini, membuat, nambah, pengalaman, juga, dan, membuat, saya, dapat, blt, dari, dulu, saya, gak, pernah, dpat, sekarang, berkat, aplikasi, ini, jadi, dapat, blt</v>
      </c>
    </row>
    <row r="52">
      <c r="A52" s="17" t="str">
        <f>Cleaning!H60</f>
        <v>tolong admin aplikasi nya d perbaiki lagi sy sdh mengisi formulir usulan sampai penuh dan setiap tinggal klik tambah usulan selalu error tolong ini di perbaiki trimakasih </v>
      </c>
      <c r="B52" s="21" t="str">
        <f>IFERROR(__xludf.DUMMYFUNCTION("REGEXREPLACE(A52,"" "","", "")"),"tolong, admin, aplikasi, nya, d, perbaiki, lagi, sy, sdh, mengisi, formulir, usulan, sampai, penuh, dan, setiap, tinggal, klik, tambah, usulan, selalu, error, tolong, ini, di, perbaiki, trimakasih, ")</f>
        <v>tolong, admin, aplikasi, nya, d, perbaiki, lagi, sy, sdh, mengisi, formulir, usulan, sampai, penuh, dan, setiap, tinggal, klik, tambah, usulan, selalu, error, tolong, ini, di, perbaiki, trimakasih, </v>
      </c>
    </row>
    <row r="53">
      <c r="A53" s="17" t="str">
        <f>Cleaning!H61</f>
        <v>kenapa setiap login tidak bisa atau selalu eror keterangan nya harus menghubungi admin aplikasi </v>
      </c>
      <c r="B53" s="21" t="str">
        <f>IFERROR(__xludf.DUMMYFUNCTION("REGEXREPLACE(A53,"" "","", "")"),"kenapa, setiap, login, tidak, bisa, atau, selalu, eror, keterangan, nya, harus, menghubungi, admin, aplikasi, ")</f>
        <v>kenapa, setiap, login, tidak, bisa, atau, selalu, eror, keterangan, nya, harus, menghubungi, admin, aplikasi, </v>
      </c>
    </row>
    <row r="54">
      <c r="A54" s="17" t="str">
        <f>Cleaning!H62</f>
        <v>kenapa ga bisa masuk dan selalu ada tulisan error atau belum ditemukan aktivasi padahal udah ada email tolong di perbaiki lagi</v>
      </c>
      <c r="B54" s="21" t="str">
        <f>IFERROR(__xludf.DUMMYFUNCTION("REGEXREPLACE(A54,"" "","", "")"),"kenapa, ga, bisa, masuk, dan, selalu, ada, tulisan, error, atau, belum, ditemukan, aktivasi, padahal, udah, ada, email, tolong, di, perbaiki, lagi")</f>
        <v>kenapa, ga, bisa, masuk, dan, selalu, ada, tulisan, error, atau, belum, ditemukan, aktivasi, padahal, udah, ada, email, tolong, di, perbaiki, lagi</v>
      </c>
    </row>
    <row r="55">
      <c r="A55" s="17" t="str">
        <f>Cleaning!H63</f>
        <v>pelayanan kurang baiksaya lupa sandi dan mau ganti password tapi dinkasih link suruh buka linktpi link nya di bukak cuma muter doangtolong dong di perbaiki lagi biar penggunaan nya lebih puasmasak mau buka link aja gak bisa</v>
      </c>
      <c r="B55" s="21" t="str">
        <f>IFERROR(__xludf.DUMMYFUNCTION("REGEXREPLACE(A55,"" "","", "")"),"pelayanan, kurang, baiksaya, lupa, sandi, dan, mau, ganti, password, tapi, dinkasih, link, suruh, buka, linktpi, link, nya, di, bukak, cuma, muter, doangtolong, dong, di, perbaiki, lagi, biar, penggunaan, nya, lebih, puasmasak, mau, buka, link, aja, gak, "&amp;"bisa")</f>
        <v>pelayanan, kurang, baiksaya, lupa, sandi, dan, mau, ganti, password, tapi, dinkasih, link, suruh, buka, linktpi, link, nya, di, bukak, cuma, muter, doangtolong, dong, di, perbaiki, lagi, biar, penggunaan, nya, lebih, puasmasak, mau, buka, link, aja, gak, bisa</v>
      </c>
    </row>
    <row r="56">
      <c r="A56" s="17" t="str">
        <f>Cleaning!H64</f>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c r="B56" s="21" t="str">
        <f>IFERROR(__xludf.DUMMYFUNCTION("REGEXREPLACE(A56,"" "","", "")"),"ini, aplikasi, untuk, apa, buat, gayagayaan, kalau, nama, seseorang, terdaftarterlihat, dapat, bantuan, tapi, setelah, dikonfirmasi, ke, kantor, desa, tidak, ada, tidak, dapat, lebih, baik, hapus, aplikasi, ini, jangan, bodohi, masyarakat, mohon, pihak, p"&amp;"embuat, aplikasi, ini, mempertanggung, jawabkan, hal, ini")</f>
        <v>ini, aplikasi, untuk, apa, buat, gayagayaan, kalau, nama, seseorang, terdaftarterlihat, dapat, bantuan, tapi, setelah, dikonfirmasi, ke, kantor, desa, tidak, ada, tidak, dapat, lebih, baik, hapus, aplikasi, ini, jangan, bodohi, masyarakat, mohon, pihak, pembuat, aplikasi, ini, mempertanggung, jawabkan, hal, ini</v>
      </c>
    </row>
    <row r="57">
      <c r="A57" s="17" t="str">
        <f>Cleaning!H65</f>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c r="B57" s="21" t="str">
        <f>IFERROR(__xludf.DUMMYFUNCTION("REGEXREPLACE(A57,"" "","", "")"),"pemerintah, yang, terhormat, kami, sebenarnya, cuma, perlu, kemudahan, dan, keterbukaan, dalam, mengakses, data, apalagi, yang, sifatnya, seperti, ini, kalo, memang, niatnya, ngasih, bantuan, ya, usahakan, yang, tepat, sasaran, jangan, asal, acc, yg, diko"&amp;"mendasikan, dari, aparat, bisa, jadi, itu, hanyalah, sanak, family, alangkah, baik, nya, cek, dulu, kondisi, sebenarnya, kalau, tidak, lewat, apk, online, spt, ini, dimana, lagi, kami, rakyat, kecil, yang, jauh, dari, pengayoman, aparat, mau, mengadu, apk"&amp;", yang, kalian, buat, tidak, berfungsi, tolong, dibenahi")</f>
        <v>pemerintah, yang, terhormat, kami, sebenarnya, cuma, perlu, kemudahan, dan, keterbukaan, dalam, mengakses, data, apalagi, yang, sifatnya, seperti, ini, kalo, memang, niatnya, ngasih, bantuan, ya, usahakan, yang, tepat, sasaran, jangan, asal, acc, yg, dikomendasikan, dari, aparat, bisa, jadi, itu, hanyalah, sanak, family, alangkah, baik, nya, cek, dulu, kondisi, sebenarnya, kalau, tidak, lewat, apk, online, spt, ini, dimana, lagi, kami, rakyat, kecil, yang, jauh, dari, pengayoman, aparat, mau, mengadu, apk, yang, kalian, buat, tidak, berfungsi, tolong, dibenahi</v>
      </c>
    </row>
    <row r="58">
      <c r="A58" s="17" t="str">
        <f>Cleaning!H66</f>
        <v>nunggu berhari hari dulu baru bisa aktivasisemoga aplikasi ini tidak menyalahgunakan data data yang di dalam semoga saja sukses selalu</v>
      </c>
      <c r="B58" s="21" t="str">
        <f>IFERROR(__xludf.DUMMYFUNCTION("REGEXREPLACE(A58,"" "","", "")"),"nunggu, berhari, hari, dulu, baru, bisa, aktivasisemoga, aplikasi, ini, tidak, menyalahgunakan, data, data, yang, di, dalam, semoga, saja, sukses, selalu")</f>
        <v>nunggu, berhari, hari, dulu, baru, bisa, aktivasisemoga, aplikasi, ini, tidak, menyalahgunakan, data, data, yang, di, dalam, semoga, saja, sukses, selalu</v>
      </c>
    </row>
    <row r="59">
      <c r="A59" s="17" t="str">
        <f>Cleaning!H67</f>
        <v>kok apps nya aneh ya data sudah terverifikasi dan sudah dapat email x tp di data nama saya gak ada ya apps bodong apa gimana ini</v>
      </c>
      <c r="B59" s="21" t="str">
        <f>IFERROR(__xludf.DUMMYFUNCTION("REGEXREPLACE(A59,"" "","", "")"),"kok, apps, nya, aneh, ya, data, sudah, terverifikasi, dan, sudah, dapat, email, x, tp, di, data, nama, saya, gak, ada, ya, apps, bodong, apa, gimana, ini")</f>
        <v>kok, apps, nya, aneh, ya, data, sudah, terverifikasi, dan, sudah, dapat, email, x, tp, di, data, nama, saya, gak, ada, ya, apps, bodong, apa, gimana, ini</v>
      </c>
    </row>
    <row r="60">
      <c r="A60" s="17" t="str">
        <f>Cleaning!H68</f>
        <v>awal nya gk bisa d buka beberapa bulan lalu sy uninstal tapi kmaren sy k inget lagi sy coba lgi dan alhmdulilha bisa masuk dan ngajuin diri bwt penerima bansos bismilah berhasil mudahn d setujui</v>
      </c>
      <c r="B60" s="21" t="str">
        <f>IFERROR(__xludf.DUMMYFUNCTION("REGEXREPLACE(A60,"" "","", "")"),"awal, nya, gk, bisa, d, buka, beberapa, bulan, lalu, sy, uninstal, tapi, kmaren, sy, k, inget, lagi, sy, coba, lgi, dan, alhmdulilha, bisa, masuk, dan, ngajuin, diri, bwt, penerima, bansos, bismilah, berhasil, mudahn, d, setujui")</f>
        <v>awal, nya, gk, bisa, d, buka, beberapa, bulan, lalu, sy, uninstal, tapi, kmaren, sy, k, inget, lagi, sy, coba, lgi, dan, alhmdulilha, bisa, masuk, dan, ngajuin, diri, bwt, penerima, bansos, bismilah, berhasil, mudahn, d, setujui</v>
      </c>
    </row>
    <row r="61">
      <c r="A61" s="17" t="str">
        <f>Cleaning!H69</f>
        <v>saya daftar ulang malah blm ada dpat email jadi bingung akun sudah terdaftar silahkan login klik lupa password sampai nomor juga sudah blm juga bisa login dapat email nya aja blm gimn bisa sudah terdaftar</v>
      </c>
      <c r="B61" s="21" t="str">
        <f>IFERROR(__xludf.DUMMYFUNCTION("REGEXREPLACE(A61,"" "","", "")"),"saya, daftar, ulang, malah, blm, ada, dpat, email, jadi, bingung, akun, sudah, terdaftar, silahkan, login, klik, lupa, password, sampai, nomor, juga, sudah, blm, juga, bisa, login, dapat, email, nya, aja, blm, gimn, bisa, sudah, terdaftar")</f>
        <v>saya, daftar, ulang, malah, blm, ada, dpat, email, jadi, bingung, akun, sudah, terdaftar, silahkan, login, klik, lupa, password, sampai, nomor, juga, sudah, blm, juga, bisa, login, dapat, email, nya, aja, blm, gimn, bisa, sudah, terdaftar</v>
      </c>
    </row>
    <row r="62">
      <c r="A62" s="17" t="str">
        <f>Cleaning!H70</f>
        <v>kenapa aplikasi ini  kenapa kalau untuk daftarkan orang yang benar benar layak menerima bansos ko susah kalau emang ngga percaya yang saya daftarkan itu bisa ko datangi rumah kami</v>
      </c>
      <c r="B62" s="21" t="str">
        <f>IFERROR(__xludf.DUMMYFUNCTION("REGEXREPLACE(A62,"" "","", "")"),"kenapa, aplikasi, ini, , kenapa, kalau, untuk, daftarkan, orang, yang, benar, benar, layak, menerima, bansos, ko, susah, kalau, emang, ngga, percaya, yang, saya, daftarkan, itu, bisa, ko, datangi, rumah, kami")</f>
        <v>kenapa, aplikasi, ini, , kenapa, kalau, untuk, daftarkan, orang, yang, benar, benar, layak, menerima, bansos, ko, susah, kalau, emang, ngga, percaya, yang, saya, daftarkan, itu, bisa, ko, datangi, rumah, kami</v>
      </c>
    </row>
    <row r="63">
      <c r="A63" s="17" t="str">
        <f>Cleaning!H71</f>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c r="B63" s="21" t="str">
        <f>IFERROR(__xludf.DUMMYFUNCTION("REGEXREPLACE(A63,"" "","", "")"),"aplikasinya, si, bagus, tpi, pas, saya, lupa, pasword, dan, saat, saya, reset, begitu, saya, dikirim, link, lanjutan, ganti, pasword, dan, saat, saya, akses, linknya, kenapa, tidak, bisa, harus, bagaimana, cara, perbaiki, sandi, saya, dan, saya, sangat, k"&amp;"ecewa, saat, saya, mau, usulkan, istri, saya, tapi, tidak, bisa, itu, kenapa, harus, hubungi, admin, tapi, dimana, adminnya")</f>
        <v>aplikasinya, si, bagus, tpi, pas, saya, lupa, pasword, dan, saat, saya, reset, begitu, saya, dikirim, link, lanjutan, ganti, pasword, dan, saat, saya, akses, linknya, kenapa, tidak, bisa, harus, bagaimana, cara, perbaiki, sandi, saya, dan, saya, sangat, kecewa, saat, saya, mau, usulkan, istri, saya, tapi, tidak, bisa, itu, kenapa, harus, hubungi, admin, tapi, dimana, adminnya</v>
      </c>
    </row>
    <row r="64">
      <c r="A64" s="17" t="str">
        <f>Cleaning!H72</f>
        <v>ok untuk saat ini aplikasi sudah bagus kembali kita bisa mengajukan usulan semoga ke depan nya tetap bagus dan semakin membaik</v>
      </c>
      <c r="B64" s="21" t="str">
        <f>IFERROR(__xludf.DUMMYFUNCTION("REGEXREPLACE(A64,"" "","", "")"),"ok, untuk, saat, ini, aplikasi, sudah, bagus, kembali, kita, bisa, mengajukan, usulan, semoga, ke, depan, nya, tetap, bagus, dan, semakin, membaik")</f>
        <v>ok, untuk, saat, ini, aplikasi, sudah, bagus, kembali, kita, bisa, mengajukan, usulan, semoga, ke, depan, nya, tetap, bagus, dan, semakin, membaik</v>
      </c>
    </row>
    <row r="65">
      <c r="A65" s="17" t="str">
        <f>Cleaning!H73</f>
        <v>alhamdulillah sudah berhari semua bisacek daptar dan usulan mandirinya sudah berhasil di terimatinggal nunggu cek di dinsos saja intinya sabar aja dan terus berjuangterima kasih wassalam</v>
      </c>
      <c r="B65" s="21" t="str">
        <f>IFERROR(__xludf.DUMMYFUNCTION("REGEXREPLACE(A65,"" "","", "")"),"alhamdulillah, sudah, berhari, semua, bisacek, daptar, dan, usulan, mandirinya, sudah, berhasil, di, terimatinggal, nunggu, cek, di, dinsos, saja, intinya, sabar, aja, dan, terus, berjuangterima, kasih, wassalam")</f>
        <v>alhamdulillah, sudah, berhari, semua, bisacek, daptar, dan, usulan, mandirinya, sudah, berhasil, di, terimatinggal, nunggu, cek, di, dinsos, saja, intinya, sabar, aja, dan, terus, berjuangterima, kasih, wassalam</v>
      </c>
    </row>
    <row r="66">
      <c r="A66" s="17" t="str">
        <f>Cleaning!H74</f>
        <v>biasanya bisa aja masuk skrg sering error udah update aplikasi yg terbaru malahan</v>
      </c>
      <c r="B66" s="21" t="str">
        <f>IFERROR(__xludf.DUMMYFUNCTION("REGEXREPLACE(A66,"" "","", "")"),"biasanya, bisa, aja, masuk, skrg, sering, error, udah, update, aplikasi, yg, terbaru, malahan")</f>
        <v>biasanya, bisa, aja, masuk, skrg, sering, error, udah, update, aplikasi, yg, terbaru, malahan</v>
      </c>
    </row>
    <row r="67">
      <c r="A67" s="17" t="str">
        <f>Cleaning!H75</f>
        <v>sekarang sudah bisa daftar harus di perbaharui apk nya kalau gagal coba lagi coba lagii saya baru beres daftar</v>
      </c>
      <c r="B67" s="21" t="str">
        <f>IFERROR(__xludf.DUMMYFUNCTION("REGEXREPLACE(A67,"" "","", "")"),"sekarang, sudah, bisa, daftar, harus, di, perbaharui, apk, nya, kalau, gagal, coba, lagi, coba, lagii, saya, baru, beres, daftar")</f>
        <v>sekarang, sudah, bisa, daftar, harus, di, perbaharui, apk, nya, kalau, gagal, coba, lagi, coba, lagii, saya, baru, beres, daftar</v>
      </c>
    </row>
    <row r="68">
      <c r="A68" s="17" t="str">
        <f>Cleaning!H76</f>
        <v>ulasan baru  aplikasi sudah normal hanya untuk data masih pakai data lama tolong di update pakai data </v>
      </c>
      <c r="B68" s="21" t="str">
        <f>IFERROR(__xludf.DUMMYFUNCTION("REGEXREPLACE(A68,"" "","", "")"),"ulasan, baru, , aplikasi, sudah, normal, hanya, untuk, data, masih, pakai, data, lama, tolong, di, update, pakai, data, ")</f>
        <v>ulasan, baru, , aplikasi, sudah, normal, hanya, untuk, data, masih, pakai, data, lama, tolong, di, update, pakai, data, </v>
      </c>
    </row>
    <row r="69">
      <c r="A69" s="17" t="str">
        <f>Cleaning!H77</f>
        <v>aneh saya blm daftar bilang nya sudah terdaftar daftar gak masuk cape gimana ini pak bu tolong perbaiki sistem nya terimakasih</v>
      </c>
      <c r="B69" s="21" t="str">
        <f>IFERROR(__xludf.DUMMYFUNCTION("REGEXREPLACE(A69,"" "","", "")"),"aneh, saya, blm, daftar, bilang, nya, sudah, terdaftar, daftar, gak, masuk, cape, gimana, ini, pak, bu, tolong, perbaiki, sistem, nya, terimakasih")</f>
        <v>aneh, saya, blm, daftar, bilang, nya, sudah, terdaftar, daftar, gak, masuk, cape, gimana, ini, pak, bu, tolong, perbaiki, sistem, nya, terimakasih</v>
      </c>
    </row>
    <row r="70">
      <c r="A70" s="17" t="str">
        <f>Cleaning!H78</f>
        <v>saya senang sekali aplikasi ini ijin apakah bisa merubah akun kita menjadi akun yg benar karna kemarin saya sudah salah mengklik warna merah untuk tdk suami saya menjadikan bukan keluarga  dan salah klik lagi warna merah untuk tdk menerima manfaat  apakah ada solusinya supaya itu pulih itu semua menjadi benar</v>
      </c>
      <c r="B70" s="21" t="str">
        <f>IFERROR(__xludf.DUMMYFUNCTION("REGEXREPLACE(A70,"" "","", "")"),"saya, senang, sekali, aplikasi, ini, ijin, apakah, bisa, merubah, akun, kita, menjadi, akun, yg, benar, karna, kemarin, saya, sudah, salah, mengklik, warna, merah, untuk, tdk, suami, saya, menjadikan, bukan, keluarga, , dan, salah, klik, lagi, warna, mera"&amp;"h, untuk, tdk, menerima, manfaat, , apakah, ada, solusinya, supaya, itu, pulih, itu, semua, menjadi, benar")</f>
        <v>saya, senang, sekali, aplikasi, ini, ijin, apakah, bisa, merubah, akun, kita, menjadi, akun, yg, benar, karna, kemarin, saya, sudah, salah, mengklik, warna, merah, untuk, tdk, suami, saya, menjadikan, bukan, keluarga, , dan, salah, klik, lagi, warna, merah, untuk, tdk, menerima, manfaat, , apakah, ada, solusinya, supaya, itu, pulih, itu, semua, menjadi, benar</v>
      </c>
    </row>
    <row r="71">
      <c r="A71" s="17" t="str">
        <f>Cleaning!H79</f>
        <v>prodak pemerintah selalu bermasalahbiar keliatan serba digital tapi percuma semua ecek ini valid semua basis security pemerintahan sangat lemah negeri konoha memang beda</v>
      </c>
      <c r="B71" s="21" t="str">
        <f>IFERROR(__xludf.DUMMYFUNCTION("REGEXREPLACE(A71,"" "","", "")"),"prodak, pemerintah, selalu, bermasalahbiar, keliatan, serba, digital, tapi, percuma, semua, ecek, ini, valid, semua, basis, security, pemerintahan, sangat, lemah, negeri, konoha, memang, beda")</f>
        <v>prodak, pemerintah, selalu, bermasalahbiar, keliatan, serba, digital, tapi, percuma, semua, ecek, ini, valid, semua, basis, security, pemerintahan, sangat, lemah, negeri, konoha, memang, beda</v>
      </c>
    </row>
    <row r="72">
      <c r="A72" s="17" t="str">
        <f>Cleaning!H80</f>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c r="B72" s="21" t="str">
        <f>IFERROR(__xludf.DUMMYFUNCTION("REGEXREPLACE(A72,"" "","", "")"),"aplikasi, ini, sangat, membantu, untuk, masyarakat, yang, ingin, mengajukan, bansos, dari, pemerintahdan, saya, pun, sudah, mengusulkan, beberapa, saudara, saya, untuk, pengajuan, bansos, meskipun, belum, ada, yang, di, responhanya, saja, sekarang, saya, "&amp;"tidak, bisa, megusulkan, lagi, orang, orang, katanya, aplikasi, erroritu, kenapa, ya")</f>
        <v>aplikasi, ini, sangat, membantu, untuk, masyarakat, yang, ingin, mengajukan, bansos, dari, pemerintahdan, saya, pun, sudah, mengusulkan, beberapa, saudara, saya, untuk, pengajuan, bansos, meskipun, belum, ada, yang, di, responhanya, saja, sekarang, saya, tidak, bisa, megusulkan, lagi, orang, orang, katanya, aplikasi, erroritu, kenapa, ya</v>
      </c>
    </row>
    <row r="73">
      <c r="A73" s="17" t="str">
        <f>Cleaning!H81</f>
        <v>tolong ya di acc atas nama harnita susah sekali login nyasudah di daftar tapi tak bisa loginmohon kebijakan nya</v>
      </c>
      <c r="B73" s="21" t="str">
        <f>IFERROR(__xludf.DUMMYFUNCTION("REGEXREPLACE(A73,"" "","", "")"),"tolong, ya, di, acc, atas, nama, harnita, susah, sekali, login, nyasudah, di, daftar, tapi, tak, bisa, loginmohon, kebijakan, nya")</f>
        <v>tolong, ya, di, acc, atas, nama, harnita, susah, sekali, login, nyasudah, di, daftar, tapi, tak, bisa, loginmohon, kebijakan, nya</v>
      </c>
    </row>
    <row r="74">
      <c r="A74" s="17" t="str">
        <f>Cleaning!H82</f>
        <v>selalu gagal logingagal dan gagal padahal sudah dapat x email kemensosmungkin harus bersabar</v>
      </c>
      <c r="B74" s="21" t="str">
        <f>IFERROR(__xludf.DUMMYFUNCTION("REGEXREPLACE(A74,"" "","", "")"),"selalu, gagal, logingagal, dan, gagal, padahal, sudah, dapat, x, email, kemensosmungkin, harus, bersabar")</f>
        <v>selalu, gagal, logingagal, dan, gagal, padahal, sudah, dapat, x, email, kemensosmungkin, harus, bersabar</v>
      </c>
    </row>
    <row r="75">
      <c r="A75" s="17" t="str">
        <f>Cleaning!H83</f>
        <v>tolong lha pak aplikasi eror setiap mau login karna sinyal gk stabil mohon petunjuknya</v>
      </c>
      <c r="B75" s="21" t="str">
        <f>IFERROR(__xludf.DUMMYFUNCTION("REGEXREPLACE(A75,"" "","", "")"),"tolong, lha, pak, aplikasi, eror, setiap, mau, login, karna, sinyal, gk, stabil, mohon, petunjuknya")</f>
        <v>tolong, lha, pak, aplikasi, eror, setiap, mau, login, karna, sinyal, gk, stabil, mohon, petunjuknya</v>
      </c>
    </row>
    <row r="76">
      <c r="A76" s="17" t="str">
        <f>Cleaning!H84</f>
        <v>setelah di update bukan bertambah baik appnya malah bikin error selalu mohon di perbaiki kembali</v>
      </c>
      <c r="B76" s="21" t="str">
        <f>IFERROR(__xludf.DUMMYFUNCTION("REGEXREPLACE(A76,"" "","", "")"),"setelah, di, update, bukan, bertambah, baik, appnya, malah, bikin, error, selalu, mohon, di, perbaiki, kembali")</f>
        <v>setelah, di, update, bukan, bertambah, baik, appnya, malah, bikin, error, selalu, mohon, di, perbaiki, kembali</v>
      </c>
    </row>
    <row r="77">
      <c r="A77" s="17" t="str">
        <f>Cleaning!H85</f>
        <v>bagus alhamdulillah bisa di buka tapi untuk menambahkan pengajuan eror aplikasi terus harus menghubungi admin</v>
      </c>
      <c r="B77" s="21" t="str">
        <f>IFERROR(__xludf.DUMMYFUNCTION("REGEXREPLACE(A77,"" "","", "")"),"bagus, alhamdulillah, bisa, di, buka, tapi, untuk, menambahkan, pengajuan, eror, aplikasi, terus, harus, menghubungi, admin")</f>
        <v>bagus, alhamdulillah, bisa, di, buka, tapi, untuk, menambahkan, pengajuan, eror, aplikasi, terus, harus, menghubungi, admin</v>
      </c>
    </row>
    <row r="78">
      <c r="A78" s="17" t="str">
        <f>Cleaning!H86</f>
        <v>udah sekian lama daftar kok belum dicek ya kk apa aplikasi ini digunakan  udah gak digunakan kementrian dtksmohon informasi nya ya kk developerudah lama gak kerja akibat covidpengurangan tenaga kerja mau cari kerja melamar kemana saja gak bisaalasan kendala usiathsedang bantuan gak pernah nyangkutmau gimana lagisedang keluarga butuh biayamana listrik dan bbm naik muludan untung nya dikasihkan yang punya pkh terus menerusberupa sembakoblt bbmblt minyak gorengpdhl dah kaya</v>
      </c>
      <c r="B78" s="21" t="str">
        <f>IFERROR(__xludf.DUMMYFUNCTION("REGEXREPLACE(A78,"" "","", "")"),"udah, sekian, lama, daftar, kok, belum, dicek, ya, kk, apa, aplikasi, ini, digunakan, , udah, gak, digunakan, kementrian, dtksmohon, informasi, nya, ya, kk, developerudah, lama, gak, kerja, akibat, covidpengurangan, tenaga, kerja, mau, cari, kerja, melama"&amp;"r, kemana, saja, gak, bisaalasan, kendala, usiathsedang, bantuan, gak, pernah, nyangkutmau, gimana, lagisedang, keluarga, butuh, biayamana, listrik, dan, bbm, naik, muludan, untung, nya, dikasihkan, yang, punya, pkh, terus, menerusberupa, sembakoblt, bbmb"&amp;"lt, minyak, gorengpdhl, dah, kaya")</f>
        <v>udah, sekian, lama, daftar, kok, belum, dicek, ya, kk, apa, aplikasi, ini, digunakan, , udah, gak, digunakan, kementrian, dtksmohon, informasi, nya, ya, kk, developerudah, lama, gak, kerja, akibat, covidpengurangan, tenaga, kerja, mau, cari, kerja, melamar, kemana, saja, gak, bisaalasan, kendala, usiathsedang, bantuan, gak, pernah, nyangkutmau, gimana, lagisedang, keluarga, butuh, biayamana, listrik, dan, bbm, naik, muludan, untung, nya, dikasihkan, yang, punya, pkh, terus, menerusberupa, sembakoblt, bbmblt, minyak, gorengpdhl, dah, kaya</v>
      </c>
    </row>
    <row r="79">
      <c r="A79" s="17" t="str">
        <f>Cleaning!H87</f>
        <v>kenapa ya sekarang aplikasinya malah errortidak bisa di gunakan padahal bisa membantu masyarakat yang bantuannya tidak di berikan oleh oknum</v>
      </c>
      <c r="B79" s="21" t="str">
        <f>IFERROR(__xludf.DUMMYFUNCTION("REGEXREPLACE(A79,"" "","", "")"),"kenapa, ya, sekarang, aplikasinya, malah, errortidak, bisa, di, gunakan, padahal, bisa, membantu, masyarakat, yang, bantuannya, tidak, di, berikan, oleh, oknum")</f>
        <v>kenapa, ya, sekarang, aplikasinya, malah, errortidak, bisa, di, gunakan, padahal, bisa, membantu, masyarakat, yang, bantuannya, tidak, di, berikan, oleh, oknum</v>
      </c>
    </row>
    <row r="80">
      <c r="A80" s="17" t="str">
        <f>Cleaning!H88</f>
        <v>sudah daftar akun verifikasi aktifasi g ada lanjutan coba langsung masuk juga ngak bisa wes angeel wess tolong diperbaiki </v>
      </c>
      <c r="B80" s="21" t="str">
        <f>IFERROR(__xludf.DUMMYFUNCTION("REGEXREPLACE(A80,"" "","", "")"),"sudah, daftar, akun, verifikasi, aktifasi, g, ada, lanjutan, coba, langsung, masuk, juga, ngak, bisa, wes, angeel, wess, tolong, diperbaiki, ")</f>
        <v>sudah, daftar, akun, verifikasi, aktifasi, g, ada, lanjutan, coba, langsung, masuk, juga, ngak, bisa, wes, angeel, wess, tolong, diperbaiki, </v>
      </c>
    </row>
    <row r="81">
      <c r="A81" s="17" t="str">
        <f>Cleaning!H89</f>
        <v>saat buat akun baru terjadi error aplikasiitu harus bagamanapadahal sudah di isi semua datanya</v>
      </c>
      <c r="B81" s="21" t="str">
        <f>IFERROR(__xludf.DUMMYFUNCTION("REGEXREPLACE(A81,"" "","", "")"),"saat, buat, akun, baru, terjadi, error, aplikasiitu, harus, bagamanapadahal, sudah, di, isi, semua, datanya")</f>
        <v>saat, buat, akun, baru, terjadi, error, aplikasiitu, harus, bagamanapadahal, sudah, di, isi, semua, datanya</v>
      </c>
    </row>
    <row r="82">
      <c r="A82" s="17" t="str">
        <f>Cleaning!H90</f>
        <v>aplikasinya bagus saran aku sih tambahin fitur pencarian menggunakan nik dan nama karena banyak orang yang memiliki nama yang sama dan juga sertakan nama tempat pengambilan bansosnya sekian terimakasih </v>
      </c>
      <c r="B82" s="21" t="str">
        <f>IFERROR(__xludf.DUMMYFUNCTION("REGEXREPLACE(A82,"" "","", "")"),"aplikasinya, bagus, saran, aku, sih, tambahin, fitur, pencarian, menggunakan, nik, dan, nama, karena, banyak, orang, yang, memiliki, nama, yang, sama, dan, juga, sertakan, nama, tempat, pengambilan, bansosnya, sekian, terimakasih, ")</f>
        <v>aplikasinya, bagus, saran, aku, sih, tambahin, fitur, pencarian, menggunakan, nik, dan, nama, karena, banyak, orang, yang, memiliki, nama, yang, sama, dan, juga, sertakan, nama, tempat, pengambilan, bansosnya, sekian, terimakasih, </v>
      </c>
    </row>
    <row r="83">
      <c r="A83" s="17" t="str">
        <f>Cleaning!H91</f>
        <v>bisa login tpi giliran daftar data usulan sudah lengkap jawabannya aplikasi eror silahkan hubungi admin gtu trus tolong dong di perbaiki lagi</v>
      </c>
      <c r="B83" s="21" t="str">
        <f>IFERROR(__xludf.DUMMYFUNCTION("REGEXREPLACE(A83,"" "","", "")"),"bisa, login, tpi, giliran, daftar, data, usulan, sudah, lengkap, jawabannya, aplikasi, eror, silahkan, hubungi, admin, gtu, trus, tolong, dong, di, perbaiki, lagi")</f>
        <v>bisa, login, tpi, giliran, daftar, data, usulan, sudah, lengkap, jawabannya, aplikasi, eror, silahkan, hubungi, admin, gtu, trus, tolong, dong, di, perbaiki, lagi</v>
      </c>
    </row>
    <row r="84">
      <c r="A84" s="17" t="str">
        <f>Cleaning!H92</f>
        <v>mf sebelumnya saya sudah mendaftar lewat apps ini ttpi knp respn densos blm cek juga sekali lagi mf tolong d pengecekan yg dapat bantuan d ksih dusun &amp; rt masalahnya  desa namanya banyk yg sama biar jelasna terus biar tau orang itu benar pantas dapat bantuan atau tidk</v>
      </c>
      <c r="B84" s="21" t="str">
        <f>IFERROR(__xludf.DUMMYFUNCTION("REGEXREPLACE(A84,"" "","", "")"),"mf, sebelumnya, saya, sudah, mendaftar, lewat, apps, ini, ttpi, knp, respn, densos, blm, cek, juga, sekali, lagi, mf, tolong, d, pengecekan, yg, dapat, bantuan, d, ksih, dusun, &amp;, rt, masalahnya, , desa, namanya, banyk, yg, sama, biar, jelasna, terus, bia"&amp;"r, tau, orang, itu, benar, pantas, dapat, bantuan, atau, tidk")</f>
        <v>mf, sebelumnya, saya, sudah, mendaftar, lewat, apps, ini, ttpi, knp, respn, densos, blm, cek, juga, sekali, lagi, mf, tolong, d, pengecekan, yg, dapat, bantuan, d, ksih, dusun, &amp;, rt, masalahnya, , desa, namanya, banyk, yg, sama, biar, jelasna, terus, biar, tau, orang, itu, benar, pantas, dapat, bantuan, atau, tidk</v>
      </c>
    </row>
    <row r="85">
      <c r="A85" s="17" t="str">
        <f>Cleaning!H93</f>
        <v>untuk yth developer ada kendala saat mendaftar selalu eror semoga cepat di atasi terimakasih</v>
      </c>
      <c r="B85" s="21" t="str">
        <f>IFERROR(__xludf.DUMMYFUNCTION("REGEXREPLACE(A85,"" "","", "")"),"untuk, yth, developer, ada, kendala, saat, mendaftar, selalu, eror, semoga, cepat, di, atasi, terimakasih")</f>
        <v>untuk, yth, developer, ada, kendala, saat, mendaftar, selalu, eror, semoga, cepat, di, atasi, terimakasih</v>
      </c>
    </row>
    <row r="86">
      <c r="A86" s="17" t="str">
        <f>Cleaning!H94</f>
        <v>saya sudah coba mengusulkan sudah beberapa minggu lalu tp blm dicek dinsos saya mengusulkan karena belum tersentuh sama sekali</v>
      </c>
      <c r="B86" s="21" t="str">
        <f>IFERROR(__xludf.DUMMYFUNCTION("REGEXREPLACE(A86,"" "","", "")"),"saya, sudah, coba, mengusulkan, sudah, beberapa, minggu, lalu, tp, blm, dicek, dinsos, saya, mengusulkan, karena, belum, tersentuh, sama, sekali")</f>
        <v>saya, sudah, coba, mengusulkan, sudah, beberapa, minggu, lalu, tp, blm, dicek, dinsos, saya, mengusulkan, karena, belum, tersentuh, sama, sekali</v>
      </c>
    </row>
    <row r="87">
      <c r="A87" s="17" t="str">
        <f>Cleaning!H95</f>
        <v>kenapa muncul kesalahan aplikasi ketika ingin menambahkan usulan mohon admin diperbaiki selebihnya lancar hanya kendala dipenambah usulan saja</v>
      </c>
      <c r="B87" s="21" t="str">
        <f>IFERROR(__xludf.DUMMYFUNCTION("REGEXREPLACE(A87,"" "","", "")"),"kenapa, muncul, kesalahan, aplikasi, ketika, ingin, menambahkan, usulan, mohon, admin, diperbaiki, selebihnya, lancar, hanya, kendala, dipenambah, usulan, saja")</f>
        <v>kenapa, muncul, kesalahan, aplikasi, ketika, ingin, menambahkan, usulan, mohon, admin, diperbaiki, selebihnya, lancar, hanya, kendala, dipenambah, usulan, saja</v>
      </c>
    </row>
    <row r="88">
      <c r="A88" s="17" t="str">
        <f>Cleaning!H96</f>
        <v>mau daftar buat akun aja gagal terus keterangan nya aplikasi error di suruh hubungi admin tp gk ada tulisan admin di aplikasi</v>
      </c>
      <c r="B88" s="21" t="str">
        <f>IFERROR(__xludf.DUMMYFUNCTION("REGEXREPLACE(A88,"" "","", "")"),"mau, daftar, buat, akun, aja, gagal, terus, keterangan, nya, aplikasi, error, di, suruh, hubungi, admin, tp, gk, ada, tulisan, admin, di, aplikasi")</f>
        <v>mau, daftar, buat, akun, aja, gagal, terus, keterangan, nya, aplikasi, error, di, suruh, hubungi, admin, tp, gk, ada, tulisan, admin, di, aplikasi</v>
      </c>
    </row>
    <row r="89">
      <c r="A89" s="17" t="str">
        <f>Cleaning!H97</f>
        <v>alhamdulilah pendaftaran lancar dan langsung diverifikasi dan usulan juga lancar mudah mudahan lancar semua aamin aamin</v>
      </c>
      <c r="B89" s="21" t="str">
        <f>IFERROR(__xludf.DUMMYFUNCTION("REGEXREPLACE(A89,"" "","", "")"),"alhamdulilah, pendaftaran, lancar, dan, langsung, diverifikasi, dan, usulan, juga, lancar, mudah, mudahan, lancar, semua, aamin, aamin")</f>
        <v>alhamdulilah, pendaftaran, lancar, dan, langsung, diverifikasi, dan, usulan, juga, lancar, mudah, mudahan, lancar, semua, aamin, aamin</v>
      </c>
    </row>
    <row r="90">
      <c r="A90" s="17" t="str">
        <f>Cleaning!H98</f>
        <v>sy sg suka karna sangat mudah untuk mengusulkan dan semoga cepat di respon saat mengusulkan mks</v>
      </c>
      <c r="B90" s="21" t="str">
        <f>IFERROR(__xludf.DUMMYFUNCTION("REGEXREPLACE(A90,"" "","", "")"),"sy, sg, suka, karna, sangat, mudah, untuk, mengusulkan, dan, semoga, cepat, di, respon, saat, mengusulkan, mks")</f>
        <v>sy, sg, suka, karna, sangat, mudah, untuk, mengusulkan, dan, semoga, cepat, di, respon, saat, mengusulkan, mks</v>
      </c>
    </row>
    <row r="91">
      <c r="A91" s="17" t="str">
        <f>Cleaning!H99</f>
        <v>prtma kali usul memang sangat susah tapi saya tidak pantang menyerah saya coba lagidan lagi akhirnya bisa juga untuk mengusulkan dan stlh satu bulan mendaftr akhirnya bisa dapat juga untuk teman teman yang blm bisa atau eror jangan pantang menyerah semoga saja bisa</v>
      </c>
      <c r="B91" s="21" t="str">
        <f>IFERROR(__xludf.DUMMYFUNCTION("REGEXREPLACE(A91,"" "","", "")"),"prtma, kali, usul, memang, sangat, susah, tapi, saya, tidak, pantang, menyerah, saya, coba, lagidan, lagi, akhirnya, bisa, juga, untuk, mengusulkan, dan, stlh, satu, bulan, mendaftr, akhirnya, bisa, dapat, juga, untuk, teman, teman, yang, blm, bisa, atau,"&amp;" eror, jangan, pantang, menyerah, semoga, saja, bisa")</f>
        <v>prtma, kali, usul, memang, sangat, susah, tapi, saya, tidak, pantang, menyerah, saya, coba, lagidan, lagi, akhirnya, bisa, juga, untuk, mengusulkan, dan, stlh, satu, bulan, mendaftr, akhirnya, bisa, dapat, juga, untuk, teman, teman, yang, blm, bisa, atau, eror, jangan, pantang, menyerah, semoga, saja, bisa</v>
      </c>
    </row>
    <row r="92">
      <c r="A92" s="17" t="str">
        <f>Cleaning!H100</f>
        <v>sangat membantu untuk meringankan biaya serta membantu mempermudah pengurusan bantuan</v>
      </c>
      <c r="B92" s="21" t="str">
        <f>IFERROR(__xludf.DUMMYFUNCTION("REGEXREPLACE(A92,"" "","", "")"),"sangat, membantu, untuk, meringankan, biaya, serta, membantu, mempermudah, pengurusan, bantuan")</f>
        <v>sangat, membantu, untuk, meringankan, biaya, serta, membantu, mempermudah, pengurusan, bantuan</v>
      </c>
    </row>
    <row r="93">
      <c r="A93" s="17" t="str">
        <f>Cleaning!H101</f>
        <v>teeimakasih akhirnya saya bisa login cek bansos setelah gagal beberapa kali daftar dari bulan april lalu baru sekarang saya berhasil </v>
      </c>
      <c r="B93" s="21" t="str">
        <f>IFERROR(__xludf.DUMMYFUNCTION("REGEXREPLACE(A93,"" "","", "")"),"teeimakasih, akhirnya, saya, bisa, login, cek, bansos, setelah, gagal, beberapa, kali, daftar, dari, bulan, april, lalu, baru, sekarang, saya, berhasil, ")</f>
        <v>teeimakasih, akhirnya, saya, bisa, login, cek, bansos, setelah, gagal, beberapa, kali, daftar, dari, bulan, april, lalu, baru, sekarang, saya, berhasil, </v>
      </c>
    </row>
    <row r="94">
      <c r="A94" s="17" t="str">
        <f>Cleaning!H102</f>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c r="B94" s="21" t="str">
        <f>IFERROR(__xludf.DUMMYFUNCTION("REGEXREPLACE(A94,"" "","", "")"),"apl, nya, eror, terus, tolong, di, perbaiki, saya, membutuhkan, bantuan, anda, supaya, saya, bisa, dapet, bansos, saya, tidak, pernah, dapet, apa, tolong, di, bantu, pendaftaran, nya, semoga, aplikasi, nya, brmanfaat, buat, masyarakat, di, desa, sudimampi"&amp;"r, lor, orang, desa, nya, pilkasi, yg, jadi, bekel, dapat, bansos, saya, rakyat, biasa, kurang, mampu, tak, dapat, apapun")</f>
        <v>apl, nya, eror, terus, tolong, di, perbaiki, saya, membutuhkan, bantuan, anda, supaya, saya, bisa, dapet, bansos, saya, tidak, pernah, dapet, apa, tolong, di, bantu, pendaftaran, nya, semoga, aplikasi, nya, brmanfaat, buat, masyarakat, di, desa, sudimampir, lor, orang, desa, nya, pilkasi, yg, jadi, bekel, dapat, bansos, saya, rakyat, biasa, kurang, mampu, tak, dapat, apapun</v>
      </c>
    </row>
    <row r="95">
      <c r="A95" s="17" t="str">
        <f>Cleaning!H103</f>
        <v>tolong segera di perbaiki kenapa selalu aplikasi error segera hubungi admin</v>
      </c>
      <c r="B95" s="21" t="str">
        <f>IFERROR(__xludf.DUMMYFUNCTION("REGEXREPLACE(A95,"" "","", "")"),"tolong, segera, di, perbaiki, kenapa, selalu, aplikasi, error, segera, hubungi, admin")</f>
        <v>tolong, segera, di, perbaiki, kenapa, selalu, aplikasi, error, segera, hubungi, admin</v>
      </c>
    </row>
    <row r="96">
      <c r="A96" s="17" t="str">
        <f>Cleaning!H104</f>
        <v>susah login nya walau pun udah dua kali buat akun sulit masuk apa mempersulit masuk</v>
      </c>
      <c r="B96" s="21" t="str">
        <f>IFERROR(__xludf.DUMMYFUNCTION("REGEXREPLACE(A96,"" "","", "")"),"susah, login, nya, walau, pun, udah, dua, kali, buat, akun, sulit, masuk, apa, mempersulit, masuk")</f>
        <v>susah, login, nya, walau, pun, udah, dua, kali, buat, akun, sulit, masuk, apa, mempersulit, masuk</v>
      </c>
    </row>
    <row r="97">
      <c r="A97" s="17" t="str">
        <f>Cleaning!H105</f>
        <v>kasih bintang lima saja walau pun hasilnya mngecewakan tidak bisa daftar walau sudah di isi sesuai arahan tetep sulitgatau lg deh gmana cara nya</v>
      </c>
      <c r="B97" s="21" t="str">
        <f>IFERROR(__xludf.DUMMYFUNCTION("REGEXREPLACE(A97,"" "","", "")"),"kasih, bintang, lima, saja, walau, pun, hasilnya, mngecewakan, tidak, bisa, daftar, walau, sudah, di, isi, sesuai, arahan, tetep, sulitgatau, lg, deh, gmana, cara, nya")</f>
        <v>kasih, bintang, lima, saja, walau, pun, hasilnya, mngecewakan, tidak, bisa, daftar, walau, sudah, di, isi, sesuai, arahan, tetep, sulitgatau, lg, deh, gmana, cara, nya</v>
      </c>
    </row>
    <row r="98">
      <c r="A98" s="17" t="str">
        <f>Cleaning!H106</f>
        <v>sangat bermanfaat walaupun tidak ada data menerima bansos setidaknya tau daerah siapa aja yg menerima cuman bnyak salah sasaran tdk sesuai dgn data pusat</v>
      </c>
      <c r="B98" s="21" t="str">
        <f>IFERROR(__xludf.DUMMYFUNCTION("REGEXREPLACE(A98,"" "","", "")"),"sangat, bermanfaat, walaupun, tidak, ada, data, menerima, bansos, setidaknya, tau, daerah, siapa, aja, yg, menerima, cuman, bnyak, salah, sasaran, tdk, sesuai, dgn, data, pusat")</f>
        <v>sangat, bermanfaat, walaupun, tidak, ada, data, menerima, bansos, setidaknya, tau, daerah, siapa, aja, yg, menerima, cuman, bnyak, salah, sasaran, tdk, sesuai, dgn, data, pusat</v>
      </c>
    </row>
    <row r="99">
      <c r="A99" s="17" t="str">
        <f>Cleaning!H107</f>
        <v>gak bisa login tolong di perbaharui tolong di perbaiki hak bisa login</v>
      </c>
      <c r="B99" s="21" t="str">
        <f>IFERROR(__xludf.DUMMYFUNCTION("REGEXREPLACE(A99,"" "","", "")"),"gak, bisa, login, tolong, di, perbaharui, tolong, di, perbaiki, hak, bisa, login")</f>
        <v>gak, bisa, login, tolong, di, perbaharui, tolong, di, perbaiki, hak, bisa, login</v>
      </c>
    </row>
    <row r="100">
      <c r="A100" s="17" t="str">
        <f>Cleaning!H108</f>
        <v>ok aplikasinya cukup bagus dan simpel udah coba login dan berhasilcuman verifikasi butuh waktu aja</v>
      </c>
      <c r="B100" s="21" t="str">
        <f>IFERROR(__xludf.DUMMYFUNCTION("REGEXREPLACE(A100,"" "","", "")"),"ok, aplikasinya, cukup, bagus, dan, simpel, udah, coba, login, dan, berhasilcuman, verifikasi, butuh, waktu, aja")</f>
        <v>ok, aplikasinya, cukup, bagus, dan, simpel, udah, coba, login, dan, berhasilcuman, verifikasi, butuh, waktu, aja</v>
      </c>
    </row>
    <row r="101">
      <c r="A101" s="17" t="str">
        <f>Cleaning!H109</f>
        <v>kok susah login padahal pasword sudah benar mohon di perbaiki perlu banget</v>
      </c>
      <c r="B101" s="21" t="str">
        <f>IFERROR(__xludf.DUMMYFUNCTION("REGEXREPLACE(A101,"" "","", "")"),"kok, susah, login, padahal, pasword, sudah, benar, mohon, di, perbaiki, perlu, banget")</f>
        <v>kok, susah, login, padahal, pasword, sudah, benar, mohon, di, perbaiki, perlu, banget</v>
      </c>
    </row>
    <row r="102">
      <c r="A102" s="17" t="str">
        <f>Cleaning!H110</f>
        <v>berulang ulang loging gagal melulu padahal  minggu nunggu konfir tapi ga muncul juga</v>
      </c>
      <c r="B102" s="21" t="str">
        <f>IFERROR(__xludf.DUMMYFUNCTION("REGEXREPLACE(A102,"" "","", "")"),"berulang, ulang, loging, gagal, melulu, padahal, , minggu, nunggu, konfir, tapi, ga, muncul, juga")</f>
        <v>berulang, ulang, loging, gagal, melulu, padahal, , minggu, nunggu, konfir, tapi, ga, muncul, juga</v>
      </c>
    </row>
    <row r="103">
      <c r="A103" s="17" t="str">
        <f>Cleaning!H111</f>
        <v>aplikasi sudah bisa untuk buat akun baru sudah selesai semua tpi pas terakhir mau login ko eror</v>
      </c>
      <c r="B103" s="21" t="str">
        <f>IFERROR(__xludf.DUMMYFUNCTION("REGEXREPLACE(A103,"" "","", "")"),"aplikasi, sudah, bisa, untuk, buat, akun, baru, sudah, selesai, semua, tpi, pas, terakhir, mau, login, ko, eror")</f>
        <v>aplikasi, sudah, bisa, untuk, buat, akun, baru, sudah, selesai, semua, tpi, pas, terakhir, mau, login, ko, eror</v>
      </c>
    </row>
    <row r="104">
      <c r="A104" s="17" t="str">
        <f>Cleaning!H112</f>
        <v>tolong di bantu donk min biar bisa submit u daftartambah bantuannya krn mau tambah bantuan udah isi semua tinggal klik setuju error terus tolong di bantu ya min</v>
      </c>
      <c r="B104" s="21" t="str">
        <f>IFERROR(__xludf.DUMMYFUNCTION("REGEXREPLACE(A104,"" "","", "")"),"tolong, di, bantu, donk, min, biar, bisa, submit, u, daftartambah, bantuannya, krn, mau, tambah, bantuan, udah, isi, semua, tinggal, klik, setuju, error, terus, tolong, di, bantu, ya, min")</f>
        <v>tolong, di, bantu, donk, min, biar, bisa, submit, u, daftartambah, bantuannya, krn, mau, tambah, bantuan, udah, isi, semua, tinggal, klik, setuju, error, terus, tolong, di, bantu, ya, min</v>
      </c>
    </row>
    <row r="105">
      <c r="A105" s="17" t="str">
        <f>Cleaning!H113</f>
        <v>saya pribadi di sini kasih bintang  walaupun terkadang agak eror tapi jika dilakukan berulang ulang bisa alhamdulillah setelah sekian lama mencoba terus akhirnya saya bisa menambah usulan semoga segera di acc aamiin untuk temen yang masih belum bisa menambah usulan karena eror jersey kalian bisa pencet berulang kuncinya sabar terimakasih</v>
      </c>
      <c r="B105" s="21" t="str">
        <f>IFERROR(__xludf.DUMMYFUNCTION("REGEXREPLACE(A105,"" "","", "")"),"saya, pribadi, di, sini, kasih, bintang, , walaupun, terkadang, agak, eror, tapi, jika, dilakukan, berulang, ulang, bisa, alhamdulillah, setelah, sekian, lama, mencoba, terus, akhirnya, saya, bisa, menambah, usulan, semoga, segera, di, acc, aamiin, untuk,"&amp;" temen, yang, masih, belum, bisa, menambah, usulan, karena, eror, jersey, kalian, bisa, pencet, berulang, kuncinya, sabar, terimakasih")</f>
        <v>saya, pribadi, di, sini, kasih, bintang, , walaupun, terkadang, agak, eror, tapi, jika, dilakukan, berulang, ulang, bisa, alhamdulillah, setelah, sekian, lama, mencoba, terus, akhirnya, saya, bisa, menambah, usulan, semoga, segera, di, acc, aamiin, untuk, temen, yang, masih, belum, bisa, menambah, usulan, karena, eror, jersey, kalian, bisa, pencet, berulang, kuncinya, sabar, terimakasih</v>
      </c>
    </row>
    <row r="106">
      <c r="A106" s="17" t="str">
        <f>Cleaning!H114</f>
        <v>kok bulan bulan ini belum keluar juga ini sudah hampir bulan biasa ya bulan sekali ini mah gak keluar</v>
      </c>
      <c r="B106" s="21" t="str">
        <f>IFERROR(__xludf.DUMMYFUNCTION("REGEXREPLACE(A106,"" "","", "")"),"kok, bulan, bulan, ini, belum, keluar, juga, ini, sudah, hampir, bulan, biasa, ya, bulan, sekali, ini, mah, gak, keluar")</f>
        <v>kok, bulan, bulan, ini, belum, keluar, juga, ini, sudah, hampir, bulan, biasa, ya, bulan, sekali, ini, mah, gak, keluar</v>
      </c>
    </row>
    <row r="107">
      <c r="A107" s="17" t="str">
        <f>Cleaning!H115</f>
        <v>daftarnya mudah tapi aktivasinya hampir sebulan dan skrg gabisa untuk log in  keren</v>
      </c>
      <c r="B107" s="21" t="str">
        <f>IFERROR(__xludf.DUMMYFUNCTION("REGEXREPLACE(A107,"" "","", "")"),"daftarnya, mudah, tapi, aktivasinya, hampir, sebulan, dan, skrg, gabisa, untuk, log, in, , keren")</f>
        <v>daftarnya, mudah, tapi, aktivasinya, hampir, sebulan, dan, skrg, gabisa, untuk, log, in, , keren</v>
      </c>
    </row>
    <row r="108">
      <c r="A108" s="17" t="str">
        <f>Cleaning!H116</f>
        <v>sudah dilakukan berkalikali dan beda waktu daftarnya penambahan data di menu tambah data usulan tidak bisa dilakukan dengan keterangan error json parse mohon untuk segera diperbaiki terimakasih</v>
      </c>
      <c r="B108" s="21" t="str">
        <f>IFERROR(__xludf.DUMMYFUNCTION("REGEXREPLACE(A108,"" "","", "")"),"sudah, dilakukan, berkalikali, dan, beda, waktu, daftarnya, penambahan, data, di, menu, tambah, data, usulan, tidak, bisa, dilakukan, dengan, keterangan, error, json, parse, mohon, untuk, segera, diperbaiki, terimakasih")</f>
        <v>sudah, dilakukan, berkalikali, dan, beda, waktu, daftarnya, penambahan, data, di, menu, tambah, data, usulan, tidak, bisa, dilakukan, dengan, keterangan, error, json, parse, mohon, untuk, segera, diperbaiki, terimakasih</v>
      </c>
    </row>
    <row r="109">
      <c r="A109" s="17" t="str">
        <f>Cleaning!H117</f>
        <v>saya kasih rating full aplikasinya tapi masih ada yang kurang dari respon dinsos terlalu lambat dalam merespon pengajuan dan pengaduan masyarakat tolong di tingkatkan lagi tks</v>
      </c>
      <c r="B109" s="21" t="str">
        <f>IFERROR(__xludf.DUMMYFUNCTION("REGEXREPLACE(A109,"" "","", "")"),"saya, kasih, rating, full, aplikasinya, tapi, masih, ada, yang, kurang, dari, respon, dinsos, terlalu, lambat, dalam, merespon, pengajuan, dan, pengaduan, masyarakat, tolong, di, tingkatkan, lagi, tks")</f>
        <v>saya, kasih, rating, full, aplikasinya, tapi, masih, ada, yang, kurang, dari, respon, dinsos, terlalu, lambat, dalam, merespon, pengajuan, dan, pengaduan, masyarakat, tolong, di, tingkatkan, lagi, tks</v>
      </c>
    </row>
    <row r="110">
      <c r="A110" s="17" t="str">
        <f>Cleaning!H118</f>
        <v>aktivasi akun telah berhasil disuruh login tapi hingga sekarang belum bisa masuk error terus kenapa  akun sudah aktif eh dibilang akun belum di aktivasi berarti yang kirim email selamat aktivasi akun telah berhasil kui sopo  </v>
      </c>
      <c r="B110" s="21" t="str">
        <f>IFERROR(__xludf.DUMMYFUNCTION("REGEXREPLACE(A110,"" "","", "")"),"aktivasi, akun, telah, berhasil, disuruh, login, tapi, hingga, sekarang, belum, bisa, masuk, error, terus, kenapa, , akun, sudah, aktif, eh, dibilang, akun, belum, di, aktivasi, berarti, yang, kirim, email, selamat, aktivasi, akun, telah, berhasil, kui, s"&amp;"opo, , ")</f>
        <v>aktivasi, akun, telah, berhasil, disuruh, login, tapi, hingga, sekarang, belum, bisa, masuk, error, terus, kenapa, , akun, sudah, aktif, eh, dibilang, akun, belum, di, aktivasi, berarti, yang, kirim, email, selamat, aktivasi, akun, telah, berhasil, kui, sopo, , </v>
      </c>
    </row>
    <row r="111">
      <c r="A111" s="17" t="str">
        <f>Cleaning!H119</f>
        <v>sebelum di update bisa login sesudah di update sampai sekarang gak bisa login</v>
      </c>
      <c r="B111" s="21" t="str">
        <f>IFERROR(__xludf.DUMMYFUNCTION("REGEXREPLACE(A111,"" "","", "")"),"sebelum, di, update, bisa, login, sesudah, di, update, sampai, sekarang, gak, bisa, login")</f>
        <v>sebelum, di, update, bisa, login, sesudah, di, update, sampai, sekarang, gak, bisa, login</v>
      </c>
    </row>
    <row r="112">
      <c r="A112" s="17" t="str">
        <f>Cleaning!H120</f>
        <v>aplikasi saat pendaftaran ampe  x saya coba selalu error jperson lah apa lah mungkin kayak yang buat aplikasi error wkkwkwwk pemerintah banyak korupsi</v>
      </c>
      <c r="B112" s="21" t="str">
        <f>IFERROR(__xludf.DUMMYFUNCTION("REGEXREPLACE(A112,"" "","", "")"),"aplikasi, saat, pendaftaran, ampe, , x, saya, coba, selalu, error, jperson, lah, apa, lah, mungkin, kayak, yang, buat, aplikasi, error, wkkwkwwk, pemerintah, banyak, korupsi")</f>
        <v>aplikasi, saat, pendaftaran, ampe, , x, saya, coba, selalu, error, jperson, lah, apa, lah, mungkin, kayak, yang, buat, aplikasi, error, wkkwkwwk, pemerintah, banyak, korupsi</v>
      </c>
    </row>
    <row r="113">
      <c r="A113" s="17" t="str">
        <f>Cleaning!H121</f>
        <v>aplikasinya bagustapi kalau boleh kasih masukanbuat ngecek jangan pakai namakarena nama banyak yg samalebih akurat kalau pakai nikkarena kalau nik ngga ada yg sama</v>
      </c>
      <c r="B113" s="21" t="str">
        <f>IFERROR(__xludf.DUMMYFUNCTION("REGEXREPLACE(A113,"" "","", "")"),"aplikasinya, bagustapi, kalau, boleh, kasih, masukanbuat, ngecek, jangan, pakai, namakarena, nama, banyak, yg, samalebih, akurat, kalau, pakai, nikkarena, kalau, nik, ngga, ada, yg, sama")</f>
        <v>aplikasinya, bagustapi, kalau, boleh, kasih, masukanbuat, ngecek, jangan, pakai, namakarena, nama, banyak, yg, samalebih, akurat, kalau, pakai, nikkarena, kalau, nik, ngga, ada, yg, sama</v>
      </c>
    </row>
    <row r="114">
      <c r="A114" s="17" t="str">
        <f>Cleaning!H122</f>
        <v>kenapa ga bisa login saya cari propinsi juga error terus aplikasi nya mohon diperbaiki lagi</v>
      </c>
      <c r="B114" s="21" t="str">
        <f>IFERROR(__xludf.DUMMYFUNCTION("REGEXREPLACE(A114,"" "","", "")"),"kenapa, ga, bisa, login, saya, cari, propinsi, juga, error, terus, aplikasi, nya, mohon, diperbaiki, lagi")</f>
        <v>kenapa, ga, bisa, login, saya, cari, propinsi, juga, error, terus, aplikasi, nya, mohon, diperbaiki, lagi</v>
      </c>
    </row>
    <row r="115">
      <c r="A115" s="17" t="str">
        <f>Cleaning!H123</f>
        <v>maaf mau daftar login kok susah sekalimohon di perbaiki lagi supaya lancar</v>
      </c>
      <c r="B115" s="21" t="str">
        <f>IFERROR(__xludf.DUMMYFUNCTION("REGEXREPLACE(A115,"" "","", "")"),"maaf, mau, daftar, login, kok, susah, sekalimohon, di, perbaiki, lagi, supaya, lancar")</f>
        <v>maaf, mau, daftar, login, kok, susah, sekalimohon, di, perbaiki, lagi, supaya, lancar</v>
      </c>
    </row>
    <row r="116">
      <c r="A116" s="17" t="str">
        <f>Cleaning!H124</f>
        <v>selama ini kehilangan hak saya dikarnakan hilang itu dah berjalan lama sekali sampai sekarang kartu atm nya hilang jadi tdk bisa mengabily</v>
      </c>
      <c r="B116" s="21" t="str">
        <f>IFERROR(__xludf.DUMMYFUNCTION("REGEXREPLACE(A116,"" "","", "")"),"selama, ini, kehilangan, hak, saya, dikarnakan, hilang, itu, dah, berjalan, lama, sekali, sampai, sekarang, kartu, atm, nya, hilang, jadi, tdk, bisa, mengabily")</f>
        <v>selama, ini, kehilangan, hak, saya, dikarnakan, hilang, itu, dah, berjalan, lama, sekali, sampai, sekarang, kartu, atm, nya, hilang, jadi, tdk, bisa, mengabily</v>
      </c>
    </row>
    <row r="117">
      <c r="A117" s="17" t="str">
        <f>Cleaning!H125</f>
        <v>terimakasih sangat membantu meskipun agak lama verifikasinya bisa cek siapa sj tetangga yg dpt bansos</v>
      </c>
      <c r="B117" s="21" t="str">
        <f>IFERROR(__xludf.DUMMYFUNCTION("REGEXREPLACE(A117,"" "","", "")"),"terimakasih, sangat, membantu, meskipun, agak, lama, verifikasinya, bisa, cek, siapa, sj, tetangga, yg, dpt, bansos")</f>
        <v>terimakasih, sangat, membantu, meskipun, agak, lama, verifikasinya, bisa, cek, siapa, sj, tetangga, yg, dpt, bansos</v>
      </c>
    </row>
    <row r="118">
      <c r="A118" s="17" t="str">
        <f>Cleaning!H126</f>
        <v>sy sudah dftr lewat aplikasi cek bansos tapi belum respon dari dinsos alasannya knp ys sulit sekali cari bansos sy blm pernah mndptkn org yg dpt punya mobil rumah layakkalau sy rumah sdh dibbrapa sisisy sdh pensiun sdh hampir  thn gmn ya bpk ibujngankan punya mobil makan aja sering utang di warung sebelahsdh bawa ktp dan kk ke kantor desa tapi ktnya tidak ada bansos ysb</v>
      </c>
      <c r="B118" s="21" t="str">
        <f>IFERROR(__xludf.DUMMYFUNCTION("REGEXREPLACE(A118,"" "","", "")"),"sy, sudah, dftr, lewat, aplikasi, cek, bansos, tapi, belum, respon, dari, dinsos, alasannya, knp, ys, sulit, sekali, cari, bansos, sy, blm, pernah, mndptkn, org, yg, dpt, punya, mobil, rumah, layakkalau, sy, rumah, sdh, dibbrapa, sisisy, sdh, pensiun, sdh"&amp;", hampir, , thn, gmn, ya, bpk, ibujngankan, punya, mobil, makan, aja, sering, utang, di, warung, sebelahsdh, bawa, ktp, dan, kk, ke, kantor, desa, tapi, ktnya, tidak, ada, bansos, ysb")</f>
        <v>sy, sudah, dftr, lewat, aplikasi, cek, bansos, tapi, belum, respon, dari, dinsos, alasannya, knp, ys, sulit, sekali, cari, bansos, sy, blm, pernah, mndptkn, org, yg, dpt, punya, mobil, rumah, layakkalau, sy, rumah, sdh, dibbrapa, sisisy, sdh, pensiun, sdh, hampir, , thn, gmn, ya, bpk, ibujngankan, punya, mobil, makan, aja, sering, utang, di, warung, sebelahsdh, bawa, ktp, dan, kk, ke, kantor, desa, tapi, ktnya, tidak, ada, bansos, ysb</v>
      </c>
    </row>
    <row r="119">
      <c r="A119" s="17" t="str">
        <f>Cleaning!H127</f>
        <v>kenapa error trus padahal sudah foto tinggal langkah terakhir  gmn mau daftar nya</v>
      </c>
      <c r="B119" s="21" t="str">
        <f>IFERROR(__xludf.DUMMYFUNCTION("REGEXREPLACE(A119,"" "","", "")"),"kenapa, error, trus, padahal, sudah, foto, tinggal, langkah, terakhir, , gmn, mau, daftar, nya")</f>
        <v>kenapa, error, trus, padahal, sudah, foto, tinggal, langkah, terakhir, , gmn, mau, daftar, nya</v>
      </c>
    </row>
    <row r="120">
      <c r="A120" s="17" t="str">
        <f>Cleaning!H128</f>
        <v>saya sudah mencoba untuk mendaftar akun tetapi tidak bisa terdaftar akun saya tertulis error json parse</v>
      </c>
      <c r="B120" s="21" t="str">
        <f>IFERROR(__xludf.DUMMYFUNCTION("REGEXREPLACE(A120,"" "","", "")"),"saya, sudah, mencoba, untuk, mendaftar, akun, tetapi, tidak, bisa, terdaftar, akun, saya, tertulis, error, json, parse")</f>
        <v>saya, sudah, mencoba, untuk, mendaftar, akun, tetapi, tidak, bisa, terdaftar, akun, saya, tertulis, error, json, parse</v>
      </c>
    </row>
    <row r="121">
      <c r="A121" s="17" t="str">
        <f>Cleaning!H129</f>
        <v>susah ya buat upload foto error terus padahal aplikasi baru update</v>
      </c>
      <c r="B121" s="21" t="str">
        <f>IFERROR(__xludf.DUMMYFUNCTION("REGEXREPLACE(A121,"" "","", "")"),"susah, ya, buat, upload, foto, error, terus, padahal, aplikasi, baru, update")</f>
        <v>susah, ya, buat, upload, foto, error, terus, padahal, aplikasi, baru, update</v>
      </c>
    </row>
    <row r="122">
      <c r="A122" s="17" t="str">
        <f>Cleaning!H130</f>
        <v>aplikasi yang lama harus di instal ulang di play store baru bisa login </v>
      </c>
      <c r="B122" s="21" t="str">
        <f>IFERROR(__xludf.DUMMYFUNCTION("REGEXREPLACE(A122,"" "","", "")"),"aplikasi, yang, lama, harus, di, instal, ulang, di, play, store, baru, bisa, login, ")</f>
        <v>aplikasi, yang, lama, harus, di, instal, ulang, di, play, store, baru, bisa, login, </v>
      </c>
    </row>
    <row r="123">
      <c r="A123" s="17" t="str">
        <f>Cleaning!H131</f>
        <v>error susah daftar intuk masuk kacau banget niat engk sih nih aplikasi</v>
      </c>
      <c r="B123" s="21" t="str">
        <f>IFERROR(__xludf.DUMMYFUNCTION("REGEXREPLACE(A123,"" "","", "")"),"error, susah, daftar, intuk, masuk, kacau, banget, niat, engk, sih, nih, aplikasi")</f>
        <v>error, susah, daftar, intuk, masuk, kacau, banget, niat, engk, sih, nih, aplikasi</v>
      </c>
    </row>
    <row r="124">
      <c r="A124" s="17" t="str">
        <f>Cleaning!H132</f>
        <v>setelah di update jadi tidak bisa error john parse</v>
      </c>
      <c r="B124" s="21" t="str">
        <f>IFERROR(__xludf.DUMMYFUNCTION("REGEXREPLACE(A124,"" "","", "")"),"setelah, di, update, jadi, tidak, bisa, error, john, parse")</f>
        <v>setelah, di, update, jadi, tidak, bisa, error, john, parse</v>
      </c>
    </row>
    <row r="125">
      <c r="A125" s="17" t="str">
        <f>Cleaning!H133</f>
        <v>aplikasi error tidak bisa melakukan pendaftaran hebat aplikasinya</v>
      </c>
      <c r="B125" s="21" t="str">
        <f>IFERROR(__xludf.DUMMYFUNCTION("REGEXREPLACE(A125,"" "","", "")"),"aplikasi, error, tidak, bisa, melakukan, pendaftaran, hebat, aplikasinya")</f>
        <v>aplikasi, error, tidak, bisa, melakukan, pendaftaran, hebat, aplikasinya</v>
      </c>
    </row>
    <row r="126">
      <c r="A126" s="17" t="str">
        <f>Cleaning!H134</f>
        <v>maaf ni mau tanya berapa lama pemeliharaan aplikasinya yah soalnya saya mau cek penerimaan bantuan bbm tp gak masukmasuk </v>
      </c>
      <c r="B126" s="21" t="str">
        <f>IFERROR(__xludf.DUMMYFUNCTION("REGEXREPLACE(A126,"" "","", "")"),"maaf, ni, mau, tanya, berapa, lama, pemeliharaan, aplikasinya, yah, soalnya, saya, mau, cek, penerimaan, bantuan, bbm, tp, gak, masukmasuk, ")</f>
        <v>maaf, ni, mau, tanya, berapa, lama, pemeliharaan, aplikasinya, yah, soalnya, saya, mau, cek, penerimaan, bantuan, bbm, tp, gak, masukmasuk, </v>
      </c>
    </row>
    <row r="127">
      <c r="A127" s="17" t="str">
        <f>Cleaning!H135</f>
        <v>untuk sementara pelayanan dan pengalaman yang dialami belum bisa direkomendasikan atau dikonfirmasi karena pendaftaran selalu error</v>
      </c>
      <c r="B127" s="21" t="str">
        <f>IFERROR(__xludf.DUMMYFUNCTION("REGEXREPLACE(A127,"" "","", "")"),"untuk, sementara, pelayanan, dan, pengalaman, yang, dialami, belum, bisa, direkomendasikan, atau, dikonfirmasi, karena, pendaftaran, selalu, error")</f>
        <v>untuk, sementara, pelayanan, dan, pengalaman, yang, dialami, belum, bisa, direkomendasikan, atau, dikonfirmasi, karena, pendaftaran, selalu, error</v>
      </c>
    </row>
    <row r="128">
      <c r="A128" s="17" t="str">
        <f>Cleaning!H136</f>
        <v>terlalu banyak pengguna jadi error terusbuat akun belum bisa</v>
      </c>
      <c r="B128" s="21" t="str">
        <f>IFERROR(__xludf.DUMMYFUNCTION("REGEXREPLACE(A128,"" "","", "")"),"terlalu, banyak, pengguna, jadi, error, terusbuat, akun, belum, bisa")</f>
        <v>terlalu, banyak, pengguna, jadi, error, terusbuat, akun, belum, bisa</v>
      </c>
    </row>
    <row r="129">
      <c r="A129" s="17" t="str">
        <f>Cleaning!H137</f>
        <v>aplikasi errorterus dan link ubah password nya gak bisa di buka</v>
      </c>
      <c r="B129" s="21" t="str">
        <f>IFERROR(__xludf.DUMMYFUNCTION("REGEXREPLACE(A129,"" "","", "")"),"aplikasi, errorterus, dan, link, ubah, password, nya, gak, bisa, di, buka")</f>
        <v>aplikasi, errorterus, dan, link, ubah, password, nya, gak, bisa, di, buka</v>
      </c>
    </row>
    <row r="130">
      <c r="A130" s="17" t="str">
        <f>Cleaning!H138</f>
        <v>gagal daftar terus alasannya attribute tidak sesuai ga jelas aplikasinya</v>
      </c>
      <c r="B130" s="21" t="str">
        <f>IFERROR(__xludf.DUMMYFUNCTION("REGEXREPLACE(A130,"" "","", "")"),"gagal, daftar, terus, alasannya, attribute, tidak, sesuai, ga, jelas, aplikasinya")</f>
        <v>gagal, daftar, terus, alasannya, attribute, tidak, sesuai, ga, jelas, aplikasinya</v>
      </c>
    </row>
    <row r="131">
      <c r="A131" s="17" t="str">
        <f>Cleaning!H139</f>
        <v>kepada devplover dan pihak yang adakok aplikasi nyaerorr saat mau digunakantrimakasih</v>
      </c>
      <c r="B131" s="21" t="str">
        <f>IFERROR(__xludf.DUMMYFUNCTION("REGEXREPLACE(A131,"" "","", "")"),"kepada, devplover, dan, pihak, yang, adakok, aplikasi, nyaerorr, saat, mau, digunakantrimakasih")</f>
        <v>kepada, devplover, dan, pihak, yang, adakok, aplikasi, nyaerorr, saat, mau, digunakantrimakasih</v>
      </c>
    </row>
    <row r="132">
      <c r="A132" s="17" t="str">
        <f>Cleaning!H140</f>
        <v>aplikasi error terus ga bisa login kaya ga niat bikin aplikasi</v>
      </c>
      <c r="B132" s="21" t="str">
        <f>IFERROR(__xludf.DUMMYFUNCTION("REGEXREPLACE(A132,"" "","", "")"),"aplikasi, error, terus, ga, bisa, login, kaya, ga, niat, bikin, aplikasi")</f>
        <v>aplikasi, error, terus, ga, bisa, login, kaya, ga, niat, bikin, aplikasi</v>
      </c>
    </row>
    <row r="133">
      <c r="A133" s="17" t="str">
        <f>Cleaning!H141</f>
        <v>aplikasi tidak bekerja sudah coba daptar pas login minta akun baru lagi dan ber ulang</v>
      </c>
      <c r="B133" s="21" t="str">
        <f>IFERROR(__xludf.DUMMYFUNCTION("REGEXREPLACE(A133,"" "","", "")"),"aplikasi, tidak, bekerja, sudah, coba, daptar, pas, login, minta, akun, baru, lagi, dan, ber, ulang")</f>
        <v>aplikasi, tidak, bekerja, sudah, coba, daptar, pas, login, minta, akun, baru, lagi, dan, ber, ulang</v>
      </c>
    </row>
    <row r="134">
      <c r="A134" s="17" t="str">
        <f>Cleaning!H142</f>
        <v>tepatnya tgl  october  bahwa sanggahan sy sdh berhasil pendaftaran bahkan sdh ada laporan ke email sy tp bgtu sy bk apl cek bansos ri sampai saat ini tdk bisa di buka atau melakukan kelanjutannyajdi tolong untuk di perbaiki apl nya</v>
      </c>
      <c r="B134" s="21" t="str">
        <f>IFERROR(__xludf.DUMMYFUNCTION("REGEXREPLACE(A134,"" "","", "")"),"tepatnya, tgl, , october, , bahwa, sanggahan, sy, sdh, berhasil, pendaftaran, bahkan, sdh, ada, laporan, ke, email, sy, tp, bgtu, sy, bk, apl, cek, bansos, ri, sampai, saat, ini, tdk, bisa, di, buka, atau, melakukan, kelanjutannyajdi, tolong, untuk, di, p"&amp;"erbaiki, apl, nya")</f>
        <v>tepatnya, tgl, , october, , bahwa, sanggahan, sy, sdh, berhasil, pendaftaran, bahkan, sdh, ada, laporan, ke, email, sy, tp, bgtu, sy, bk, apl, cek, bansos, ri, sampai, saat, ini, tdk, bisa, di, buka, atau, melakukan, kelanjutannyajdi, tolong, untuk, di, perbaiki, apl, nya</v>
      </c>
    </row>
    <row r="135">
      <c r="A135" s="17" t="str">
        <f>Cleaning!H143</f>
        <v>mao daftar aja error mulu tolong perbaiki lagi aplikasinya</v>
      </c>
      <c r="B135" s="21" t="str">
        <f>IFERROR(__xludf.DUMMYFUNCTION("REGEXREPLACE(A135,"" "","", "")"),"mao, daftar, aja, error, mulu, tolong, perbaiki, lagi, aplikasinya")</f>
        <v>mao, daftar, aja, error, mulu, tolong, perbaiki, lagi, aplikasinya</v>
      </c>
    </row>
    <row r="136">
      <c r="A136" s="17" t="str">
        <f>Cleaning!H144</f>
        <v>kenapa kok belum ada respon dri dinsoskenapa aplikasi nya error min mhon utk di perbaiki dn penjelasan nya</v>
      </c>
      <c r="B136" s="21" t="str">
        <f>IFERROR(__xludf.DUMMYFUNCTION("REGEXREPLACE(A136,"" "","", "")"),"kenapa, kok, belum, ada, respon, dri, dinsoskenapa, aplikasi, nya, error, min, mhon, utk, di, perbaiki, dn, penjelasan, nya")</f>
        <v>kenapa, kok, belum, ada, respon, dri, dinsoskenapa, aplikasi, nya, error, min, mhon, utk, di, perbaiki, dn, penjelasan, nya</v>
      </c>
    </row>
    <row r="137">
      <c r="A137" s="17" t="str">
        <f>Cleaning!H145</f>
        <v>belum bisa masuk mau ganti kata sandi link yg diberi error g bisadibuka udah  bln ini</v>
      </c>
      <c r="B137" s="21" t="str">
        <f>IFERROR(__xludf.DUMMYFUNCTION("REGEXREPLACE(A137,"" "","", "")"),"belum, bisa, masuk, mau, ganti, kata, sandi, link, yg, diberi, error, g, bisadibuka, udah, , bln, ini")</f>
        <v>belum, bisa, masuk, mau, ganti, kata, sandi, link, yg, diberi, error, g, bisadibuka, udah, , bln, ini</v>
      </c>
    </row>
    <row r="138">
      <c r="A138" s="17" t="str">
        <f>Cleaning!H146</f>
        <v>saya sudah daftar di aplikasi ini dan mengajukan tambah usulan tapi belum dicek terus</v>
      </c>
      <c r="B138" s="21" t="str">
        <f>IFERROR(__xludf.DUMMYFUNCTION("REGEXREPLACE(A138,"" "","", "")"),"saya, sudah, daftar, di, aplikasi, ini, dan, mengajukan, tambah, usulan, tapi, belum, dicek, terus")</f>
        <v>saya, sudah, daftar, di, aplikasi, ini, dan, mengajukan, tambah, usulan, tapi, belum, dicek, terus</v>
      </c>
    </row>
    <row r="139">
      <c r="A139" s="17" t="str">
        <f>Cleaning!H147</f>
        <v>terimakasih sekarang sudah bisa di bukacuma masih ada kekurangan untuk pengajuan usul sanggah yang sampai saat ini masih belum juga di tinjau oleh pihak pusat kemensos</v>
      </c>
      <c r="B139" s="21" t="str">
        <f>IFERROR(__xludf.DUMMYFUNCTION("REGEXREPLACE(A139,"" "","", "")"),"terimakasih, sekarang, sudah, bisa, di, bukacuma, masih, ada, kekurangan, untuk, pengajuan, usul, sanggah, yang, sampai, saat, ini, masih, belum, juga, di, tinjau, oleh, pihak, pusat, kemensos")</f>
        <v>terimakasih, sekarang, sudah, bisa, di, bukacuma, masih, ada, kekurangan, untuk, pengajuan, usul, sanggah, yang, sampai, saat, ini, masih, belum, juga, di, tinjau, oleh, pihak, pusat, kemensos</v>
      </c>
    </row>
    <row r="140">
      <c r="A140" s="17" t="str">
        <f>Cleaning!H148</f>
        <v>error saat buat akun apakah aplikasi ini sudah tidak berlaku lagi mohon penjelasan nya ya admin terimakasih</v>
      </c>
      <c r="B140" s="21" t="str">
        <f>IFERROR(__xludf.DUMMYFUNCTION("REGEXREPLACE(A140,"" "","", "")"),"error, saat, buat, akun, apakah, aplikasi, ini, sudah, tidak, berlaku, lagi, mohon, penjelasan, nya, ya, admin, terimakasih")</f>
        <v>error, saat, buat, akun, apakah, aplikasi, ini, sudah, tidak, berlaku, lagi, mohon, penjelasan, nya, ya, admin, terimakasih</v>
      </c>
    </row>
    <row r="141">
      <c r="A141" s="17" t="str">
        <f>Cleaning!H149</f>
        <v>berhasil tinggal menunggu verifikasi mudah mudahan disetujui </v>
      </c>
      <c r="B141" s="21" t="str">
        <f>IFERROR(__xludf.DUMMYFUNCTION("REGEXREPLACE(A141,"" "","", "")"),"berhasil, tinggal, menunggu, verifikasi, mudah, mudahan, disetujui, ")</f>
        <v>berhasil, tinggal, menunggu, verifikasi, mudah, mudahan, disetujui, </v>
      </c>
    </row>
    <row r="142">
      <c r="A142" s="17" t="str">
        <f>Cleaning!H150</f>
        <v>tolong di perbaiki lagi masih serung erorterimakasih karna sudah ada apk ini</v>
      </c>
      <c r="B142" s="21" t="str">
        <f>IFERROR(__xludf.DUMMYFUNCTION("REGEXREPLACE(A142,"" "","", "")"),"tolong, di, perbaiki, lagi, masih, serung, erorterimakasih, karna, sudah, ada, apk, ini")</f>
        <v>tolong, di, perbaiki, lagi, masih, serung, erorterimakasih, karna, sudah, ada, apk, ini</v>
      </c>
    </row>
    <row r="143">
      <c r="A143" s="17" t="str">
        <f>Cleaning!H151</f>
        <v>semoga saya bisa dapat bansos  karena dari dulu sampai sekarang belum pernah dapat bantuan dari pemerintahagak bingung juga kok bisa ngak pernah dapat bantuan apa apa dari pemerintah</v>
      </c>
      <c r="B143" s="21" t="str">
        <f>IFERROR(__xludf.DUMMYFUNCTION("REGEXREPLACE(A143,"" "","", "")"),"semoga, saya, bisa, dapat, bansos, , karena, dari, dulu, sampai, sekarang, belum, pernah, dapat, bantuan, dari, pemerintahagak, bingung, juga, kok, bisa, ngak, pernah, dapat, bantuan, apa, apa, dari, pemerintah")</f>
        <v>semoga, saya, bisa, dapat, bansos, , karena, dari, dulu, sampai, sekarang, belum, pernah, dapat, bantuan, dari, pemerintahagak, bingung, juga, kok, bisa, ngak, pernah, dapat, bantuan, apa, apa, dari, pemerintah</v>
      </c>
    </row>
    <row r="144">
      <c r="A144" s="17" t="str">
        <f>Cleaning!H152</f>
        <v>tolong klau ada sanggahan diresponlah kami yg sangat layak dapat bantuan malah tdk dapat sm sekaliyg lebih mampu malah dapatusul lebih baik hapus sj bansosuntuk menghindari kecemburuan sosial</v>
      </c>
      <c r="B144" s="21" t="str">
        <f>IFERROR(__xludf.DUMMYFUNCTION("REGEXREPLACE(A144,"" "","", "")"),"tolong, klau, ada, sanggahan, diresponlah, kami, yg, sangat, layak, dapat, bantuan, malah, tdk, dapat, sm, sekaliyg, lebih, mampu, malah, dapatusul, lebih, baik, hapus, sj, bansosuntuk, menghindari, kecemburuan, sosial")</f>
        <v>tolong, klau, ada, sanggahan, diresponlah, kami, yg, sangat, layak, dapat, bantuan, malah, tdk, dapat, sm, sekaliyg, lebih, mampu, malah, dapatusul, lebih, baik, hapus, sj, bansosuntuk, menghindari, kecemburuan, sosial</v>
      </c>
    </row>
    <row r="145">
      <c r="A145" s="17" t="str">
        <f>Cleaning!H153</f>
        <v>saya sudah selesai membuat usernametapi ada keterangan belum aktifasidan saya bingung cara aktifasinya melalui apa</v>
      </c>
      <c r="B145" s="21" t="str">
        <f>IFERROR(__xludf.DUMMYFUNCTION("REGEXREPLACE(A145,"" "","", "")"),"saya, sudah, selesai, membuat, usernametapi, ada, keterangan, belum, aktifasidan, saya, bingung, cara, aktifasinya, melalui, apa")</f>
        <v>saya, sudah, selesai, membuat, usernametapi, ada, keterangan, belum, aktifasidan, saya, bingung, cara, aktifasinya, melalui, apa</v>
      </c>
    </row>
    <row r="146">
      <c r="A146" s="17" t="str">
        <f>Cleaning!H154</f>
        <v>single parent anakku  mau kerja keluar negri nggak ada yg ngerawat anak anak utlong pemerintah indonesia ingin rasanya merasakan sumbanganblt dari indonesia smga makmur dan jaya terus negriku</v>
      </c>
      <c r="B146" s="21" t="str">
        <f>IFERROR(__xludf.DUMMYFUNCTION("REGEXREPLACE(A146,"" "","", "")"),"single, parent, anakku, , mau, kerja, keluar, negri, nggak, ada, yg, ngerawat, anak, anak, utlong, pemerintah, indonesia, ingin, rasanya, merasakan, sumbanganblt, dari, indonesia, smga, makmur, dan, jaya, terus, negriku")</f>
        <v>single, parent, anakku, , mau, kerja, keluar, negri, nggak, ada, yg, ngerawat, anak, anak, utlong, pemerintah, indonesia, ingin, rasanya, merasakan, sumbanganblt, dari, indonesia, smga, makmur, dan, jaya, terus, negriku</v>
      </c>
    </row>
    <row r="147">
      <c r="A147" s="17" t="str">
        <f>Cleaning!H155</f>
        <v>aplikasi sampahjangan di download server nya error bintang  supaya tampil di kolom komentar</v>
      </c>
      <c r="B147" s="21" t="str">
        <f>IFERROR(__xludf.DUMMYFUNCTION("REGEXREPLACE(A147,"" "","", "")"),"aplikasi, sampahjangan, di, download, server, nya, error, bintang, , supaya, tampil, di, kolom, komentar")</f>
        <v>aplikasi, sampahjangan, di, download, server, nya, error, bintang, , supaya, tampil, di, kolom, komentar</v>
      </c>
    </row>
    <row r="148">
      <c r="A148" s="17" t="str">
        <f>Cleaning!H156</f>
        <v>masih belum bisa login kk mohon solusinya kenapa muncul tlisan error json parse</v>
      </c>
      <c r="B148" s="21" t="str">
        <f>IFERROR(__xludf.DUMMYFUNCTION("REGEXREPLACE(A148,"" "","", "")"),"masih, belum, bisa, login, kk, mohon, solusinya, kenapa, muncul, tlisan, error, json, parse")</f>
        <v>masih, belum, bisa, login, kk, mohon, solusinya, kenapa, muncul, tlisan, error, json, parse</v>
      </c>
    </row>
    <row r="149">
      <c r="A149" s="17" t="str">
        <f>Cleaning!H157</f>
        <v>dah masukkan data dgn benar tinggal persetujuanmau dikirimaplikasi eror</v>
      </c>
      <c r="B149" s="21" t="str">
        <f>IFERROR(__xludf.DUMMYFUNCTION("REGEXREPLACE(A149,"" "","", "")"),"dah, masukkan, data, dgn, benar, tinggal, persetujuanmau, dikirimaplikasi, eror")</f>
        <v>dah, masukkan, data, dgn, benar, tinggal, persetujuanmau, dikirimaplikasi, eror</v>
      </c>
    </row>
    <row r="150">
      <c r="A150" s="17" t="str">
        <f>Cleaning!H158</f>
        <v>error gak bisa daftar cek bansos mohon di bantu error tidak bisa daftar cek bansos mohon di bantu</v>
      </c>
      <c r="B150" s="21" t="str">
        <f>IFERROR(__xludf.DUMMYFUNCTION("REGEXREPLACE(A150,"" "","", "")"),"error, gak, bisa, daftar, cek, bansos, mohon, di, bantu, error, tidak, bisa, daftar, cek, bansos, mohon, di, bantu")</f>
        <v>error, gak, bisa, daftar, cek, bansos, mohon, di, bantu, error, tidak, bisa, daftar, cek, bansos, mohon, di, bantu</v>
      </c>
    </row>
    <row r="151">
      <c r="A151" s="17" t="str">
        <f>Cleaning!H159</f>
        <v>maaf  knpa saya gak bisa login di aplikasi inipdahal sya dah trima email ke  alias email aktivasi akunmohon bantuannya</v>
      </c>
      <c r="B151" s="21" t="str">
        <f>IFERROR(__xludf.DUMMYFUNCTION("REGEXREPLACE(A151,"" "","", "")"),"maaf, , knpa, saya, gak, bisa, login, di, aplikasi, inipdahal, sya, dah, trima, email, ke, , alias, email, aktivasi, akunmohon, bantuannya")</f>
        <v>maaf, , knpa, saya, gak, bisa, login, di, aplikasi, inipdahal, sya, dah, trima, email, ke, , alias, email, aktivasi, akunmohon, bantuannya</v>
      </c>
    </row>
    <row r="152">
      <c r="A152" s="17" t="str">
        <f>Cleaning!H160</f>
        <v>perbaikan mulu sdh  bln ga bisa loading</v>
      </c>
      <c r="B152" s="21" t="str">
        <f>IFERROR(__xludf.DUMMYFUNCTION("REGEXREPLACE(A152,"" "","", "")"),"perbaikan, mulu, sdh, , bln, ga, bisa, loading")</f>
        <v>perbaikan, mulu, sdh, , bln, ga, bisa, loading</v>
      </c>
    </row>
    <row r="153">
      <c r="A153" s="17" t="str">
        <f>Cleaning!H161</f>
        <v>sudah bisa buat akunmeski tak terdaftar sebagai penerima manfaat</v>
      </c>
      <c r="B153" s="21" t="str">
        <f>IFERROR(__xludf.DUMMYFUNCTION("REGEXREPLACE(A153,"" "","", "")"),"sudah, bisa, buat, akunmeski, tak, terdaftar, sebagai, penerima, manfaat")</f>
        <v>sudah, bisa, buat, akunmeski, tak, terdaftar, sebagai, penerima, manfaat</v>
      </c>
    </row>
    <row r="154">
      <c r="A154" s="17" t="str">
        <f>Cleaning!H162</f>
        <v>tidak bisa mengusulkan dan sanggah di aplikasinya jaringan terus elor</v>
      </c>
      <c r="B154" s="21" t="str">
        <f>IFERROR(__xludf.DUMMYFUNCTION("REGEXREPLACE(A154,"" "","", "")"),"tidak, bisa, mengusulkan, dan, sanggah, di, aplikasinya, jaringan, terus, elor")</f>
        <v>tidak, bisa, mengusulkan, dan, sanggah, di, aplikasinya, jaringan, terus, elor</v>
      </c>
    </row>
    <row r="155">
      <c r="A155" s="17" t="str">
        <f>Cleaning!H163</f>
        <v>bintang empat dulu soalnya gak bisa masuk padahal saya sudah daftar mohon donk penjelasannya</v>
      </c>
      <c r="B155" s="21" t="str">
        <f>IFERROR(__xludf.DUMMYFUNCTION("REGEXREPLACE(A155,"" "","", "")"),"bintang, empat, dulu, soalnya, gak, bisa, masuk, padahal, saya, sudah, daftar, mohon, donk, penjelasannya")</f>
        <v>bintang, empat, dulu, soalnya, gak, bisa, masuk, padahal, saya, sudah, daftar, mohon, donk, penjelasannya</v>
      </c>
    </row>
    <row r="156">
      <c r="A156" s="17" t="str">
        <f>Cleaning!H164</f>
        <v>banyak bantuan yang masih kurang tepat bayak orang tua yang seharusnya menerima manfaat tapi nyatanya malah anak² muda yang sehat yg mendapatkan</v>
      </c>
      <c r="B156" s="21" t="str">
        <f>IFERROR(__xludf.DUMMYFUNCTION("REGEXREPLACE(A156,"" "","", "")"),"banyak, bantuan, yang, masih, kurang, tepat, bayak, orang, tua, yang, seharusnya, menerima, manfaat, tapi, nyatanya, malah, anak², muda, yang, sehat, yg, mendapatkan")</f>
        <v>banyak, bantuan, yang, masih, kurang, tepat, bayak, orang, tua, yang, seharusnya, menerima, manfaat, tapi, nyatanya, malah, anak², muda, yang, sehat, yg, mendapatkan</v>
      </c>
    </row>
    <row r="157">
      <c r="A157" s="17" t="str">
        <f>Cleaning!H165</f>
        <v>terjadi error aplikasisilakan hubungi admin</v>
      </c>
      <c r="B157" s="21" t="str">
        <f>IFERROR(__xludf.DUMMYFUNCTION("REGEXREPLACE(A157,"" "","", "")"),"terjadi, error, aplikasisilakan, hubungi, admin")</f>
        <v>terjadi, error, aplikasisilakan, hubungi, admin</v>
      </c>
    </row>
    <row r="158">
      <c r="A158" s="17" t="str">
        <f>Cleaning!H166</f>
        <v>nggak bisa login karena lupa username dan pesan email sudah ke hapus  tolong bantuannya</v>
      </c>
      <c r="B158" s="21" t="str">
        <f>IFERROR(__xludf.DUMMYFUNCTION("REGEXREPLACE(A158,"" "","", "")"),"nggak, bisa, login, karena, lupa, username, dan, pesan, email, sudah, ke, hapus, , tolong, bantuannya")</f>
        <v>nggak, bisa, login, karena, lupa, username, dan, pesan, email, sudah, ke, hapus, , tolong, bantuannya</v>
      </c>
    </row>
    <row r="159">
      <c r="A159" s="17" t="str">
        <f>Cleaning!H167</f>
        <v>sudah puluhan tahun kost di makassar tapi tdk pernah dapat bantuan bansos  semoga lewat aplikasi ini sy bisa dapat bantuan bansosamin</v>
      </c>
      <c r="B159" s="21" t="str">
        <f>IFERROR(__xludf.DUMMYFUNCTION("REGEXREPLACE(A159,"" "","", "")"),"sudah, puluhan, tahun, kost, di, makassar, tapi, tdk, pernah, dapat, bantuan, bansos, , semoga, lewat, aplikasi, ini, sy, bisa, dapat, bantuan, bansosamin")</f>
        <v>sudah, puluhan, tahun, kost, di, makassar, tapi, tdk, pernah, dapat, bantuan, bansos, , semoga, lewat, aplikasi, ini, sy, bisa, dapat, bantuan, bansosamin</v>
      </c>
    </row>
    <row r="160">
      <c r="A160" s="17" t="str">
        <f>Cleaning!H168</f>
        <v>gak bisa login error terus keluarnya</v>
      </c>
      <c r="B160" s="21" t="str">
        <f>IFERROR(__xludf.DUMMYFUNCTION("REGEXREPLACE(A160,"" "","", "")"),"gak, bisa, login, error, terus, keluarnya")</f>
        <v>gak, bisa, login, error, terus, keluarnya</v>
      </c>
    </row>
    <row r="161">
      <c r="A161" s="17" t="str">
        <f>Cleaning!H169</f>
        <v>aplikasi errorharap hubungi adminmohon bisa dicek</v>
      </c>
      <c r="B161" s="21" t="str">
        <f>IFERROR(__xludf.DUMMYFUNCTION("REGEXREPLACE(A161,"" "","", "")"),"aplikasi, errorharap, hubungi, adminmohon, bisa, dicek")</f>
        <v>aplikasi, errorharap, hubungi, adminmohon, bisa, dicek</v>
      </c>
    </row>
    <row r="162">
      <c r="A162" s="17" t="str">
        <f>Cleaning!H170</f>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 karena dia juga berulang muncul di apk nya</v>
      </c>
      <c r="B162" s="21" t="str">
        <f>IFERROR(__xludf.DUMMYFUNCTION("REGEXREPLACE(A162,"" "","", "")"),"akun, sudah, terverifikasi, dikasih, tau, username, nik, nama, no, hp, tanggal, lewat, gmail, oleh, kementerian, sosial, log, in, nya, tidak, ada, koneksi, aplikasi, yang, baaaaagus, syekali, tidak, syulit, pun, yang, penting, sudah, diverifikasi, oleh, k"&amp;"emensos, dan, tidak, ada, koneksi, wifi, lancar, alhamdulillah, apik, dan, selalu, apk, nya, bilang, tidak, ada, koneksi, mungkin, harus, bayar, dulu, untuk, log, inmaaf, tidak, ada, koneksinya, saya, ulang, karena, dia, juga, berulang, muncul, di, apk, n"&amp;"ya")</f>
        <v>akun, sudah, terverifikasi, dikasih, tau, username, nik, nama, no, hp, tanggal, lewat, gmail, oleh, kementerian, sosial, log, in, nya, tidak, ada, koneksi, aplikasi, yang, baaaaagus, syekali, tidak, syulit, pun, yang, penting, sudah, diverifikasi, oleh, kemensos, dan, tidak, ada, koneksi, wifi, lancar, alhamdulillah, apik, dan, selalu, apk, nya, bilang, tidak, ada, koneksi, mungkin, harus, bayar, dulu, untuk, log, inmaaf, tidak, ada, koneksinya, saya, ulang, karena, dia, juga, berulang, muncul, di, apk, nya</v>
      </c>
    </row>
    <row r="163">
      <c r="A163" s="17" t="str">
        <f>Cleaning!H171</f>
        <v>terimakasi aplikasi ini sangat membantu dan sayg sudah terdaftar bansos terimakasih ya atas bantuan aplikasi nya</v>
      </c>
      <c r="B163" s="21" t="str">
        <f>IFERROR(__xludf.DUMMYFUNCTION("REGEXREPLACE(A163,"" "","", "")"),"terimakasi, aplikasi, ini, sangat, membantu, dan, sayg, sudah, terdaftar, bansos, terimakasih, ya, atas, bantuan, aplikasi, nya")</f>
        <v>terimakasi, aplikasi, ini, sangat, membantu, dan, sayg, sudah, terdaftar, bansos, terimakasih, ya, atas, bantuan, aplikasi, nya</v>
      </c>
    </row>
    <row r="164">
      <c r="A164" s="17" t="str">
        <f>Cleaning!H172</f>
        <v>udah dpt balasan aktivasi email dari kemensos beberapa hari yg lalu tp ketika mau masuk loadingy cuma muter  trus muncul periksa koneksi internet pdhl pake wifi mohon pihak trkait smoga aplikasi ini sgra bisa di prbaiki krna bnyak bantuan salah sasaran</v>
      </c>
      <c r="B164" s="21" t="str">
        <f>IFERROR(__xludf.DUMMYFUNCTION("REGEXREPLACE(A164,"" "","", "")"),"udah, dpt, balasan, aktivasi, email, dari, kemensos, beberapa, hari, yg, lalu, tp, ketika, mau, masuk, loadingy, cuma, muter, , trus, muncul, periksa, koneksi, internet, pdhl, pake, wifi, mohon, pihak, trkait, smoga, aplikasi, ini, sgra, bisa, di, prbaiki"&amp;", krna, bnyak, bantuan, salah, sasaran")</f>
        <v>udah, dpt, balasan, aktivasi, email, dari, kemensos, beberapa, hari, yg, lalu, tp, ketika, mau, masuk, loadingy, cuma, muter, , trus, muncul, periksa, koneksi, internet, pdhl, pake, wifi, mohon, pihak, trkait, smoga, aplikasi, ini, sgra, bisa, di, prbaiki, krna, bnyak, bantuan, salah, sasaran</v>
      </c>
    </row>
    <row r="165">
      <c r="A165" s="17" t="str">
        <f>Cleaning!H173</f>
        <v>mohon d bantusaya login lupa paswordpas sudah dpt link dr email link trsbt tidak bisa d bukamhon bntuan nya</v>
      </c>
      <c r="B165" s="21" t="str">
        <f>IFERROR(__xludf.DUMMYFUNCTION("REGEXREPLACE(A165,"" "","", "")"),"mohon, d, bantusaya, login, lupa, paswordpas, sudah, dpt, link, dr, email, link, trsbt, tidak, bisa, d, bukamhon, bntuan, nya")</f>
        <v>mohon, d, bantusaya, login, lupa, paswordpas, sudah, dpt, link, dr, email, link, trsbt, tidak, bisa, d, bukamhon, bntuan, nya</v>
      </c>
    </row>
    <row r="166">
      <c r="A166" s="17" t="str">
        <f>Cleaning!H174</f>
        <v>alhamdulillah begitu daftar langsung dapat email aktivasi dan bisa langsung login sudah masukkan usulan bansos semoga di setujui </v>
      </c>
      <c r="B166" s="21" t="str">
        <f>IFERROR(__xludf.DUMMYFUNCTION("REGEXREPLACE(A166,"" "","", "")"),"alhamdulillah, begitu, daftar, langsung, dapat, email, aktivasi, dan, bisa, langsung, login, sudah, masukkan, usulan, bansos, semoga, di, setujui, ")</f>
        <v>alhamdulillah, begitu, daftar, langsung, dapat, email, aktivasi, dan, bisa, langsung, login, sudah, masukkan, usulan, bansos, semoga, di, setujui, </v>
      </c>
    </row>
    <row r="167">
      <c r="A167" s="17" t="str">
        <f>Cleaning!H175</f>
        <v>kenapa ga bisa masuk&amp; gabisa ngecek nama penerima mohon diperbaiki</v>
      </c>
      <c r="B167" s="21" t="str">
        <f>IFERROR(__xludf.DUMMYFUNCTION("REGEXREPLACE(A167,"" "","", "")"),"kenapa, ga, bisa, masuk&amp;, gabisa, ngecek, nama, penerima, mohon, diperbaiki")</f>
        <v>kenapa, ga, bisa, masuk&amp;, gabisa, ngecek, nama, penerima, mohon, diperbaiki</v>
      </c>
    </row>
    <row r="168">
      <c r="A168" s="17" t="str">
        <f>Cleaning!H176</f>
        <v>saya sudah daftar aplikasi ni mudah mudahan bisa membantu perekonomian keluarga saya </v>
      </c>
      <c r="B168" s="21" t="str">
        <f>IFERROR(__xludf.DUMMYFUNCTION("REGEXREPLACE(A168,"" "","", "")"),"saya, sudah, daftar, aplikasi, ni, mudah, mudahan, bisa, membantu, perekonomian, keluarga, saya, ")</f>
        <v>saya, sudah, daftar, aplikasi, ni, mudah, mudahan, bisa, membantu, perekonomian, keluarga, saya, </v>
      </c>
    </row>
    <row r="169">
      <c r="A169" s="17" t="str">
        <f>Cleaning!H177</f>
        <v>assalamualaikum mau tanya sy udah daftar udah dapet email juga tentang aktifasi dan di suruh login pas mau login username ga si temukan gimana donk min</v>
      </c>
      <c r="B169" s="21" t="str">
        <f>IFERROR(__xludf.DUMMYFUNCTION("REGEXREPLACE(A169,"" "","", "")"),"assalamualaikum, mau, tanya, sy, udah, daftar, udah, dapet, email, juga, tentang, aktifasi, dan, di, suruh, login, pas, mau, login, username, ga, si, temukan, gimana, donk, min")</f>
        <v>assalamualaikum, mau, tanya, sy, udah, daftar, udah, dapet, email, juga, tentang, aktifasi, dan, di, suruh, login, pas, mau, login, username, ga, si, temukan, gimana, donk, min</v>
      </c>
    </row>
    <row r="170">
      <c r="A170" s="17" t="str">
        <f>Cleaning!H178</f>
        <v>kenapa saya tidak mendapat bantuan dari pemerintah bansos seperti pkh  bpnt  bst dan blt bbm mohon bantuan nya agar saya bisa mendapatkan bantuan pemerintah ini terima kasih atas yang mau membantu</v>
      </c>
      <c r="B170" s="21" t="str">
        <f>IFERROR(__xludf.DUMMYFUNCTION("REGEXREPLACE(A170,"" "","", "")"),"kenapa, saya, tidak, mendapat, bantuan, dari, pemerintah, bansos, seperti, pkh, , bpnt, , bst, dan, blt, bbm, mohon, bantuan, nya, agar, saya, bisa, mendapatkan, bantuan, pemerintah, ini, terima, kasih, atas, yang, mau, membantu")</f>
        <v>kenapa, saya, tidak, mendapat, bantuan, dari, pemerintah, bansos, seperti, pkh, , bpnt, , bst, dan, blt, bbm, mohon, bantuan, nya, agar, saya, bisa, mendapatkan, bantuan, pemerintah, ini, terima, kasih, atas, yang, mau, membantu</v>
      </c>
    </row>
    <row r="171">
      <c r="A171" s="17" t="str">
        <f>Cleaning!H179</f>
        <v>sudah punya user name tp tidak bisa nebula aplikasi karena belum disetujui aktivasi</v>
      </c>
      <c r="B171" s="21" t="str">
        <f>IFERROR(__xludf.DUMMYFUNCTION("REGEXREPLACE(A171,"" "","", "")"),"sudah, punya, user, name, tp, tidak, bisa, nebula, aplikasi, karena, belum, disetujui, aktivasi")</f>
        <v>sudah, punya, user, name, tp, tidak, bisa, nebula, aplikasi, karena, belum, disetujui, aktivasi</v>
      </c>
    </row>
    <row r="172">
      <c r="A172" s="17" t="str">
        <f>Cleaning!H180</f>
        <v>admin aplikasi terjadi eorr aplikasi silakan hubungi admin mohon bantuannya atau perbaikannya min</v>
      </c>
      <c r="B172" s="21" t="str">
        <f>IFERROR(__xludf.DUMMYFUNCTION("REGEXREPLACE(A172,"" "","", "")"),"admin, aplikasi, terjadi, eorr, aplikasi, silakan, hubungi, admin, mohon, bantuannya, atau, perbaikannya, min")</f>
        <v>admin, aplikasi, terjadi, eorr, aplikasi, silakan, hubungi, admin, mohon, bantuannya, atau, perbaikannya, min</v>
      </c>
    </row>
    <row r="173">
      <c r="A173" s="17" t="str">
        <f>Cleaning!H181</f>
        <v>alhamdulilah udah di perbaiki datanya terima kasih</v>
      </c>
      <c r="B173" s="21" t="str">
        <f>IFERROR(__xludf.DUMMYFUNCTION("REGEXREPLACE(A173,"" "","", "")"),"alhamdulilah, udah, di, perbaiki, datanya, terima, kasih")</f>
        <v>alhamdulilah, udah, di, perbaiki, datanya, terima, kasih</v>
      </c>
    </row>
    <row r="174">
      <c r="A174" s="17" t="str">
        <f>Cleaning!H182</f>
        <v>udah di daftar tapi belum di aktivasi</v>
      </c>
      <c r="B174" s="21" t="str">
        <f>IFERROR(__xludf.DUMMYFUNCTION("REGEXREPLACE(A174,"" "","", "")"),"udah, di, daftar, tapi, belum, di, aktivasi")</f>
        <v>udah, di, daftar, tapi, belum, di, aktivasi</v>
      </c>
    </row>
    <row r="175">
      <c r="A175" s="17" t="str">
        <f>Cleaning!H183</f>
        <v>oke banget cuma sering gangguan tpi ttp sbar menunggu bsa di buka lg</v>
      </c>
      <c r="B175" s="21" t="str">
        <f>IFERROR(__xludf.DUMMYFUNCTION("REGEXREPLACE(A175,"" "","", "")"),"oke, banget, cuma, sering, gangguan, tpi, ttp, sbar, menunggu, bsa, di, buka, lg")</f>
        <v>oke, banget, cuma, sering, gangguan, tpi, ttp, sbar, menunggu, bsa, di, buka, lg</v>
      </c>
    </row>
    <row r="176">
      <c r="A176" s="17" t="str">
        <f>Cleaning!H184</f>
        <v>klo kaga bisa masuk perbaruin versi terbaru terus restar hp pasti bisa masuk kok</v>
      </c>
      <c r="B176" s="21" t="str">
        <f>IFERROR(__xludf.DUMMYFUNCTION("REGEXREPLACE(A176,"" "","", "")"),"klo, kaga, bisa, masuk, perbaruin, versi, terbaru, terus, restar, hp, pasti, bisa, masuk, kok")</f>
        <v>klo, kaga, bisa, masuk, perbaruin, versi, terbaru, terus, restar, hp, pasti, bisa, masuk, kok</v>
      </c>
    </row>
    <row r="177">
      <c r="A177" s="17" t="str">
        <f>Cleaning!H185</f>
        <v>mohon bantuan nya setiap kali mau daftar akun selalu error</v>
      </c>
      <c r="B177" s="21" t="str">
        <f>IFERROR(__xludf.DUMMYFUNCTION("REGEXREPLACE(A177,"" "","", "")"),"mohon, bantuan, nya, setiap, kali, mau, daftar, akun, selalu, error")</f>
        <v>mohon, bantuan, nya, setiap, kali, mau, daftar, akun, selalu, error</v>
      </c>
    </row>
    <row r="178">
      <c r="A178" s="17" t="str">
        <f>Cleaning!H186</f>
        <v>udh bisa di buka tetapi pas kirim mengajuan mandiri selalu eror tolong di perbaiki</v>
      </c>
      <c r="B178" s="21" t="str">
        <f>IFERROR(__xludf.DUMMYFUNCTION("REGEXREPLACE(A178,"" "","", "")"),"udh, bisa, di, buka, tetapi, pas, kirim, mengajuan, mandiri, selalu, eror, tolong, di, perbaiki")</f>
        <v>udh, bisa, di, buka, tetapi, pas, kirim, mengajuan, mandiri, selalu, eror, tolong, di, perbaiki</v>
      </c>
    </row>
    <row r="179">
      <c r="A179" s="17" t="str">
        <f>Cleaning!H187</f>
        <v>maaf admin kenapa ya saat loginterjadi error aplikasi</v>
      </c>
      <c r="B179" s="21" t="str">
        <f>IFERROR(__xludf.DUMMYFUNCTION("REGEXREPLACE(A179,"" "","", "")"),"maaf, admin, kenapa, ya, saat, loginterjadi, error, aplikasi")</f>
        <v>maaf, admin, kenapa, ya, saat, loginterjadi, error, aplikasi</v>
      </c>
    </row>
    <row r="180">
      <c r="A180" s="17" t="str">
        <f>Cleaning!H188</f>
        <v>semoga cepat dan segera bisa daftar law mang bisa daftar di hp online semoga niat baik di mudah untuk gabung</v>
      </c>
      <c r="B180" s="21" t="str">
        <f>IFERROR(__xludf.DUMMYFUNCTION("REGEXREPLACE(A180,"" "","", "")"),"semoga, cepat, dan, segera, bisa, daftar, law, mang, bisa, daftar, di, hp, online, semoga, niat, baik, di, mudah, untuk, gabung")</f>
        <v>semoga, cepat, dan, segera, bisa, daftar, law, mang, bisa, daftar, di, hp, online, semoga, niat, baik, di, mudah, untuk, gabung</v>
      </c>
    </row>
    <row r="181">
      <c r="A181" s="17" t="str">
        <f>Cleaning!H189</f>
        <v>tidak bisa log in padahal sudah di verifikasi</v>
      </c>
      <c r="B181" s="21" t="str">
        <f>IFERROR(__xludf.DUMMYFUNCTION("REGEXREPLACE(A181,"" "","", "")"),"tidak, bisa, log, in, padahal, sudah, di, verifikasi")</f>
        <v>tidak, bisa, log, in, padahal, sudah, di, verifikasi</v>
      </c>
    </row>
    <row r="182">
      <c r="A182" s="17" t="str">
        <f>Cleaning!H190</f>
        <v>pak sudah daftar kenpa gk bisa login harus aktivasi lagi caranya gmn lagi ya</v>
      </c>
      <c r="B182" s="21" t="str">
        <f>IFERROR(__xludf.DUMMYFUNCTION("REGEXREPLACE(A182,"" "","", "")"),"pak, sudah, daftar, kenpa, gk, bisa, login, harus, aktivasi, lagi, caranya, gmn, lagi, ya")</f>
        <v>pak, sudah, daftar, kenpa, gk, bisa, login, harus, aktivasi, lagi, caranya, gmn, lagi, ya</v>
      </c>
    </row>
    <row r="183">
      <c r="A183" s="17" t="str">
        <f>Cleaning!H191</f>
        <v>tolang perbaiki soalnya mau daftar selalu eror</v>
      </c>
      <c r="B183" s="21" t="str">
        <f>IFERROR(__xludf.DUMMYFUNCTION("REGEXREPLACE(A183,"" "","", "")"),"tolang, perbaiki, soalnya, mau, daftar, selalu, eror")</f>
        <v>tolang, perbaiki, soalnya, mau, daftar, selalu, eror</v>
      </c>
    </row>
    <row r="184">
      <c r="A184" s="17" t="str">
        <f>Cleaning!H192</f>
        <v>belum pernah dapet bantuan selain dibayarin bpjs iseng install apk ini dan ada  nama asing yang terdeteksi keluarga di profil laman utama aneh sekali aplikasi juga banyak yang blank di kolom kolom mungkin bug atau apalah itu moga cepet fix</v>
      </c>
      <c r="B184" s="21" t="str">
        <f>IFERROR(__xludf.DUMMYFUNCTION("REGEXREPLACE(A184,"" "","", "")"),"belum, pernah, dapet, bantuan, selain, dibayarin, bpjs, iseng, install, apk, ini, dan, ada, , nama, asing, yang, terdeteksi, keluarga, di, profil, laman, utama, aneh, sekali, aplikasi, juga, banyak, yang, blank, di, kolom, kolom, mungkin, bug, atau, apala"&amp;"h, itu, moga, cepet, fix")</f>
        <v>belum, pernah, dapet, bantuan, selain, dibayarin, bpjs, iseng, install, apk, ini, dan, ada, , nama, asing, yang, terdeteksi, keluarga, di, profil, laman, utama, aneh, sekali, aplikasi, juga, banyak, yang, blank, di, kolom, kolom, mungkin, bug, atau, apalah, itu, moga, cepet, fix</v>
      </c>
    </row>
    <row r="185">
      <c r="A185" s="17" t="str">
        <f>Cleaning!H193</f>
        <v>hai admin aplikasi saya mau bilang kenapa aplikasi cek bansos ini sama saya kok eror ya mohon min di perbaiki</v>
      </c>
      <c r="B185" s="21" t="str">
        <f>IFERROR(__xludf.DUMMYFUNCTION("REGEXREPLACE(A185,"" "","", "")"),"hai, admin, aplikasi, saya, mau, bilang, kenapa, aplikasi, cek, bansos, ini, sama, saya, kok, eror, ya, mohon, min, di, perbaiki")</f>
        <v>hai, admin, aplikasi, saya, mau, bilang, kenapa, aplikasi, cek, bansos, ini, sama, saya, kok, eror, ya, mohon, min, di, perbaiki</v>
      </c>
    </row>
    <row r="186">
      <c r="A186" s="17" t="str">
        <f>Cleaning!H194</f>
        <v>tidak bisa daftar aplikasi selalu error</v>
      </c>
      <c r="B186" s="21" t="str">
        <f>IFERROR(__xludf.DUMMYFUNCTION("REGEXREPLACE(A186,"" "","", "")"),"tidak, bisa, daftar, aplikasi, selalu, error")</f>
        <v>tidak, bisa, daftar, aplikasi, selalu, error</v>
      </c>
    </row>
    <row r="187">
      <c r="A187" s="17" t="str">
        <f>Cleaning!H195</f>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c r="B187" s="21" t="str">
        <f>IFERROR(__xludf.DUMMYFUNCTION("REGEXREPLACE(A187,"" "","", "")"),"assalamualaikum, wr, wb, saya, sangat, berterima, kasih, kepada, pemerintah, yg, dulu, sudah, memberikan, bantuan, langsung, tunai, [, blt, ], terimakasih, pemerintah, telah, membantu, perekonomian, kami, tapi, setelah, kenaikan, harga, bbm, menurut, beri"&amp;"ta, yg, kami, lihat, dan, kami, baca, katanya, pemerintah, memberikan, lagi, bantuan, sosial, atau, bansos, kami, masyarakat, kecil, yg, bekerja, tidak, tetap, selama, bansos, cair, sampai, sekarang, kami, belum, pernah, sama, sekali, mendapatkan, bantuan"&amp;", tsb, padahal, dulu, waktu, pandemi, kami, mendapatkan")</f>
        <v>assalamualaikum, wr, wb, saya, sangat, berterima, kasih, kepada, pemerintah, yg, dulu, sudah, memberikan, bantuan, langsung, tunai, [, blt, ], terimakasih, pemerintah, telah, membantu, perekonomian, kami, tapi, setelah, kenaikan, harga, bbm, menurut, berita, yg, kami, lihat, dan, kami, baca, katanya, pemerintah, memberikan, lagi, bantuan, sosial, atau, bansos, kami, masyarakat, kecil, yg, bekerja, tidak, tetap, selama, bansos, cair, sampai, sekarang, kami, belum, pernah, sama, sekali, mendapatkan, bantuan, tsb, padahal, dulu, waktu, pandemi, kami, mendapatkan</v>
      </c>
    </row>
    <row r="188">
      <c r="A188" s="17" t="str">
        <f>Cleaning!H196</f>
        <v>saya kasih tiga dulusoalx ketika saya masuk kok eror trus pada hal data saya udah lengkap dan benar tolong jangan di persulitkita ini rakyat miskin</v>
      </c>
      <c r="B188" s="21" t="str">
        <f>IFERROR(__xludf.DUMMYFUNCTION("REGEXREPLACE(A188,"" "","", "")"),"saya, kasih, tiga, dulusoalx, ketika, saya, masuk, kok, eror, trus, pada, hal, data, saya, udah, lengkap, dan, benar, tolong, jangan, di, persulitkita, ini, rakyat, miskin")</f>
        <v>saya, kasih, tiga, dulusoalx, ketika, saya, masuk, kok, eror, trus, pada, hal, data, saya, udah, lengkap, dan, benar, tolong, jangan, di, persulitkita, ini, rakyat, miskin</v>
      </c>
    </row>
    <row r="189">
      <c r="A189" s="17" t="str">
        <f>Cleaning!H197</f>
        <v>sangat kecewaminta reset sandi tp link nya gak bisa di buka</v>
      </c>
      <c r="B189" s="21" t="str">
        <f>IFERROR(__xludf.DUMMYFUNCTION("REGEXREPLACE(A189,"" "","", "")"),"sangat, kecewaminta, reset, sandi, tp, link, nya, gak, bisa, di, buka")</f>
        <v>sangat, kecewaminta, reset, sandi, tp, link, nya, gak, bisa, di, buka</v>
      </c>
    </row>
    <row r="190">
      <c r="A190" s="17" t="str">
        <f>Cleaning!H198</f>
        <v>pas mau daftar keterangannya error muluuu</v>
      </c>
      <c r="B190" s="21" t="str">
        <f>IFERROR(__xludf.DUMMYFUNCTION("REGEXREPLACE(A190,"" "","", "")"),"pas, mau, daftar, keterangannya, error, muluuu")</f>
        <v>pas, mau, daftar, keterangannya, error, muluuu</v>
      </c>
    </row>
    <row r="191">
      <c r="A191" s="17" t="str">
        <f>Cleaning!H199</f>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c r="B191" s="21" t="str">
        <f>IFERROR(__xludf.DUMMYFUNCTION("REGEXREPLACE(A191,"" "","", "")"),"assalamualaikum, kepada, bapak, badan, kependudukan, indonesia, tolong, perhatikan, data, plus, survey, lapangan, dong, masa, banyak, yg, sekarang, mereka, yg, rumah, tingkat, punya, mobil, motor, nmx, masa, dapet, sedangkan, yg, membutuhkan, tidak, dapet"&amp;", tolong, di, adakan, survey, lapangan, dong, biar, bantuan, tepat, dan, g, asal, masa, cuman, di, daftarin, ama, pihak, baledesa, ajh, udh, dapet, itu, pun, ada, pelanggaran, suap")</f>
        <v>assalamualaikum, kepada, bapak, badan, kependudukan, indonesia, tolong, perhatikan, data, plus, survey, lapangan, dong, masa, banyak, yg, sekarang, mereka, yg, rumah, tingkat, punya, mobil, motor, nmx, masa, dapet, sedangkan, yg, membutuhkan, tidak, dapet, tolong, di, adakan, survey, lapangan, dong, biar, bantuan, tepat, dan, g, asal, masa, cuman, di, daftarin, ama, pihak, baledesa, ajh, udh, dapet, itu, pun, ada, pelanggaran, suap</v>
      </c>
    </row>
    <row r="192">
      <c r="A192" s="17" t="str">
        <f>Cleaning!H200</f>
        <v>baru update ttp gk bisa msuk pdhl sudah di aktivasi</v>
      </c>
      <c r="B192" s="21" t="str">
        <f>IFERROR(__xludf.DUMMYFUNCTION("REGEXREPLACE(A192,"" "","", "")"),"baru, update, ttp, gk, bisa, msuk, pdhl, sudah, di, aktivasi")</f>
        <v>baru, update, ttp, gk, bisa, msuk, pdhl, sudah, di, aktivasi</v>
      </c>
    </row>
    <row r="193">
      <c r="A193" s="17" t="str">
        <f>Cleaning!H201</f>
        <v>banyak yang komentar tidak bisa login gimana kalau kita bersama sama laporin yang buat apk ini dengan alasan kita sudah di tipu chat ke wa saya</v>
      </c>
      <c r="B193" s="21" t="str">
        <f>IFERROR(__xludf.DUMMYFUNCTION("REGEXREPLACE(A193,"" "","", "")"),"banyak, yang, komentar, tidak, bisa, login, gimana, kalau, kita, bersama, sama, laporin, yang, buat, apk, ini, dengan, alasan, kita, sudah, di, tipu, chat, ke, wa, saya")</f>
        <v>banyak, yang, komentar, tidak, bisa, login, gimana, kalau, kita, bersama, sama, laporin, yang, buat, apk, ini, dengan, alasan, kita, sudah, di, tipu, chat, ke, wa, saya</v>
      </c>
    </row>
    <row r="194">
      <c r="A194" s="17" t="str">
        <f>Cleaning!H202</f>
        <v>padahal saya sudah buat akun tapi kenapa tidak bisa login ya mohon di perbaiki</v>
      </c>
      <c r="B194" s="21" t="str">
        <f>IFERROR(__xludf.DUMMYFUNCTION("REGEXREPLACE(A194,"" "","", "")"),"padahal, saya, sudah, buat, akun, tapi, kenapa, tidak, bisa, login, ya, mohon, di, perbaiki")</f>
        <v>padahal, saya, sudah, buat, akun, tapi, kenapa, tidak, bisa, login, ya, mohon, di, perbaiki</v>
      </c>
    </row>
    <row r="195">
      <c r="A195" s="17" t="str">
        <f>Cleaning!H203</f>
        <v>aplikasi nya tidak jelas tidak bisa daftar online mohon petunjuk</v>
      </c>
      <c r="B195" s="21" t="str">
        <f>IFERROR(__xludf.DUMMYFUNCTION("REGEXREPLACE(A195,"" "","", "")"),"aplikasi, nya, tidak, jelas, tidak, bisa, daftar, online, mohon, petunjuk")</f>
        <v>aplikasi, nya, tidak, jelas, tidak, bisa, daftar, online, mohon, petunjuk</v>
      </c>
    </row>
    <row r="196">
      <c r="A196" s="17" t="str">
        <f>Cleaning!H204</f>
        <v>aplikasi error ga bisa digunakan untuk daftar aja ga bisa</v>
      </c>
      <c r="B196" s="21" t="str">
        <f>IFERROR(__xludf.DUMMYFUNCTION("REGEXREPLACE(A196,"" "","", "")"),"aplikasi, error, ga, bisa, digunakan, untuk, daftar, aja, ga, bisa")</f>
        <v>aplikasi, error, ga, bisa, digunakan, untuk, daftar, aja, ga, bisa</v>
      </c>
    </row>
    <row r="197">
      <c r="A197" s="17" t="str">
        <f>Cleaning!H205</f>
        <v>aplikasi tidak bisa digunakan udah daftar waktu login malah gabisa liat yutub katanya suruh nunggu  minggu buat aktivasi tapi udah  minggu lebih ga ada email masuk sebenernya ini aplikasi masih jadi program kerja bukan sih hapus aja napa kalo emang bukan program kerja lagi</v>
      </c>
      <c r="B197" s="21" t="str">
        <f>IFERROR(__xludf.DUMMYFUNCTION("REGEXREPLACE(A197,"" "","", "")"),"aplikasi, tidak, bisa, digunakan, udah, daftar, waktu, login, malah, gabisa, liat, yutub, katanya, suruh, nunggu, , minggu, buat, aktivasi, tapi, udah, , minggu, lebih, ga, ada, email, masuk, sebenernya, ini, aplikasi, masih, jadi, program, kerja, bukan, "&amp;"sih, hapus, aja, napa, kalo, emang, bukan, program, kerja, lagi")</f>
        <v>aplikasi, tidak, bisa, digunakan, udah, daftar, waktu, login, malah, gabisa, liat, yutub, katanya, suruh, nunggu, , minggu, buat, aktivasi, tapi, udah, , minggu, lebih, ga, ada, email, masuk, sebenernya, ini, aplikasi, masih, jadi, program, kerja, bukan, sih, hapus, aja, napa, kalo, emang, bukan, program, kerja, lagi</v>
      </c>
    </row>
    <row r="198">
      <c r="A198" s="17" t="str">
        <f>Cleaning!H206</f>
        <v>masih sering error mohon diperbaiki</v>
      </c>
      <c r="B198" s="21" t="str">
        <f>IFERROR(__xludf.DUMMYFUNCTION("REGEXREPLACE(A198,"" "","", "")"),"masih, sering, error, mohon, diperbaiki")</f>
        <v>masih, sering, error, mohon, diperbaiki</v>
      </c>
    </row>
    <row r="199">
      <c r="A199" s="17" t="str">
        <f>Cleaning!H207</f>
        <v>kenapa saya mau usulkan orang untuk penerima pkh tidak bisa dilakukan ada note error aplikasi</v>
      </c>
      <c r="B199" s="21" t="str">
        <f>IFERROR(__xludf.DUMMYFUNCTION("REGEXREPLACE(A199,"" "","", "")"),"kenapa, saya, mau, usulkan, orang, untuk, penerima, pkh, tidak, bisa, dilakukan, ada, note, error, aplikasi")</f>
        <v>kenapa, saya, mau, usulkan, orang, untuk, penerima, pkh, tidak, bisa, dilakukan, ada, note, error, aplikasi</v>
      </c>
    </row>
    <row r="200">
      <c r="A200" s="17" t="str">
        <f>Cleaning!H208</f>
        <v>sesuatu buatan pemerintah pasti hasil nya gak bermanfaat gak berguna aplikaai cacat</v>
      </c>
      <c r="B200" s="21" t="str">
        <f>IFERROR(__xludf.DUMMYFUNCTION("REGEXREPLACE(A200,"" "","", "")"),"sesuatu, buatan, pemerintah, pasti, hasil, nya, gak, bermanfaat, gak, berguna, aplikaai, cacat")</f>
        <v>sesuatu, buatan, pemerintah, pasti, hasil, nya, gak, bermanfaat, gak, berguna, aplikaai, cacat</v>
      </c>
    </row>
    <row r="201">
      <c r="A201" s="17" t="str">
        <f>Cleaning!H209</f>
        <v>setiap mau masukin foto ktp selalu kembali di halaman utama kayak mental gitu</v>
      </c>
      <c r="B201" s="21" t="str">
        <f>IFERROR(__xludf.DUMMYFUNCTION("REGEXREPLACE(A201,"" "","", "")"),"setiap, mau, masukin, foto, ktp, selalu, kembali, di, halaman, utama, kayak, mental, gitu")</f>
        <v>setiap, mau, masukin, foto, ktp, selalu, kembali, di, halaman, utama, kayak, mental, gitu</v>
      </c>
    </row>
    <row r="202">
      <c r="A202" s="17" t="str">
        <f>Cleaning!H210</f>
        <v>kendala tambah ulasan tidak bisa masuk mohon dibantu admin terimah kasih</v>
      </c>
      <c r="B202" s="21" t="str">
        <f>IFERROR(__xludf.DUMMYFUNCTION("REGEXREPLACE(A202,"" "","", "")"),"kendala, tambah, ulasan, tidak, bisa, masuk, mohon, dibantu, admin, terimah, kasih")</f>
        <v>kendala, tambah, ulasan, tidak, bisa, masuk, mohon, dibantu, admin, terimah, kasih</v>
      </c>
    </row>
    <row r="203">
      <c r="A203" s="17" t="str">
        <f>Cleaning!H211</f>
        <v>aplikasi jembt dftar brhasil kok login gk bisa anying niat kita baik kok mlah dimainin ngabisin kuota doang </v>
      </c>
      <c r="B203" s="21" t="str">
        <f>IFERROR(__xludf.DUMMYFUNCTION("REGEXREPLACE(A203,"" "","", "")"),"aplikasi, jembt, dftar, brhasil, kok, login, gk, bisa, anying, niat, kita, baik, kok, mlah, dimainin, ngabisin, kuota, doang, ")</f>
        <v>aplikasi, jembt, dftar, brhasil, kok, login, gk, bisa, anying, niat, kita, baik, kok, mlah, dimainin, ngabisin, kuota, doang, </v>
      </c>
    </row>
    <row r="204">
      <c r="A204" s="17" t="str">
        <f>Cleaning!H212</f>
        <v>udah dapat pesan email aktivasi akun berhasil giliran login malah unsername tidak ditemukan kan kocak</v>
      </c>
      <c r="B204" s="21" t="str">
        <f>IFERROR(__xludf.DUMMYFUNCTION("REGEXREPLACE(A204,"" "","", "")"),"udah, dapat, pesan, email, aktivasi, akun, berhasil, giliran, login, malah, unsername, tidak, ditemukan, kan, kocak")</f>
        <v>udah, dapat, pesan, email, aktivasi, akun, berhasil, giliran, login, malah, unsername, tidak, ditemukan, kan, kocak</v>
      </c>
    </row>
    <row r="205">
      <c r="A205" s="17" t="str">
        <f>Cleaning!H213</f>
        <v>ni gmna min udh daftar akun pas login malah akun blm ada aktivasini apa maksut nya</v>
      </c>
      <c r="B205" s="21" t="str">
        <f>IFERROR(__xludf.DUMMYFUNCTION("REGEXREPLACE(A205,"" "","", "")"),"ni, gmna, min, udh, daftar, akun, pas, login, malah, akun, blm, ada, aktivasini, apa, maksut, nya")</f>
        <v>ni, gmna, min, udh, daftar, akun, pas, login, malah, akun, blm, ada, aktivasini, apa, maksut, nya</v>
      </c>
    </row>
    <row r="206">
      <c r="A206" s="17" t="str">
        <f>Cleaning!H214</f>
        <v>buruk sekali masa baru daftar klik provinsi sudah gak bisa alasannya koneksi padahal sudah coba pake paket data ataupun wifi tapi tetap aja sama aplikasi burik</v>
      </c>
      <c r="B206" s="21" t="str">
        <f>IFERROR(__xludf.DUMMYFUNCTION("REGEXREPLACE(A206,"" "","", "")"),"buruk, sekali, masa, baru, daftar, klik, provinsi, sudah, gak, bisa, alasannya, koneksi, padahal, sudah, coba, pake, paket, data, ataupun, wifi, tapi, tetap, aja, sama, aplikasi, burik")</f>
        <v>buruk, sekali, masa, baru, daftar, klik, provinsi, sudah, gak, bisa, alasannya, koneksi, padahal, sudah, coba, pake, paket, data, ataupun, wifi, tapi, tetap, aja, sama, aplikasi, burik</v>
      </c>
    </row>
    <row r="207">
      <c r="A207" s="17" t="str">
        <f>Cleaning!H215</f>
        <v>aplikasi nya untuk memilih provinsi tidak bisa sudah menunggu lama loadingnya ternyata eror sudah dicoba terus dan ulangulang kali sama saja eror dan tidak bisa buat akun baru tolong perbaikannya biar bisa daftar </v>
      </c>
      <c r="B207" s="21" t="str">
        <f>IFERROR(__xludf.DUMMYFUNCTION("REGEXREPLACE(A207,"" "","", "")"),"aplikasi, nya, untuk, memilih, provinsi, tidak, bisa, sudah, menunggu, lama, loadingnya, ternyata, eror, sudah, dicoba, terus, dan, ulangulang, kali, sama, saja, eror, dan, tidak, bisa, buat, akun, baru, tolong, perbaikannya, biar, bisa, daftar, ")</f>
        <v>aplikasi, nya, untuk, memilih, provinsi, tidak, bisa, sudah, menunggu, lama, loadingnya, ternyata, eror, sudah, dicoba, terus, dan, ulangulang, kali, sama, saja, eror, dan, tidak, bisa, buat, akun, baru, tolong, perbaikannya, biar, bisa, daftar, </v>
      </c>
    </row>
    <row r="208">
      <c r="A208" s="17" t="str">
        <f>Cleaning!H216</f>
        <v>kenapa setiap kali mau mengajukan usulan selalu keterangan aplikasi error mohon di bantu agar masyarakat bisa puas dengan pelayanan cek bansos</v>
      </c>
      <c r="B208" s="21" t="str">
        <f>IFERROR(__xludf.DUMMYFUNCTION("REGEXREPLACE(A208,"" "","", "")"),"kenapa, setiap, kali, mau, mengajukan, usulan, selalu, keterangan, aplikasi, error, mohon, di, bantu, agar, masyarakat, bisa, puas, dengan, pelayanan, cek, bansos")</f>
        <v>kenapa, setiap, kali, mau, mengajukan, usulan, selalu, keterangan, aplikasi, error, mohon, di, bantu, agar, masyarakat, bisa, puas, dengan, pelayanan, cek, bansos</v>
      </c>
    </row>
    <row r="209">
      <c r="A209" s="17" t="str">
        <f>Cleaning!H217</f>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c r="B209" s="21" t="str">
        <f>IFERROR(__xludf.DUMMYFUNCTION("REGEXREPLACE(A209,"" "","", "")"),"ythsatu, stengah, tahun, yang, lalu, saya, masukan, data, ke, bagian, tambah, usulantapi, sampai, saat, ini, data, saya, belum, ada, satupun, yang, masukterjaring, sbagai, penerima, manfaatkatanya, update, data, stiap, bulanmana, buktinyamohon, untuk, yan"&amp;"g, berkaitan, di, bidang, ini, agar, kinerjanya, scepatnya, di, perbaikiapa, perlu, saya, datang, langsung, ke, dinsos, stempat, untuk, menyelesaikan, masalah, iniharap, maklum, dan, terima, kasih")</f>
        <v>ythsatu, stengah, tahun, yang, lalu, saya, masukan, data, ke, bagian, tambah, usulantapi, sampai, saat, ini, data, saya, belum, ada, satupun, yang, masukterjaring, sbagai, penerima, manfaatkatanya, update, data, stiap, bulanmana, buktinyamohon, untuk, yang, berkaitan, di, bidang, ini, agar, kinerjanya, scepatnya, di, perbaikiapa, perlu, saya, datang, langsung, ke, dinsos, stempat, untuk, menyelesaikan, masalah, iniharap, maklum, dan, terima, kasih</v>
      </c>
    </row>
    <row r="210">
      <c r="A210" s="17" t="str">
        <f>Cleaning!H218</f>
        <v>sudah daftar sudah di isi hasil nya error</v>
      </c>
      <c r="B210" s="21" t="str">
        <f>IFERROR(__xludf.DUMMYFUNCTION("REGEXREPLACE(A210,"" "","", "")"),"sudah, daftar, sudah, di, isi, hasil, nya, error")</f>
        <v>sudah, daftar, sudah, di, isi, hasil, nya, error</v>
      </c>
    </row>
    <row r="211">
      <c r="A211" s="17" t="str">
        <f>Cleaning!H219</f>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c r="B211" s="21" t="str">
        <f>IFERROR(__xludf.DUMMYFUNCTION("REGEXREPLACE(A211,"" "","", "")"),"kenapa, ya, kebanyakan, aplikasi, pemerintah, banyak, yg, tidak, beres, selalu, membingungkan, sudah, berhasil, terdaftar, tp, saat, login, username, atau, password, salah, tidak, ditemukan, coba, daftar, lg, eh, nomer, nik, sudah, terdaftar, kan, kocak, "&amp;"banget, aplikasi, kalau, belum, siap, jngn, di, up, dulu, lah")</f>
        <v>kenapa, ya, kebanyakan, aplikasi, pemerintah, banyak, yg, tidak, beres, selalu, membingungkan, sudah, berhasil, terdaftar, tp, saat, login, username, atau, password, salah, tidak, ditemukan, coba, daftar, lg, eh, nomer, nik, sudah, terdaftar, kan, kocak, banget, aplikasi, kalau, belum, siap, jngn, di, up, dulu, lah</v>
      </c>
    </row>
    <row r="212">
      <c r="A212" s="17" t="str">
        <f>Cleaning!H220</f>
        <v>gmn sih ne apk g jelasbaru mau upload swafoto malah kembali kedepan</v>
      </c>
      <c r="B212" s="21" t="str">
        <f>IFERROR(__xludf.DUMMYFUNCTION("REGEXREPLACE(A212,"" "","", "")"),"gmn, sih, ne, apk, g, jelasbaru, mau, upload, swafoto, malah, kembali, kedepan")</f>
        <v>gmn, sih, ne, apk, g, jelasbaru, mau, upload, swafoto, malah, kembali, kedepan</v>
      </c>
    </row>
    <row r="213">
      <c r="A213" s="17" t="str">
        <f>Cleaning!H221</f>
        <v>susah login nyaserver nyaapa aplikasi nya yang eror</v>
      </c>
      <c r="B213" s="21" t="str">
        <f>IFERROR(__xludf.DUMMYFUNCTION("REGEXREPLACE(A213,"" "","", "")"),"susah, login, nyaserver, nyaapa, aplikasi, nya, yang, eror")</f>
        <v>susah, login, nyaserver, nyaapa, aplikasi, nya, yang, eror</v>
      </c>
    </row>
    <row r="214">
      <c r="A214" s="17" t="str">
        <f>Cleaning!H222</f>
        <v>tolong di perbaiki sistem aplikasi nya suka eror</v>
      </c>
      <c r="B214" s="21" t="str">
        <f>IFERROR(__xludf.DUMMYFUNCTION("REGEXREPLACE(A214,"" "","", "")"),"tolong, di, perbaiki, sistem, aplikasi, nya, suka, eror")</f>
        <v>tolong, di, perbaiki, sistem, aplikasi, nya, suka, eror</v>
      </c>
    </row>
    <row r="215">
      <c r="A215" s="17" t="str">
        <f>Cleaning!H223</f>
        <v>gak jelas blas udh daftar gak bisa login</v>
      </c>
      <c r="B215" s="21" t="str">
        <f>IFERROR(__xludf.DUMMYFUNCTION("REGEXREPLACE(A215,"" "","", "")"),"gak, jelas, blas, udh, daftar, gak, bisa, login")</f>
        <v>gak, jelas, blas, udh, daftar, gak, bisa, login</v>
      </c>
    </row>
    <row r="216">
      <c r="A216" s="17" t="str">
        <f>Cleaning!H224</f>
        <v>mohon untuk diperbaiki lagi masih terdapat beberapa bug contoh kecil saya mau membuat akun baru saja button pilih privinsj loading tidak muncul sama sekali malah ngfreeze foreclose</v>
      </c>
      <c r="B216" s="21" t="str">
        <f>IFERROR(__xludf.DUMMYFUNCTION("REGEXREPLACE(A216,"" "","", "")"),"mohon, untuk, diperbaiki, lagi, masih, terdapat, beberapa, bug, contoh, kecil, saya, mau, membuat, akun, baru, saja, button, pilih, privinsj, loading, tidak, muncul, sama, sekali, malah, ngfreeze, foreclose")</f>
        <v>mohon, untuk, diperbaiki, lagi, masih, terdapat, beberapa, bug, contoh, kecil, saya, mau, membuat, akun, baru, saja, button, pilih, privinsj, loading, tidak, muncul, sama, sekali, malah, ngfreeze, foreclose</v>
      </c>
    </row>
    <row r="217">
      <c r="A217" s="17" t="str">
        <f>Cleaning!H225</f>
        <v>gak niat bantu warna gak usah bikin apk yang nyusahin kayak gini udah di isi bener bener malah keluar tiba tiba gak jelas</v>
      </c>
      <c r="B217" s="21" t="str">
        <f>IFERROR(__xludf.DUMMYFUNCTION("REGEXREPLACE(A217,"" "","", "")"),"gak, niat, bantu, warna, gak, usah, bikin, apk, yang, nyusahin, kayak, gini, udah, di, isi, bener, bener, malah, keluar, tiba, tiba, gak, jelas")</f>
        <v>gak, niat, bantu, warna, gak, usah, bikin, apk, yang, nyusahin, kayak, gini, udah, di, isi, bener, bener, malah, keluar, tiba, tiba, gak, jelas</v>
      </c>
    </row>
    <row r="218">
      <c r="A218" s="17" t="str">
        <f>Cleaning!H226</f>
        <v>sebenernya ini aplikasi bisa dipakai engga sih eror terustiap buka eror</v>
      </c>
      <c r="B218" s="21" t="str">
        <f>IFERROR(__xludf.DUMMYFUNCTION("REGEXREPLACE(A218,"" "","", "")"),"sebenernya, ini, aplikasi, bisa, dipakai, engga, sih, eror, terustiap, buka, eror")</f>
        <v>sebenernya, ini, aplikasi, bisa, dipakai, engga, sih, eror, terustiap, buka, eror</v>
      </c>
    </row>
    <row r="219">
      <c r="A219" s="17" t="str">
        <f>Cleaning!H227</f>
        <v>kok udh aktivasi kenapa ga bisa login ya</v>
      </c>
      <c r="B219" s="21" t="str">
        <f>IFERROR(__xludf.DUMMYFUNCTION("REGEXREPLACE(A219,"" "","", "")"),"kok, udh, aktivasi, kenapa, ga, bisa, login, ya")</f>
        <v>kok, udh, aktivasi, kenapa, ga, bisa, login, ya</v>
      </c>
    </row>
    <row r="220">
      <c r="A220" s="17" t="str">
        <f>Cleaning!H228</f>
        <v>saya udh isi data lngkap tapi knpa gak bisa poto ktp saya disitu ad yg tanda plus gak bisa di buka mhon jlaskn gmna cara nya biar bisa poto ktp</v>
      </c>
      <c r="B220" s="21" t="str">
        <f>IFERROR(__xludf.DUMMYFUNCTION("REGEXREPLACE(A220,"" "","", "")"),"saya, udh, isi, data, lngkap, tapi, knpa, gak, bisa, poto, ktp, saya, disitu, ad, yg, tanda, plus, gak, bisa, di, buka, mhon, jlaskn, gmna, cara, nya, biar, bisa, poto, ktp")</f>
        <v>saya, udh, isi, data, lngkap, tapi, knpa, gak, bisa, poto, ktp, saya, disitu, ad, yg, tanda, plus, gak, bisa, di, buka, mhon, jlaskn, gmna, cara, nya, biar, bisa, poto, ktp</v>
      </c>
    </row>
    <row r="221">
      <c r="A221" s="17" t="str">
        <f>Cleaning!H229</f>
        <v>perbaikn ap sihdsni masih errorklo niat bantu yg bner jgn setengah²ap ini apliksi abal²</v>
      </c>
      <c r="B221" s="21" t="str">
        <f>IFERROR(__xludf.DUMMYFUNCTION("REGEXREPLACE(A221,"" "","", "")"),"perbaikn, ap, sihdsni, masih, errorklo, niat, bantu, yg, bner, jgn, setengah²ap, ini, apliksi, abal²")</f>
        <v>perbaikn, ap, sihdsni, masih, errorklo, niat, bantu, yg, bner, jgn, setengah²ap, ini, apliksi, abal²</v>
      </c>
    </row>
    <row r="222">
      <c r="A222" s="17" t="str">
        <f>Cleaning!H230</f>
        <v>kecewa banget aplikasi nya gak bisa login</v>
      </c>
      <c r="B222" s="21" t="str">
        <f>IFERROR(__xludf.DUMMYFUNCTION("REGEXREPLACE(A222,"" "","", "")"),"kecewa, banget, aplikasi, nya, gak, bisa, login")</f>
        <v>kecewa, banget, aplikasi, nya, gak, bisa, login</v>
      </c>
    </row>
    <row r="223">
      <c r="A223" s="17" t="str">
        <f>Cleaning!H231</f>
        <v>berharap dengan aplikasi ini bisa mendaftar kan diri sebagai calon penerima pkh karena bantuan apapun kami tidak terima padahal kalau lihat kriteria saya sangat masuk  punya dua anak balita  tapi pas mau daftar error error error daftar tengah malam berharap jaringan bagus ee tetap error memang apknya kurang bagus  tolong di perbaikikami sangat butuh</v>
      </c>
      <c r="B223" s="21" t="str">
        <f>IFERROR(__xludf.DUMMYFUNCTION("REGEXREPLACE(A223,"" "","", "")"),"berharap, dengan, aplikasi, ini, bisa, mendaftar, kan, diri, sebagai, calon, penerima, pkh, karena, bantuan, apapun, kami, tidak, terima, padahal, kalau, lihat, kriteria, saya, sangat, masuk, , punya, dua, anak, balita, , tapi, pas, mau, daftar, error, er"&amp;"ror, error, daftar, tengah, malam, berharap, jaringan, bagus, ee, tetap, error, memang, apknya, kurang, bagus, , tolong, di, perbaikikami, sangat, butuh")</f>
        <v>berharap, dengan, aplikasi, ini, bisa, mendaftar, kan, diri, sebagai, calon, penerima, pkh, karena, bantuan, apapun, kami, tidak, terima, padahal, kalau, lihat, kriteria, saya, sangat, masuk, , punya, dua, anak, balita, , tapi, pas, mau, daftar, error, error, error, daftar, tengah, malam, berharap, jaringan, bagus, ee, tetap, error, memang, apknya, kurang, bagus, , tolong, di, perbaikikami, sangat, butuh</v>
      </c>
    </row>
    <row r="224">
      <c r="A224" s="17" t="str">
        <f>Cleaning!H232</f>
        <v>aplikasi erorr tolong di perbaiki</v>
      </c>
      <c r="B224" s="21" t="str">
        <f>IFERROR(__xludf.DUMMYFUNCTION("REGEXREPLACE(A224,"" "","", "")"),"aplikasi, erorr, tolong, di, perbaiki")</f>
        <v>aplikasi, erorr, tolong, di, perbaiki</v>
      </c>
    </row>
    <row r="225">
      <c r="A225" s="17" t="str">
        <f>Cleaning!H233</f>
        <v>usulan saya gak pernah di respon saya dapat kartu atm sembako dari  tp sampai saat ini kartu tidak bisa dipakai</v>
      </c>
      <c r="B225" s="21" t="str">
        <f>IFERROR(__xludf.DUMMYFUNCTION("REGEXREPLACE(A225,"" "","", "")"),"usulan, saya, gak, pernah, di, respon, saya, dapat, kartu, atm, sembako, dari, , tp, sampai, saat, ini, kartu, tidak, bisa, dipakai")</f>
        <v>usulan, saya, gak, pernah, di, respon, saya, dapat, kartu, atm, sembako, dari, , tp, sampai, saat, ini, kartu, tidak, bisa, dipakai</v>
      </c>
    </row>
    <row r="226">
      <c r="A226" s="17" t="str">
        <f>Cleaning!H234</f>
        <v>mhn solusinya aplikasi setelah di download aplikasi tdk bsa di bukatenks</v>
      </c>
      <c r="B226" s="21" t="str">
        <f>IFERROR(__xludf.DUMMYFUNCTION("REGEXREPLACE(A226,"" "","", "")"),"mhn, solusinya, aplikasi, setelah, di, download, aplikasi, tdk, bsa, di, bukatenks")</f>
        <v>mhn, solusinya, aplikasi, setelah, di, download, aplikasi, tdk, bsa, di, bukatenks</v>
      </c>
    </row>
    <row r="227">
      <c r="A227" s="17" t="str">
        <f>Cleaning!H235</f>
        <v>aplikasi cek bansos ini memang sengaja di buat error terbukti tidak ada usaha pemerintah untuk memperbaiki</v>
      </c>
      <c r="B227" s="21" t="str">
        <f>IFERROR(__xludf.DUMMYFUNCTION("REGEXREPLACE(A227,"" "","", "")"),"aplikasi, cek, bansos, ini, memang, sengaja, di, buat, error, terbukti, tidak, ada, usaha, pemerintah, untuk, memperbaiki")</f>
        <v>aplikasi, cek, bansos, ini, memang, sengaja, di, buat, error, terbukti, tidak, ada, usaha, pemerintah, untuk, memperbaiki</v>
      </c>
    </row>
    <row r="228">
      <c r="A228" s="17" t="str">
        <f>Cleaning!H236</f>
        <v>payah lah alasannya username sama password salah tak suka tak sulka</v>
      </c>
      <c r="B228" s="21" t="str">
        <f>IFERROR(__xludf.DUMMYFUNCTION("REGEXREPLACE(A228,"" "","", "")"),"payah, lah, alasannya, username, sama, password, salah, tak, suka, tak, sulka")</f>
        <v>payah, lah, alasannya, username, sama, password, salah, tak, suka, tak, sulka</v>
      </c>
    </row>
    <row r="229">
      <c r="A229" s="17" t="str">
        <f>Cleaning!H237</f>
        <v>aplikasi hancur pilih propinsi loading lama  sudah telpon bantuan layanan di suruh coba berkala di coba jam  pagi   malam   pagi masih saja loading propinsi dengan dalil banyak orang yang mengakses  lucunya kok pas pilih propinsi tidak ada respon traffic dari databasenya</v>
      </c>
      <c r="B229" s="21" t="str">
        <f>IFERROR(__xludf.DUMMYFUNCTION("REGEXREPLACE(A229,"" "","", "")"),"aplikasi, hancur, pilih, propinsi, loading, lama, , sudah, telpon, bantuan, layanan, di, suruh, coba, berkala, di, coba, jam, , pagi, , , malam, , , pagi, masih, saja, loading, propinsi, dengan, dalil, banyak, orang, yang, mengakses, , lucunya, kok, pas, "&amp;"pilih, propinsi, tidak, ada, respon, traffic, dari, databasenya")</f>
        <v>aplikasi, hancur, pilih, propinsi, loading, lama, , sudah, telpon, bantuan, layanan, di, suruh, coba, berkala, di, coba, jam, , pagi, , , malam, , , pagi, masih, saja, loading, propinsi, dengan, dalil, banyak, orang, yang, mengakses, , lucunya, kok, pas, pilih, propinsi, tidak, ada, respon, traffic, dari, databasenya</v>
      </c>
    </row>
    <row r="230">
      <c r="A230" s="17" t="str">
        <f>Cleaning!H238</f>
        <v>aplikasi bodong berkali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c r="B230" s="21" t="str">
        <f>IFERROR(__xludf.DUMMYFUNCTION("REGEXREPLACE(A230,"" "","", "")"),"aplikasi, bodong, berkali, coba, masuk, ttp, aja, gk, bisa, padahal, username, sama, password, nya, bener, tapi, ttp, aja, gk, bisa, masuk, jaringan, bagus, ttp, aja, gk, bisa, masuk, ku, coba, periksa, email, takut, ada, konfirmasi, melalui, email, ttp, "&amp;"aja, gak, ada, email, masuk, aku, berharap, aplikasi, ini, bisa, berjalan, dengan, baik, karna, aplikasi, sangat, bisa, membantu, orang, kecil, untuk, bisa, mendapatkan, hak, nya")</f>
        <v>aplikasi, bodong, berkali, coba, masuk, ttp, aja, gk, bisa, padahal, username, sama, password, nya, bener, tapi, ttp, aja, gk, bisa, masuk, jaringan, bagus, ttp, aja, gk, bisa, masuk, ku, coba, periksa, email, takut, ada, konfirmasi, melalui, email, ttp, aja, gak, ada, email, masuk, aku, berharap, aplikasi, ini, bisa, berjalan, dengan, baik, karna, aplikasi, sangat, bisa, membantu, orang, kecil, untuk, bisa, mendapatkan, hak, nya</v>
      </c>
    </row>
    <row r="231">
      <c r="A231" s="17" t="str">
        <f>Cleaning!H239</f>
        <v>masalah sama seperti yang lain udah daftar akun tp begitu login latanya akun belom aktivasi giliran bikin ulang akun katanya sudah terdaftar ga guna banget ni aplikasi dan parah nya lagi dari setiap ulasan gda  pun yang di tanggapi  dah ga aneh semoga data semua yang masuk ga di salah gunakan</v>
      </c>
      <c r="B231" s="21" t="str">
        <f>IFERROR(__xludf.DUMMYFUNCTION("REGEXREPLACE(A231,"" "","", "")"),"masalah, sama, seperti, yang, lain, udah, daftar, akun, tp, begitu, login, latanya, akun, belom, aktivasi, giliran, bikin, ulang, akun, katanya, sudah, terdaftar, ga, guna, banget, ni, aplikasi, dan, parah, nya, lagi, dari, setiap, ulasan, gda, , pun, yan"&amp;"g, di, tanggapi, , dah, ga, aneh, semoga, data, semua, yang, masuk, ga, di, salah, gunakan")</f>
        <v>masalah, sama, seperti, yang, lain, udah, daftar, akun, tp, begitu, login, latanya, akun, belom, aktivasi, giliran, bikin, ulang, akun, katanya, sudah, terdaftar, ga, guna, banget, ni, aplikasi, dan, parah, nya, lagi, dari, setiap, ulasan, gda, , pun, yang, di, tanggapi, , dah, ga, aneh, semoga, data, semua, yang, masuk, ga, di, salah, gunakan</v>
      </c>
    </row>
    <row r="232">
      <c r="A232" s="17" t="str">
        <f>Cleaning!H240</f>
        <v>setelah di update malah ada bacaan error jason parase</v>
      </c>
      <c r="B232" s="21" t="str">
        <f>IFERROR(__xludf.DUMMYFUNCTION("REGEXREPLACE(A232,"" "","", "")"),"setelah, di, update, malah, ada, bacaan, error, jason, parase")</f>
        <v>setelah, di, update, malah, ada, bacaan, error, jason, parase</v>
      </c>
    </row>
    <row r="233">
      <c r="A233" s="17" t="str">
        <f>Cleaning!H241</f>
        <v>percuma komen ga bakal d dengar sya udh  x instal x juga uninstal berharap besar tpi mengecewakan slalu jaringan yg d salahkn</v>
      </c>
      <c r="B233" s="21" t="str">
        <f>IFERROR(__xludf.DUMMYFUNCTION("REGEXREPLACE(A233,"" "","", "")"),"percuma, komen, ga, bakal, d, dengar, sya, udh, , x, instal, x, juga, uninstal, berharap, besar, tpi, mengecewakan, slalu, jaringan, yg, d, salahkn")</f>
        <v>percuma, komen, ga, bakal, d, dengar, sya, udh, , x, instal, x, juga, uninstal, berharap, besar, tpi, mengecewakan, slalu, jaringan, yg, d, salahkn</v>
      </c>
    </row>
    <row r="234">
      <c r="A234" s="17" t="str">
        <f>Cleaning!H242</f>
        <v>dartar akun smpe x error trus sering error gak guna lah</v>
      </c>
      <c r="B234" s="21" t="str">
        <f>IFERROR(__xludf.DUMMYFUNCTION("REGEXREPLACE(A234,"" "","", "")"),"dartar, akun, smpe, x, error, trus, sering, error, gak, guna, lah")</f>
        <v>dartar, akun, smpe, x, error, trus, sering, error, gak, guna, lah</v>
      </c>
    </row>
    <row r="235">
      <c r="A235" s="17" t="str">
        <f>Cleaning!H243</f>
        <v>udah di downlod gak bisa regestrasi katanya aplikasi eror hadeh gimana ini</v>
      </c>
      <c r="B235" s="21" t="str">
        <f>IFERROR(__xludf.DUMMYFUNCTION("REGEXREPLACE(A235,"" "","", "")"),"udah, di, downlod, gak, bisa, regestrasi, katanya, aplikasi, eror, hadeh, gimana, ini")</f>
        <v>udah, di, downlod, gak, bisa, regestrasi, katanya, aplikasi, eror, hadeh, gimana, ini</v>
      </c>
    </row>
    <row r="236">
      <c r="A236" s="17" t="str">
        <f>Cleaning!H244</f>
        <v>sangat di sesalkanharapan satusatunya tidak bisa daftar online padahal saya tdk dapat bantuan apapun dari rt</v>
      </c>
      <c r="B236" s="21" t="str">
        <f>IFERROR(__xludf.DUMMYFUNCTION("REGEXREPLACE(A236,"" "","", "")"),"sangat, di, sesalkanharapan, satusatunya, tidak, bisa, daftar, online, padahal, saya, tdk, dapat, bantuan, apapun, dari, rt")</f>
        <v>sangat, di, sesalkanharapan, satusatunya, tidak, bisa, daftar, online, padahal, saya, tdk, dapat, bantuan, apapun, dari, rt</v>
      </c>
    </row>
    <row r="237">
      <c r="A237" s="17" t="str">
        <f>Cleaning!H245</f>
        <v>masa ngisi registrasi bagian alamat susah banget error mulu</v>
      </c>
      <c r="B237" s="21" t="str">
        <f>IFERROR(__xludf.DUMMYFUNCTION("REGEXREPLACE(A237,"" "","", "")"),"masa, ngisi, registrasi, bagian, alamat, susah, banget, error, mulu")</f>
        <v>masa, ngisi, registrasi, bagian, alamat, susah, banget, error, mulu</v>
      </c>
    </row>
    <row r="238">
      <c r="A238" s="17" t="str">
        <f>Cleaning!H246</f>
        <v>berkali masukkan data untuk buat akun baru dan data sudah sesuai semuanya tapi selalu gagal registrasi alamat tidak sesuai katanya tolong dong kemensos aplikasi nya diperbaiki banyak orang yg membutuhkan masih banyak orang yang kurang mampu belum mendapatkan bansos</v>
      </c>
      <c r="B238" s="21" t="str">
        <f>IFERROR(__xludf.DUMMYFUNCTION("REGEXREPLACE(A238,"" "","", "")"),"berkali, masukkan, data, untuk, buat, akun, baru, dan, data, sudah, sesuai, semuanya, tapi, selalu, gagal, registrasi, alamat, tidak, sesuai, katanya, tolong, dong, kemensos, aplikasi, nya, diperbaiki, banyak, orang, yg, membutuhkan, masih, banyak, orang,"&amp;" yang, kurang, mampu, belum, mendapatkan, bansos")</f>
        <v>berkali, masukkan, data, untuk, buat, akun, baru, dan, data, sudah, sesuai, semuanya, tapi, selalu, gagal, registrasi, alamat, tidak, sesuai, katanya, tolong, dong, kemensos, aplikasi, nya, diperbaiki, banyak, orang, yg, membutuhkan, masih, banyak, orang, yang, kurang, mampu, belum, mendapatkan, bansos</v>
      </c>
    </row>
    <row r="239">
      <c r="A239" s="17" t="str">
        <f>Cleaning!H247</f>
        <v>aku hanya mau bilang kesaaaaallll berapa kali login gagal dan pilih lupa fswd eh malah situsnya gak resmi skala pemerintah lo ini</v>
      </c>
      <c r="B239" s="21" t="str">
        <f>IFERROR(__xludf.DUMMYFUNCTION("REGEXREPLACE(A239,"" "","", "")"),"aku, hanya, mau, bilang, kesaaaaallll, berapa, kali, login, gagal, dan, pilih, lupa, fswd, eh, malah, situsnya, gak, resmi, skala, pemerintah, lo, ini")</f>
        <v>aku, hanya, mau, bilang, kesaaaaallll, berapa, kali, login, gagal, dan, pilih, lupa, fswd, eh, malah, situsnya, gak, resmi, skala, pemerintah, lo, ini</v>
      </c>
    </row>
    <row r="240">
      <c r="A240" s="17" t="str">
        <f>Cleaning!H248</f>
        <v>aplikasi g jlas daftar pengguna baru  kali eror terus</v>
      </c>
      <c r="B240" s="21" t="str">
        <f>IFERROR(__xludf.DUMMYFUNCTION("REGEXREPLACE(A240,"" "","", "")"),"aplikasi, g, jlas, daftar, pengguna, baru, , kali, eror, terus")</f>
        <v>aplikasi, g, jlas, daftar, pengguna, baru, , kali, eror, terus</v>
      </c>
    </row>
    <row r="241">
      <c r="A241" s="17" t="str">
        <f>Cleaning!H249</f>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c r="B241" s="21" t="str">
        <f>IFERROR(__xludf.DUMMYFUNCTION("REGEXREPLACE(A241,"" "","", "")"),"aplikasi, yang, dibuat, dengan, sangat, buruk, dan, tidak, matang, banyak, sekali, bug, bug, ui, bug, untuk, regist, email, dan, username, koneksi, eror, dengan, db, untuk, aplikasi, yang, akan, digunakan, banyak, orang, ini, sudah, sangat, parah, sekali,"&amp;" carilah, orang, yang, professional, dan, berpengalaman, jangan, pakai, jalur, dalam, menyusahkan, orang, saja")</f>
        <v>aplikasi, yang, dibuat, dengan, sangat, buruk, dan, tidak, matang, banyak, sekali, bug, bug, ui, bug, untuk, regist, email, dan, username, koneksi, eror, dengan, db, untuk, aplikasi, yang, akan, digunakan, banyak, orang, ini, sudah, sangat, parah, sekali, carilah, orang, yang, professional, dan, berpengalaman, jangan, pakai, jalur, dalam, menyusahkan, orang, saja</v>
      </c>
    </row>
    <row r="242">
      <c r="A242" s="17" t="str">
        <f>Cleaning!H250</f>
        <v>keren si logo nya kemetrian sosial republik indonesia cukup meyakin kan tapi ga ada gunanya sama sekali apk nya</v>
      </c>
      <c r="B242" s="21" t="str">
        <f>IFERROR(__xludf.DUMMYFUNCTION("REGEXREPLACE(A242,"" "","", "")"),"keren, si, logo, nya, kemetrian, sosial, republik, indonesia, cukup, meyakin, kan, tapi, ga, ada, gunanya, sama, sekali, apk, nya")</f>
        <v>keren, si, logo, nya, kemetrian, sosial, republik, indonesia, cukup, meyakin, kan, tapi, ga, ada, gunanya, sama, sekali, apk, nya</v>
      </c>
    </row>
    <row r="243">
      <c r="A243" s="17" t="str">
        <f>Cleaning!H251</f>
        <v>aplikasi gak bisa dibuka error teruss</v>
      </c>
      <c r="B243" s="21" t="str">
        <f>IFERROR(__xludf.DUMMYFUNCTION("REGEXREPLACE(A243,"" "","", "")"),"aplikasi, gak, bisa, dibuka, error, teruss")</f>
        <v>aplikasi, gak, bisa, dibuka, error, teruss</v>
      </c>
    </row>
    <row r="244">
      <c r="A244" s="17" t="str">
        <f>Cleaning!H252</f>
        <v>tolong diperbaik i eroor teros mau login nggak bisa email sama sandi sudah benar masih aja nggak bisa</v>
      </c>
      <c r="B244" s="21" t="str">
        <f>IFERROR(__xludf.DUMMYFUNCTION("REGEXREPLACE(A244,"" "","", "")"),"tolong, diperbaik, i, eroor, teros, mau, login, nggak, bisa, email, sama, sandi, sudah, benar, masih, aja, nggak, bisa")</f>
        <v>tolong, diperbaik, i, eroor, teros, mau, login, nggak, bisa, email, sama, sandi, sudah, benar, masih, aja, nggak, bisa</v>
      </c>
    </row>
    <row r="245">
      <c r="A245" s="17" t="str">
        <f>Cleaning!H253</f>
        <v>aplikasi mudah d downloadsetelah d isi pendataan tp username password tyustlong aplikasi yg benar  matangagr warga yg tdk mampu seperti saya bsa mendaftar kn dirikarna saya juga seperti mereka yg membutuhkan bantuan dari pemerintah</v>
      </c>
      <c r="B245" s="21" t="str">
        <f>IFERROR(__xludf.DUMMYFUNCTION("REGEXREPLACE(A245,"" "","", "")"),"aplikasi, mudah, d, downloadsetelah, d, isi, pendataan, tp, username, password, tyustlong, aplikasi, yg, benar, , matangagr, warga, yg, tdk, mampu, seperti, saya, bsa, mendaftar, kn, dirikarna, saya, juga, seperti, mereka, yg, membutuhkan, bantuan, dari, "&amp;"pemerintah")</f>
        <v>aplikasi, mudah, d, downloadsetelah, d, isi, pendataan, tp, username, password, tyustlong, aplikasi, yg, benar, , matangagr, warga, yg, tdk, mampu, seperti, saya, bsa, mendaftar, kn, dirikarna, saya, juga, seperti, mereka, yg, membutuhkan, bantuan, dari, pemerintah</v>
      </c>
    </row>
    <row r="246">
      <c r="A246" s="17" t="str">
        <f>Cleaning!H254</f>
        <v>maksudnya ini gmn kok eror terus udh nunggu lama tapi tetep gitu semoga cpt di perbarui tolong jgn dibikin ribet</v>
      </c>
      <c r="B246" s="21" t="str">
        <f>IFERROR(__xludf.DUMMYFUNCTION("REGEXREPLACE(A246,"" "","", "")"),"maksudnya, ini, gmn, kok, eror, terus, udh, nunggu, lama, tapi, tetep, gitu, semoga, cpt, di, perbarui, tolong, jgn, dibikin, ribet")</f>
        <v>maksudnya, ini, gmn, kok, eror, terus, udh, nunggu, lama, tapi, tetep, gitu, semoga, cpt, di, perbarui, tolong, jgn, dibikin, ribet</v>
      </c>
    </row>
    <row r="247">
      <c r="A247" s="17" t="str">
        <f>Cleaning!H255</f>
        <v>apk aneh selalu error json parse mulu  tolong dong admin dibenerin aplikasinyamasa buruk begini</v>
      </c>
      <c r="B247" s="21" t="str">
        <f>IFERROR(__xludf.DUMMYFUNCTION("REGEXREPLACE(A247,"" "","", "")"),"apk, aneh, selalu, error, json, parse, mulu, , tolong, dong, admin, dibenerin, aplikasinyamasa, buruk, begini")</f>
        <v>apk, aneh, selalu, error, json, parse, mulu, , tolong, dong, admin, dibenerin, aplikasinyamasa, buruk, begini</v>
      </c>
    </row>
    <row r="248">
      <c r="A248" s="17" t="str">
        <f>Cleaning!H256</f>
        <v>sangat buruk app ini seperti mencuri data saja hanya untuk daftar dan menunggu aktifasi melalui email  minggu email aktifasi tidak muncul² hanya untuk login saja saran saya google menghapus app ini very super duper bad app</v>
      </c>
      <c r="B248" s="21" t="str">
        <f>IFERROR(__xludf.DUMMYFUNCTION("REGEXREPLACE(A248,"" "","", "")"),"sangat, buruk, app, ini, seperti, mencuri, data, saja, hanya, untuk, daftar, dan, menunggu, aktifasi, melalui, email, , minggu, email, aktifasi, tidak, muncul², hanya, untuk, login, saja, saran, saya, google, menghapus, app, ini, very, super, duper, bad, "&amp;"app")</f>
        <v>sangat, buruk, app, ini, seperti, mencuri, data, saja, hanya, untuk, daftar, dan, menunggu, aktifasi, melalui, email, , minggu, email, aktifasi, tidak, muncul², hanya, untuk, login, saja, saran, saya, google, menghapus, app, ini, very, super, duper, bad, app</v>
      </c>
    </row>
    <row r="249">
      <c r="A249" s="17" t="str">
        <f>Cleaning!H257</f>
        <v>gak bisa login udah coba lupa kata sandi tetap gak bisa ribet</v>
      </c>
      <c r="B249" s="21" t="str">
        <f>IFERROR(__xludf.DUMMYFUNCTION("REGEXREPLACE(A249,"" "","", "")"),"gak, bisa, login, udah, coba, lupa, kata, sandi, tetap, gak, bisa, ribet")</f>
        <v>gak, bisa, login, udah, coba, lupa, kata, sandi, tetap, gak, bisa, ribet</v>
      </c>
    </row>
    <row r="250">
      <c r="A250" s="17" t="str">
        <f>Cleaning!H258</f>
        <v>sllu eror tolong di perbaiki karna sangat susah untuk masuk</v>
      </c>
      <c r="B250" s="21" t="str">
        <f>IFERROR(__xludf.DUMMYFUNCTION("REGEXREPLACE(A250,"" "","", "")"),"sllu, eror, tolong, di, perbaiki, karna, sangat, susah, untuk, masuk")</f>
        <v>sllu, eror, tolong, di, perbaiki, karna, sangat, susah, untuk, masuk</v>
      </c>
    </row>
    <row r="251">
      <c r="A251" s="17" t="str">
        <f>Cleaning!H259</f>
        <v>bagaimana mendaftar nya klw erorr terus menerus mohon untuk pihak yg bersangkutan untuk memperbaiki apk agar tidak erorr dalam mendaftar</v>
      </c>
      <c r="B251" s="21" t="str">
        <f>IFERROR(__xludf.DUMMYFUNCTION("REGEXREPLACE(A251,"" "","", "")"),"bagaimana, mendaftar, nya, klw, erorr, terus, menerus, mohon, untuk, pihak, yg, bersangkutan, untuk, memperbaiki, apk, agar, tidak, erorr, dalam, mendaftar")</f>
        <v>bagaimana, mendaftar, nya, klw, erorr, terus, menerus, mohon, untuk, pihak, yg, bersangkutan, untuk, memperbaiki, apk, agar, tidak, erorr, dalam, mendaftar</v>
      </c>
    </row>
    <row r="252">
      <c r="A252" s="17" t="str">
        <f>Cleaning!H260</f>
        <v>sudah berkalikali daftar akun tp setelah isi data diri mau login ndak bisa di email jg tdk ada aktivasi sering error jg kalo gk bisa dipake mending hapus aja aplikasi cek bansos ini kalo masih dipake mending diperbaiki lagi deh</v>
      </c>
      <c r="B252" s="21" t="str">
        <f>IFERROR(__xludf.DUMMYFUNCTION("REGEXREPLACE(A252,"" "","", "")"),"sudah, berkalikali, daftar, akun, tp, setelah, isi, data, diri, mau, login, ndak, bisa, di, email, jg, tdk, ada, aktivasi, sering, error, jg, kalo, gk, bisa, dipake, mending, hapus, aja, aplikasi, cek, bansos, ini, kalo, masih, dipake, mending, diperbaiki"&amp;", lagi, deh")</f>
        <v>sudah, berkalikali, daftar, akun, tp, setelah, isi, data, diri, mau, login, ndak, bisa, di, email, jg, tdk, ada, aktivasi, sering, error, jg, kalo, gk, bisa, dipake, mending, hapus, aja, aplikasi, cek, bansos, ini, kalo, masih, dipake, mending, diperbaiki, lagi, deh</v>
      </c>
    </row>
    <row r="253">
      <c r="A253" s="17" t="str">
        <f>Cleaning!H261</f>
        <v>selama saya hidup baru nemuin apk semenjijikan dan sesampah ini kemampuan pemerintah ya hanya bisa aplikasi kgini</v>
      </c>
      <c r="B253" s="21" t="str">
        <f>IFERROR(__xludf.DUMMYFUNCTION("REGEXREPLACE(A253,"" "","", "")"),"selama, saya, hidup, baru, nemuin, apk, semenjijikan, dan, sesampah, ini, kemampuan, pemerintah, ya, hanya, bisa, aplikasi, kgini")</f>
        <v>selama, saya, hidup, baru, nemuin, apk, semenjijikan, dan, sesampah, ini, kemampuan, pemerintah, ya, hanya, bisa, aplikasi, kgini</v>
      </c>
    </row>
    <row r="254">
      <c r="A254" s="17" t="str">
        <f>Cleaning!H262</f>
        <v>apk ngak guna udah tingal klik daftar eror trus  emng dasar ny duit mau di kentit</v>
      </c>
      <c r="B254" s="21" t="str">
        <f>IFERROR(__xludf.DUMMYFUNCTION("REGEXREPLACE(A254,"" "","", "")"),"apk, ngak, guna, udah, tingal, klik, daftar, eror, trus, , emng, dasar, ny, duit, mau, di, kentit")</f>
        <v>apk, ngak, guna, udah, tingal, klik, daftar, eror, trus, , emng, dasar, ny, duit, mau, di, kentit</v>
      </c>
    </row>
    <row r="255">
      <c r="A255" s="17" t="str">
        <f>Cleaning!H263</f>
        <v>aplikasi apaan jaringan bagus tapi gagal login koneksi buruk katanya  aplikasi ga guna  bukannya mempermudah malah bikin emosi padahal udh banyak yang mengeluh tapi tetap aja ga ada perubahan  buat aplikasi ga bertanggung jawab </v>
      </c>
      <c r="B255" s="21" t="str">
        <f>IFERROR(__xludf.DUMMYFUNCTION("REGEXREPLACE(A255,"" "","", "")"),"aplikasi, apaan, jaringan, bagus, tapi, gagal, login, koneksi, buruk, katanya, , aplikasi, ga, guna, , bukannya, mempermudah, malah, bikin, emosi, padahal, udh, banyak, yang, mengeluh, tapi, tetap, aja, ga, ada, perubahan, , buat, aplikasi, ga, bertanggun"&amp;"g, jawab, ")</f>
        <v>aplikasi, apaan, jaringan, bagus, tapi, gagal, login, koneksi, buruk, katanya, , aplikasi, ga, guna, , bukannya, mempermudah, malah, bikin, emosi, padahal, udh, banyak, yang, mengeluh, tapi, tetap, aja, ga, ada, perubahan, , buat, aplikasi, ga, bertanggung, jawab, </v>
      </c>
    </row>
    <row r="256">
      <c r="A256" s="17" t="str">
        <f>Cleaning!H264</f>
        <v>selalu aja errormau buka error terus</v>
      </c>
      <c r="B256" s="21" t="str">
        <f>IFERROR(__xludf.DUMMYFUNCTION("REGEXREPLACE(A256,"" "","", "")"),"selalu, aja, errormau, buka, error, terus")</f>
        <v>selalu, aja, errormau, buka, error, terus</v>
      </c>
    </row>
    <row r="257">
      <c r="A257" s="17" t="str">
        <f>Cleaning!H265</f>
        <v>yang bingung makin bingung yg bodoh makin bodoh yang tidak bertanggung jawab semakin bersembunyi aplikasi ini seperti iming bagi org yg awam setelah di isi semua sesuai ktp ketika login username yg anda masukan salah saya coba registrasi kembali berkali kali semua sudah benar ketika akan login masih demikina tidak bisa sedangkan data sudah masuk terdaftar</v>
      </c>
      <c r="B257" s="21" t="str">
        <f>IFERROR(__xludf.DUMMYFUNCTION("REGEXREPLACE(A257,"" "","", "")"),"yang, bingung, makin, bingung, yg, bodoh, makin, bodoh, yang, tidak, bertanggung, jawab, semakin, bersembunyi, aplikasi, ini, seperti, iming, bagi, org, yg, awam, setelah, di, isi, semua, sesuai, ktp, ketika, login, username, yg, anda, masukan, salah, say"&amp;"a, coba, registrasi, kembali, berkali, kali, semua, sudah, benar, ketika, akan, login, masih, demikina, tidak, bisa, sedangkan, data, sudah, masuk, terdaftar")</f>
        <v>yang, bingung, makin, bingung, yg, bodoh, makin, bodoh, yang, tidak, bertanggung, jawab, semakin, bersembunyi, aplikasi, ini, seperti, iming, bagi, org, yg, awam, setelah, di, isi, semua, sesuai, ktp, ketika, login, username, yg, anda, masukan, salah, saya, coba, registrasi, kembali, berkali, kali, semua, sudah, benar, ketika, akan, login, masih, demikina, tidak, bisa, sedangkan, data, sudah, masuk, terdaftar</v>
      </c>
    </row>
    <row r="258">
      <c r="A258" s="17" t="str">
        <f>Cleaning!H266</f>
        <v>sama sekali gak bisa login sudah berharihari baru terferivikasi email eh bagian masuk aplikasinya terjadi kesalahan koneksi sampe beli perdana yang bagus sinyalnya tetep zonk padahal saya sudah termasuk dalam penerima bansos ini</v>
      </c>
      <c r="B258" s="21" t="str">
        <f>IFERROR(__xludf.DUMMYFUNCTION("REGEXREPLACE(A258,"" "","", "")"),"sama, sekali, gak, bisa, login, sudah, berharihari, baru, terferivikasi, email, eh, bagian, masuk, aplikasinya, terjadi, kesalahan, koneksi, sampe, beli, perdana, yang, bagus, sinyalnya, tetep, zonk, padahal, saya, sudah, termasuk, dalam, penerima, bansos"&amp;", ini")</f>
        <v>sama, sekali, gak, bisa, login, sudah, berharihari, baru, terferivikasi, email, eh, bagian, masuk, aplikasinya, terjadi, kesalahan, koneksi, sampe, beli, perdana, yang, bagus, sinyalnya, tetep, zonk, padahal, saya, sudah, termasuk, dalam, penerima, bansos, ini</v>
      </c>
    </row>
    <row r="259">
      <c r="A259" s="17" t="str">
        <f>Cleaning!H267</f>
        <v>setelah update benar bisa masuk tp data kenapa jadi bukan penerima manfaat padahal dicek diweb bansos ada data terbaru apalagi status semua anggota keluarga perempuan semua padahal perempuannya hanya  orang masa anak saya laki semua ditulia perempuan semua aneh</v>
      </c>
      <c r="B259" s="21" t="str">
        <f>IFERROR(__xludf.DUMMYFUNCTION("REGEXREPLACE(A259,"" "","", "")"),"setelah, update, benar, bisa, masuk, tp, data, kenapa, jadi, bukan, penerima, manfaat, padahal, dicek, diweb, bansos, ada, data, terbaru, apalagi, status, semua, anggota, keluarga, perempuan, semua, padahal, perempuannya, hanya, , orang, masa, anak, saya,"&amp;" laki, semua, ditulia, perempuan, semua, aneh")</f>
        <v>setelah, update, benar, bisa, masuk, tp, data, kenapa, jadi, bukan, penerima, manfaat, padahal, dicek, diweb, bansos, ada, data, terbaru, apalagi, status, semua, anggota, keluarga, perempuan, semua, padahal, perempuannya, hanya, , orang, masa, anak, saya, laki, semua, ditulia, perempuan, semua, aneh</v>
      </c>
    </row>
    <row r="260">
      <c r="A260" s="17" t="str">
        <f>Cleaning!H268</f>
        <v>karena lupa password udah dapet email link diklik ga bisa bisa masuk oalahh sekelas kementrian apa ga bisa punya it berbobot</v>
      </c>
      <c r="B260" s="21" t="str">
        <f>IFERROR(__xludf.DUMMYFUNCTION("REGEXREPLACE(A260,"" "","", "")"),"karena, lupa, password, udah, dapet, email, link, diklik, ga, bisa, bisa, masuk, oalahh, sekelas, kementrian, apa, ga, bisa, punya, it, berbobot")</f>
        <v>karena, lupa, password, udah, dapet, email, link, diklik, ga, bisa, bisa, masuk, oalahh, sekelas, kementrian, apa, ga, bisa, punya, it, berbobot</v>
      </c>
    </row>
    <row r="261">
      <c r="A261" s="17" t="str">
        <f>Cleaning!H269</f>
        <v>tadak bisa tambah usulan kode error json parse selalu muncul tidak dapat menambah ulasan mohon perbaikan aplikasinya</v>
      </c>
      <c r="B261" s="21" t="str">
        <f>IFERROR(__xludf.DUMMYFUNCTION("REGEXREPLACE(A261,"" "","", "")"),"tadak, bisa, tambah, usulan, kode, error, json, parse, selalu, muncul, tidak, dapat, menambah, ulasan, mohon, perbaikan, aplikasinya")</f>
        <v>tadak, bisa, tambah, usulan, kode, error, json, parse, selalu, muncul, tidak, dapat, menambah, ulasan, mohon, perbaikan, aplikasinya</v>
      </c>
    </row>
    <row r="262">
      <c r="A262" s="17" t="str">
        <f>Cleaning!H270</f>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c r="B262" s="21" t="str">
        <f>IFERROR(__xludf.DUMMYFUNCTION("REGEXREPLACE(A262,"" "","", "")"),"untuk, kemensos, maaf, ya, jika, gak, berniat, untuk, meringankan, penderitaan, rakyat, lebih, baik, gak, usah, lah, pada, akhirnya, bikin, kecewa, kayak, begni, ini, aplikasi, selalu, error, kalo, save, data, udh, berulang², kali, daftar, tetep, error, s"&amp;"edangkn, daftar, lewat, wabsite, gak, bisa, lucu, nya, tu, di, sini")</f>
        <v>untuk, kemensos, maaf, ya, jika, gak, berniat, untuk, meringankan, penderitaan, rakyat, lebih, baik, gak, usah, lah, pada, akhirnya, bikin, kecewa, kayak, begni, ini, aplikasi, selalu, error, kalo, save, data, udh, berulang², kali, daftar, tetep, error, sedangkn, daftar, lewat, wabsite, gak, bisa, lucu, nya, tu, di, sini</v>
      </c>
    </row>
    <row r="263">
      <c r="A263" s="17" t="str">
        <f>Cleaning!H271</f>
        <v>ini gimana sih mau login di suruh registrasi mau registrasi ketika pilih provinsi loding lama ujungnya eror jaringan berharihari di coba tetap g bisa sebenarnya klau uda produk gagal begini jgn di publis harusnya di cek lagi dan diupdate versinya kasihan kita mau daftar tapi g bisa sebaiknya jgn pakai ap ini lagi klau mau daftar online supaya g kasih janji palsu proses buat ini sama pengembang pasti dibayar mahal lagi tapi kwalitas masih sangat rendah</v>
      </c>
      <c r="B263" s="21" t="str">
        <f>IFERROR(__xludf.DUMMYFUNCTION("REGEXREPLACE(A263,"" "","", "")"),"ini, gimana, sih, mau, login, di, suruh, registrasi, mau, registrasi, ketika, pilih, provinsi, loding, lama, ujungnya, eror, jaringan, berharihari, di, coba, tetap, g, bisa, sebenarnya, klau, uda, produk, gagal, begini, jgn, di, publis, harusnya, di, cek,"&amp;" lagi, dan, diupdate, versinya, kasihan, kita, mau, daftar, tapi, g, bisa, sebaiknya, jgn, pakai, ap, ini, lagi, klau, mau, daftar, online, supaya, g, kasih, janji, palsu, proses, buat, ini, sama, pengembang, pasti, dibayar, mahal, lagi, tapi, kwalitas, m"&amp;"asih, sangat, rendah")</f>
        <v>ini, gimana, sih, mau, login, di, suruh, registrasi, mau, registrasi, ketika, pilih, provinsi, loding, lama, ujungnya, eror, jaringan, berharihari, di, coba, tetap, g, bisa, sebenarnya, klau, uda, produk, gagal, begini, jgn, di, publis, harusnya, di, cek, lagi, dan, diupdate, versinya, kasihan, kita, mau, daftar, tapi, g, bisa, sebaiknya, jgn, pakai, ap, ini, lagi, klau, mau, daftar, online, supaya, g, kasih, janji, palsu, proses, buat, ini, sama, pengembang, pasti, dibayar, mahal, lagi, tapi, kwalitas, masih, sangat, rendah</v>
      </c>
    </row>
    <row r="264">
      <c r="A264" s="17" t="str">
        <f>Cleaning!H272</f>
        <v>aplikasi ngak jelas error terus bikin emosi aja</v>
      </c>
      <c r="B264" s="21" t="str">
        <f>IFERROR(__xludf.DUMMYFUNCTION("REGEXREPLACE(A264,"" "","", "")"),"aplikasi, ngak, jelas, error, terus, bikin, emosi, aja")</f>
        <v>aplikasi, ngak, jelas, error, terus, bikin, emosi, aja</v>
      </c>
    </row>
    <row r="265">
      <c r="A265" s="17" t="str">
        <f>Cleaning!H273</f>
        <v>setiap login selalu error</v>
      </c>
      <c r="B265" s="21" t="str">
        <f>IFERROR(__xludf.DUMMYFUNCTION("REGEXREPLACE(A265,"" "","", "")"),"setiap, login, selalu, error")</f>
        <v>setiap, login, selalu, error</v>
      </c>
    </row>
    <row r="266">
      <c r="A266" s="17" t="str">
        <f>Cleaning!H274</f>
        <v>daftar aja loading terus gak jelas aplikasi nya eror trus</v>
      </c>
      <c r="B266" s="21" t="str">
        <f>IFERROR(__xludf.DUMMYFUNCTION("REGEXREPLACE(A266,"" "","", "")"),"daftar, aja, loading, terus, gak, jelas, aplikasi, nya, eror, trus")</f>
        <v>daftar, aja, loading, terus, gak, jelas, aplikasi, nya, eror, trus</v>
      </c>
    </row>
    <row r="267">
      <c r="A267" s="17" t="str">
        <f>Cleaning!H275</f>
        <v>aplikasi cek bansos tidak bisa di buka kenapa ya</v>
      </c>
      <c r="B267" s="21" t="str">
        <f>IFERROR(__xludf.DUMMYFUNCTION("REGEXREPLACE(A267,"" "","", "")"),"aplikasi, cek, bansos, tidak, bisa, di, buka, kenapa, ya")</f>
        <v>aplikasi, cek, bansos, tidak, bisa, di, buka, kenapa, ya</v>
      </c>
    </row>
    <row r="268">
      <c r="A268" s="17" t="str">
        <f>Cleaning!H276</f>
        <v>tolonglah di perbaiki seror eror terus silahkan kembali buat mendaftar tak bisa</v>
      </c>
      <c r="B268" s="21" t="str">
        <f>IFERROR(__xludf.DUMMYFUNCTION("REGEXREPLACE(A268,"" "","", "")"),"tolonglah, di, perbaiki, seror, eror, terus, silahkan, kembali, buat, mendaftar, tak, bisa")</f>
        <v>tolonglah, di, perbaiki, seror, eror, terus, silahkan, kembali, buat, mendaftar, tak, bisa</v>
      </c>
    </row>
    <row r="269">
      <c r="A269" s="17" t="str">
        <f>Cleaning!H277</f>
        <v>aplikasi errortrs tlg di perbaiki semoga d respon</v>
      </c>
      <c r="B269" s="21" t="str">
        <f>IFERROR(__xludf.DUMMYFUNCTION("REGEXREPLACE(A269,"" "","", "")"),"aplikasi, errortrs, tlg, di, perbaiki, semoga, d, respon")</f>
        <v>aplikasi, errortrs, tlg, di, perbaiki, semoga, d, respon</v>
      </c>
    </row>
    <row r="270">
      <c r="A270" s="17" t="str">
        <f>Cleaning!H278</f>
        <v>aq kasih bintang soalnya gak sesuai harapanmasa hanya kesamaan nama dalam satu desartyang nongol kok nama si kaya terus hrusnya jgan namapakai nikkkmalah nikkk gak berfungsi d apl ini </v>
      </c>
      <c r="B270" s="21" t="str">
        <f>IFERROR(__xludf.DUMMYFUNCTION("REGEXREPLACE(A270,"" "","", "")"),"aq, kasih, bintang, soalnya, gak, sesuai, harapanmasa, hanya, kesamaan, nama, dalam, satu, desartyang, nongol, kok, nama, si, kaya, terus, hrusnya, jgan, namapakai, nikkkmalah, nikkk, gak, berfungsi, d, apl, ini, ")</f>
        <v>aq, kasih, bintang, soalnya, gak, sesuai, harapanmasa, hanya, kesamaan, nama, dalam, satu, desartyang, nongol, kok, nama, si, kaya, terus, hrusnya, jgan, namapakai, nikkkmalah, nikkk, gak, berfungsi, d, apl, ini, </v>
      </c>
    </row>
    <row r="271">
      <c r="A271" s="17" t="str">
        <f>Cleaning!H279</f>
        <v>gak bisa login ke amplikasi</v>
      </c>
      <c r="B271" s="21" t="str">
        <f>IFERROR(__xludf.DUMMYFUNCTION("REGEXREPLACE(A271,"" "","", "")"),"gak, bisa, login, ke, amplikasi")</f>
        <v>gak, bisa, login, ke, amplikasi</v>
      </c>
    </row>
    <row r="272">
      <c r="A272" s="17" t="str">
        <f>Cleaning!H280</f>
        <v>kenapa saya tidar bisa daftarsudah cobak beberapa kali tetap tidak bisa</v>
      </c>
      <c r="B272" s="21" t="str">
        <f>IFERROR(__xludf.DUMMYFUNCTION("REGEXREPLACE(A272,"" "","", "")"),"kenapa, saya, tidar, bisa, daftarsudah, cobak, beberapa, kali, tetap, tidak, bisa")</f>
        <v>kenapa, saya, tidar, bisa, daftarsudah, cobak, beberapa, kali, tetap, tidak, bisa</v>
      </c>
    </row>
    <row r="273">
      <c r="A273" s="17" t="str">
        <f>Cleaning!H281</f>
        <v>daftar aja error truuuuuussssssperbaiki dong</v>
      </c>
      <c r="B273" s="21" t="str">
        <f>IFERROR(__xludf.DUMMYFUNCTION("REGEXREPLACE(A273,"" "","", "")"),"daftar, aja, error, truuuuuussssssperbaiki, dong")</f>
        <v>daftar, aja, error, truuuuuussssssperbaiki, dong</v>
      </c>
    </row>
    <row r="274">
      <c r="A274" s="17" t="str">
        <f>Cleaning!H282</f>
        <v>tolong admin alamat sudah sesuai ktp tapi saat di ajukan bikin akun infonya alamat tidak sesuai mohon solusi</v>
      </c>
      <c r="B274" s="21" t="str">
        <f>IFERROR(__xludf.DUMMYFUNCTION("REGEXREPLACE(A274,"" "","", "")"),"tolong, admin, alamat, sudah, sesuai, ktp, tapi, saat, di, ajukan, bikin, akun, infonya, alamat, tidak, sesuai, mohon, solusi")</f>
        <v>tolong, admin, alamat, sudah, sesuai, ktp, tapi, saat, di, ajukan, bikin, akun, infonya, alamat, tidak, sesuai, mohon, solusi</v>
      </c>
    </row>
    <row r="275">
      <c r="A275" s="17" t="str">
        <f>Cleaning!H283</f>
        <v>aplikasinya eror gak bisa login padahal baru dapat email di acc saya mau sanggah dulu di data pkh pas saya hamil data saya ada dapat tp kenapa setelah disuruh isi survai dari rt  data saya dihapus padahal butuh banget buat melahirkan waktu itu</v>
      </c>
      <c r="B275" s="21" t="str">
        <f>IFERROR(__xludf.DUMMYFUNCTION("REGEXREPLACE(A275,"" "","", "")"),"aplikasinya, eror, gak, bisa, login, padahal, baru, dapat, email, di, acc, saya, mau, sanggah, dulu, di, data, pkh, pas, saya, hamil, data, saya, ada, dapat, tp, kenapa, setelah, disuruh, isi, survai, dari, rt, , data, saya, dihapus, padahal, butuh, bange"&amp;"t, buat, melahirkan, waktu, itu")</f>
        <v>aplikasinya, eror, gak, bisa, login, padahal, baru, dapat, email, di, acc, saya, mau, sanggah, dulu, di, data, pkh, pas, saya, hamil, data, saya, ada, dapat, tp, kenapa, setelah, disuruh, isi, survai, dari, rt, , data, saya, dihapus, padahal, butuh, banget, buat, melahirkan, waktu, itu</v>
      </c>
    </row>
    <row r="276">
      <c r="A276" s="17" t="str">
        <f>Cleaning!H284</f>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c r="B276" s="21" t="str">
        <f>IFERROR(__xludf.DUMMYFUNCTION("REGEXREPLACE(A276,"" "","", "")"),"aplikasi, yg, sangat, jelek, sekali, sudah, mengisi, semua, data, dengan, benar, pas, mau, buat, akun, malah, tertulis, connetion, error, padahal, semua, jaringan, saya, bagus, tolong, pemerintah, diperbaiki, aplikasi, nya, seperti, ini, kasian, warga, ku"&amp;"rang, mampu, dibohongi, simbol, aja, ada, aplikasi, tapi, cacat, ")</f>
        <v>aplikasi, yg, sangat, jelek, sekali, sudah, mengisi, semua, data, dengan, benar, pas, mau, buat, akun, malah, tertulis, connetion, error, padahal, semua, jaringan, saya, bagus, tolong, pemerintah, diperbaiki, aplikasi, nya, seperti, ini, kasian, warga, kurang, mampu, dibohongi, simbol, aja, ada, aplikasi, tapi, cacat, </v>
      </c>
    </row>
    <row r="277">
      <c r="A277" s="17" t="str">
        <f>Cleaning!H285</f>
        <v>aplikasi yang sangat burukkkkk dan ini aplikasi bukan tujuan untuk memudahkan usulan bantuantpi buat ngeprank  dikarnakan pas setuju untuk menambahkan yg terjadi koneksi erorrr cukkk</v>
      </c>
      <c r="B277" s="21" t="str">
        <f>IFERROR(__xludf.DUMMYFUNCTION("REGEXREPLACE(A277,"" "","", "")"),"aplikasi, yang, sangat, burukkkkk, dan, ini, aplikasi, bukan, tujuan, untuk, memudahkan, usulan, bantuantpi, buat, ngeprank, , dikarnakan, pas, setuju, untuk, menambahkan, yg, terjadi, koneksi, erorrr, cukkk")</f>
        <v>aplikasi, yang, sangat, burukkkkk, dan, ini, aplikasi, bukan, tujuan, untuk, memudahkan, usulan, bantuantpi, buat, ngeprank, , dikarnakan, pas, setuju, untuk, menambahkan, yg, terjadi, koneksi, erorrr, cukkk</v>
      </c>
    </row>
    <row r="278">
      <c r="A278" s="17" t="str">
        <f>Cleaning!H286</f>
        <v>baru buat akun cek bansos ko gak bisa login pak mohon bantuannya ya pak</v>
      </c>
      <c r="B278" s="21" t="str">
        <f>IFERROR(__xludf.DUMMYFUNCTION("REGEXREPLACE(A278,"" "","", "")"),"baru, buat, akun, cek, bansos, ko, gak, bisa, login, pak, mohon, bantuannya, ya, pak")</f>
        <v>baru, buat, akun, cek, bansos, ko, gak, bisa, login, pak, mohon, bantuannya, ya, pak</v>
      </c>
    </row>
    <row r="279">
      <c r="A279" s="17" t="str">
        <f>Cleaning!H287</f>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c r="B279" s="21" t="str">
        <f>IFERROR(__xludf.DUMMYFUNCTION("REGEXREPLACE(A279,"" "","", "")"),"aplikasi, nya, sangat, sulit, dalam, melakukan, pendaftaran, tidak, bisa, masukusername, tidak, ditemukan, belum, di, aktivasi, gimana, tolong, bantuan, aplikasi, seperti, itu, yang, sangat, kami, butuh, kan, kalo, bisa, aplikasi, daftar, online, langsung"&amp;", kirim, buktikirim, sseorang, untuk, melihat, pembuktian, nya, itu, akan, sangat, membantu, klo, bisa, dibikin, cara, mencari, sesuai, no, ktp, jadi, tidak, keliru, karna, dalam, satu, bahkan, rt, pun, banyak, yg, memiliki, nama, yg, sama, jdi, bingung")</f>
        <v>aplikasi, nya, sangat, sulit, dalam, melakukan, pendaftaran, tidak, bisa, masukusername, tidak, ditemukan, belum, di, aktivasi, gimana, tolong, bantuan, aplikasi, seperti, itu, yang, sangat, kami, butuh, kan, kalo, bisa, aplikasi, daftar, online, langsung, kirim, buktikirim, sseorang, untuk, melihat, pembuktian, nya, itu, akan, sangat, membantu, klo, bisa, dibikin, cara, mencari, sesuai, no, ktp, jadi, tidak, keliru, karna, dalam, satu, bahkan, rt, pun, banyak, yg, memiliki, nama, yg, sama, jdi, bingung</v>
      </c>
    </row>
    <row r="280">
      <c r="A280" s="17" t="str">
        <f>Cleaning!H288</f>
        <v>kirain saya aja yg ga bisa login padahal sudah dapat email terverifikasi dan lanjut login eh ternyta ga bisa login hahh apalah daya jadi ini aplikasi buat php aja atau gimana ya keseriusannya level kementerian pusat masa aplikasinya begini tolong lah anggarannya dipake sedikit buat bikin aplikasi berbobot</v>
      </c>
      <c r="B280" s="21" t="str">
        <f>IFERROR(__xludf.DUMMYFUNCTION("REGEXREPLACE(A280,"" "","", "")"),"kirain, saya, aja, yg, ga, bisa, login, padahal, sudah, dapat, email, terverifikasi, dan, lanjut, login, eh, ternyta, ga, bisa, login, hahh, apalah, daya, jadi, ini, aplikasi, buat, php, aja, atau, gimana, ya, keseriusannya, level, kementerian, pusat, mas"&amp;"a, aplikasinya, begini, tolong, lah, anggarannya, dipake, sedikit, buat, bikin, aplikasi, berbobot")</f>
        <v>kirain, saya, aja, yg, ga, bisa, login, padahal, sudah, dapat, email, terverifikasi, dan, lanjut, login, eh, ternyta, ga, bisa, login, hahh, apalah, daya, jadi, ini, aplikasi, buat, php, aja, atau, gimana, ya, keseriusannya, level, kementerian, pusat, masa, aplikasinya, begini, tolong, lah, anggarannya, dipake, sedikit, buat, bikin, aplikasi, berbobot</v>
      </c>
    </row>
    <row r="281">
      <c r="A281" s="17" t="str">
        <f>Cleaning!H289</f>
        <v>ini gimana kok gk bisa buat akun baru keterangan conection reset gitu mulu berulang terus sudah d isi data berubah sendiri jdi kesel saya padahal semua data bener jaringan bagus laaahhhh</v>
      </c>
      <c r="B281" s="21" t="str">
        <f>IFERROR(__xludf.DUMMYFUNCTION("REGEXREPLACE(A281,"" "","", "")"),"ini, gimana, kok, gk, bisa, buat, akun, baru, keterangan, conection, reset, gitu, mulu, berulang, terus, sudah, d, isi, data, berubah, sendiri, jdi, kesel, saya, padahal, semua, data, bener, jaringan, bagus, laaahhhh")</f>
        <v>ini, gimana, kok, gk, bisa, buat, akun, baru, keterangan, conection, reset, gitu, mulu, berulang, terus, sudah, d, isi, data, berubah, sendiri, jdi, kesel, saya, padahal, semua, data, bener, jaringan, bagus, laaahhhh</v>
      </c>
    </row>
    <row r="282">
      <c r="A282" s="17" t="str">
        <f>Cleaning!H290</f>
        <v>parah sii  udh masukan username sama kata sandi tapi ga bisa udh dpt email bwt ganti kata sandi tp link nya tdak terjangkau apakah rekrut it nya yg pada goblog semua apa emng ga becus </v>
      </c>
      <c r="B282" s="21" t="str">
        <f>IFERROR(__xludf.DUMMYFUNCTION("REGEXREPLACE(A282,"" "","", "")"),"parah, sii, , udh, masukan, username, sama, kata, sandi, tapi, ga, bisa, udh, dpt, email, bwt, ganti, kata, sandi, tp, link, nya, tdak, terjangkau, apakah, rekrut, it, nya, yg, pada, goblog, semua, apa, emng, ga, becus, ")</f>
        <v>parah, sii, , udh, masukan, username, sama, kata, sandi, tapi, ga, bisa, udh, dpt, email, bwt, ganti, kata, sandi, tp, link, nya, tdak, terjangkau, apakah, rekrut, it, nya, yg, pada, goblog, semua, apa, emng, ga, becus, </v>
      </c>
    </row>
    <row r="283">
      <c r="A283" s="17" t="str">
        <f>Cleaning!H291</f>
        <v>tolong pemerintahan kenapa ini aplikasi selalu gagal koneksi padahal menggunakan wifi tolong lah jgn bikin kami susah dengan aplikasi ini sdh verifikasi nya lama setelah di verifikasi pas login gagal koneksi terus sdh  hari gagal koneksi terus dan di coba setiap menitjam sampai tengah malam pun tetap ga bisa login tolong di perbaiki aplikasi cek bansos ini banyak masyarakat saat ini menggunakan aplikasi ini mengeluh lantaran tidak bisa log in terima kasih </v>
      </c>
      <c r="B283" s="21" t="str">
        <f>IFERROR(__xludf.DUMMYFUNCTION("REGEXREPLACE(A283,"" "","", "")"),"tolong, pemerintahan, kenapa, ini, aplikasi, selalu, gagal, koneksi, padahal, menggunakan, wifi, tolong, lah, jgn, bikin, kami, susah, dengan, aplikasi, ini, sdh, verifikasi, nya, lama, setelah, di, verifikasi, pas, login, gagal, koneksi, terus, sdh, , ha"&amp;"ri, gagal, koneksi, terus, dan, di, coba, setiap, menitjam, sampai, tengah, malam, pun, tetap, ga, bisa, login, tolong, di, perbaiki, aplikasi, cek, bansos, ini, banyak, masyarakat, saat, ini, menggunakan, aplikasi, ini, mengeluh, lantaran, tidak, bisa, l"&amp;"og, in, terima, kasih, ")</f>
        <v>tolong, pemerintahan, kenapa, ini, aplikasi, selalu, gagal, koneksi, padahal, menggunakan, wifi, tolong, lah, jgn, bikin, kami, susah, dengan, aplikasi, ini, sdh, verifikasi, nya, lama, setelah, di, verifikasi, pas, login, gagal, koneksi, terus, sdh, , hari, gagal, koneksi, terus, dan, di, coba, setiap, menitjam, sampai, tengah, malam, pun, tetap, ga, bisa, login, tolong, di, perbaiki, aplikasi, cek, bansos, ini, banyak, masyarakat, saat, ini, menggunakan, aplikasi, ini, mengeluh, lantaran, tidak, bisa, log, in, terima, kasih, </v>
      </c>
    </row>
    <row r="284">
      <c r="A284" s="17" t="str">
        <f>Cleaning!H292</f>
        <v>mau reset password ga bisa karena link yg d kirim k email bukan link buat reset password</v>
      </c>
      <c r="B284" s="21" t="str">
        <f>IFERROR(__xludf.DUMMYFUNCTION("REGEXREPLACE(A284,"" "","", "")"),"mau, reset, password, ga, bisa, karena, link, yg, d, kirim, k, email, bukan, link, buat, reset, password")</f>
        <v>mau, reset, password, ga, bisa, karena, link, yg, d, kirim, k, email, bukan, link, buat, reset, password</v>
      </c>
    </row>
    <row r="285">
      <c r="A285" s="17" t="str">
        <f>Cleaning!H293</f>
        <v>aplikasi tida bisa gunakan ga bisa login</v>
      </c>
      <c r="B285" s="21" t="str">
        <f>IFERROR(__xludf.DUMMYFUNCTION("REGEXREPLACE(A285,"" "","", "")"),"aplikasi, tida, bisa, gunakan, ga, bisa, login")</f>
        <v>aplikasi, tida, bisa, gunakan, ga, bisa, login</v>
      </c>
    </row>
    <row r="286">
      <c r="A286" s="17" t="str">
        <f>Cleaning!H294</f>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c r="B286" s="21" t="str">
        <f>IFERROR(__xludf.DUMMYFUNCTION("REGEXREPLACE(A286,"" "","", "")"),"kenapa, tidak, bisa, daftar, katanya, bisa, dafta, sendiri, tapi, lewat, aplikasi, juga, tidak, jauh, lebih, mudah, lain, kali, mohon, kalo, buat, aplikasi, yang, bertujuan, memudahkan, jangan, yang, suka, eror, ya, lantas, bagaimana, bisa, daftar, kalau,"&amp;" aplikasi, yang, seharusnya, mempermudah, malah, bikin, ribet")</f>
        <v>kenapa, tidak, bisa, daftar, katanya, bisa, dafta, sendiri, tapi, lewat, aplikasi, juga, tidak, jauh, lebih, mudah, lain, kali, mohon, kalo, buat, aplikasi, yang, bertujuan, memudahkan, jangan, yang, suka, eror, ya, lantas, bagaimana, bisa, daftar, kalau, aplikasi, yang, seharusnya, mempermudah, malah, bikin, ribet</v>
      </c>
    </row>
    <row r="287">
      <c r="A287" s="17" t="str">
        <f>Cleaning!H295</f>
        <v>loding terus setiap hari di coba loding terus aplikasinya</v>
      </c>
      <c r="B287" s="21" t="str">
        <f>IFERROR(__xludf.DUMMYFUNCTION("REGEXREPLACE(A287,"" "","", "")"),"loding, terus, setiap, hari, di, coba, loding, terus, aplikasinya")</f>
        <v>loding, terus, setiap, hari, di, coba, loding, terus, aplikasinya</v>
      </c>
    </row>
    <row r="288">
      <c r="A288" s="17" t="str">
        <f>Cleaning!H296</f>
        <v>tidak bisa login tolonglah mohon diperbaiki</v>
      </c>
      <c r="B288" s="21" t="str">
        <f>IFERROR(__xludf.DUMMYFUNCTION("REGEXREPLACE(A288,"" "","", "")"),"tidak, bisa, login, tolonglah, mohon, diperbaiki")</f>
        <v>tidak, bisa, login, tolonglah, mohon, diperbaiki</v>
      </c>
    </row>
    <row r="289">
      <c r="A289" s="17" t="str">
        <f>Cleaning!H297</f>
        <v>aplikasi gak jelas udah daftarnya ribet giliran jadi gak terdaftar gimana sih</v>
      </c>
      <c r="B289" s="21" t="str">
        <f>IFERROR(__xludf.DUMMYFUNCTION("REGEXREPLACE(A289,"" "","", "")"),"aplikasi, gak, jelas, udah, daftarnya, ribet, giliran, jadi, gak, terdaftar, gimana, sih")</f>
        <v>aplikasi, gak, jelas, udah, daftarnya, ribet, giliran, jadi, gak, terdaftar, gimana, sih</v>
      </c>
    </row>
    <row r="290">
      <c r="A290" s="17" t="str">
        <f>Cleaning!H298</f>
        <v>eror truspadahal data sdh terisikatanya resmi dr pemerintah kok ga perhatian nya dgn sistemnyatolong di perbaiki dong</v>
      </c>
      <c r="B290" s="21" t="str">
        <f>IFERROR(__xludf.DUMMYFUNCTION("REGEXREPLACE(A290,"" "","", "")"),"eror, truspadahal, data, sdh, terisikatanya, resmi, dr, pemerintah, kok, ga, perhatian, nya, dgn, sistemnyatolong, di, perbaiki, dong")</f>
        <v>eror, truspadahal, data, sdh, terisikatanya, resmi, dr, pemerintah, kok, ga, perhatian, nya, dgn, sistemnyatolong, di, perbaiki, dong</v>
      </c>
    </row>
    <row r="291">
      <c r="A291" s="17" t="str">
        <f>Cleaning!H299</f>
        <v>aplikasinya tidak stabil selalu eror</v>
      </c>
      <c r="B291" s="21" t="str">
        <f>IFERROR(__xludf.DUMMYFUNCTION("REGEXREPLACE(A291,"" "","", "")"),"aplikasinya, tidak, stabil, selalu, eror")</f>
        <v>aplikasinya, tidak, stabil, selalu, eror</v>
      </c>
    </row>
    <row r="292">
      <c r="A292" s="17" t="str">
        <f>Cleaning!H300</f>
        <v>sedikit kecewa saat ingin daftar akun baru selalu error json parse</v>
      </c>
      <c r="B292" s="21" t="str">
        <f>IFERROR(__xludf.DUMMYFUNCTION("REGEXREPLACE(A292,"" "","", "")"),"sedikit, kecewa, saat, ingin, daftar, akun, baru, selalu, error, json, parse")</f>
        <v>sedikit, kecewa, saat, ingin, daftar, akun, baru, selalu, error, json, parse</v>
      </c>
    </row>
    <row r="293">
      <c r="A293" s="17" t="str">
        <f>Cleaning!H301</f>
        <v>aplikasi eror  tolong diperbaiki supaya saya bisa usul sanggah </v>
      </c>
      <c r="B293" s="21" t="str">
        <f>IFERROR(__xludf.DUMMYFUNCTION("REGEXREPLACE(A293,"" "","", "")"),"aplikasi, eror, , tolong, diperbaiki, supaya, saya, bisa, usul, sanggah, ")</f>
        <v>aplikasi, eror, , tolong, diperbaiki, supaya, saya, bisa, usul, sanggah, </v>
      </c>
    </row>
    <row r="294">
      <c r="A294" s="17" t="str">
        <f>Cleaning!H302</f>
        <v>error koq setiap hari &amp; setiap waktu</v>
      </c>
      <c r="B294" s="21" t="str">
        <f>IFERROR(__xludf.DUMMYFUNCTION("REGEXREPLACE(A294,"" "","", "")"),"error, koq, setiap, hari, &amp;, setiap, waktu")</f>
        <v>error, koq, setiap, hari, &amp;, setiap, waktu</v>
      </c>
    </row>
    <row r="295">
      <c r="A295" s="17" t="str">
        <f>Cleaning!H303</f>
        <v>banyak aplikasi pemerintah tapi login ga bisa auka aneh</v>
      </c>
      <c r="B295" s="21" t="str">
        <f>IFERROR(__xludf.DUMMYFUNCTION("REGEXREPLACE(A295,"" "","", "")"),"banyak, aplikasi, pemerintah, tapi, login, ga, bisa, auka, aneh")</f>
        <v>banyak, aplikasi, pemerintah, tapi, login, ga, bisa, auka, aneh</v>
      </c>
    </row>
    <row r="296">
      <c r="A296" s="17" t="str">
        <f>Cleaning!H304</f>
        <v>gak bisa daftr akun error terus parah nih aplikasih tolong diperbaikin kenapa</v>
      </c>
      <c r="B296" s="21" t="str">
        <f>IFERROR(__xludf.DUMMYFUNCTION("REGEXREPLACE(A296,"" "","", "")"),"gak, bisa, daftr, akun, error, terus, parah, nih, aplikasih, tolong, diperbaikin, kenapa")</f>
        <v>gak, bisa, daftr, akun, error, terus, parah, nih, aplikasih, tolong, diperbaikin, kenapa</v>
      </c>
    </row>
    <row r="297">
      <c r="A297" s="17" t="str">
        <f>Cleaning!H305</f>
        <v>setelah didonlod masa gak bisa dibuka masih diperbaiki</v>
      </c>
      <c r="B297" s="21" t="str">
        <f>IFERROR(__xludf.DUMMYFUNCTION("REGEXREPLACE(A297,"" "","", "")"),"setelah, didonlod, masa, gak, bisa, dibuka, masih, diperbaiki")</f>
        <v>setelah, didonlod, masa, gak, bisa, dibuka, masih, diperbaiki</v>
      </c>
    </row>
    <row r="298">
      <c r="A298" s="17" t="str">
        <f>Cleaning!H306</f>
        <v>aplikasi tidak berguna setiap mau masuk error truss</v>
      </c>
      <c r="B298" s="21" t="str">
        <f>IFERROR(__xludf.DUMMYFUNCTION("REGEXREPLACE(A298,"" "","", "")"),"aplikasi, tidak, berguna, setiap, mau, masuk, error, truss")</f>
        <v>aplikasi, tidak, berguna, setiap, mau, masuk, error, truss</v>
      </c>
    </row>
    <row r="299">
      <c r="A299" s="17" t="str">
        <f>Cleaning!H307</f>
        <v>udah terdaftar suruh logging ulang trs tulisannya ga terdaftar</v>
      </c>
      <c r="B299" s="21" t="str">
        <f>IFERROR(__xludf.DUMMYFUNCTION("REGEXREPLACE(A299,"" "","", "")"),"udah, terdaftar, suruh, logging, ulang, trs, tulisannya, ga, terdaftar")</f>
        <v>udah, terdaftar, suruh, logging, ulang, trs, tulisannya, ga, terdaftar</v>
      </c>
    </row>
    <row r="300">
      <c r="A300" s="17" t="str">
        <f>Cleaning!H308</f>
        <v>aplikasi strees kalo gabisa gini kalo yg coding org awam kasian rakyat di kerjain</v>
      </c>
      <c r="B300" s="21" t="str">
        <f>IFERROR(__xludf.DUMMYFUNCTION("REGEXREPLACE(A300,"" "","", "")"),"aplikasi, strees, kalo, gabisa, gini, kalo, yg, coding, org, awam, kasian, rakyat, di, kerjain")</f>
        <v>aplikasi, strees, kalo, gabisa, gini, kalo, yg, coding, org, awam, kasian, rakyat, di, kerjain</v>
      </c>
    </row>
    <row r="301">
      <c r="A301" s="17" t="str">
        <f>Cleaning!H309</f>
        <v>apa benar apk ini dari dinas sosialkok bisa mau mengajukan eror mulu bisa di perbaiki gak apk ini biar bisa bantu masyarakat yg lagi kesusahanbiar gak ada keluhan</v>
      </c>
      <c r="B301" s="21" t="str">
        <f>IFERROR(__xludf.DUMMYFUNCTION("REGEXREPLACE(A301,"" "","", "")"),"apa, benar, apk, ini, dari, dinas, sosialkok, bisa, mau, mengajukan, eror, mulu, bisa, di, perbaiki, gak, apk, ini, biar, bisa, bantu, masyarakat, yg, lagi, kesusahanbiar, gak, ada, keluhan")</f>
        <v>apa, benar, apk, ini, dari, dinas, sosialkok, bisa, mau, mengajukan, eror, mulu, bisa, di, perbaiki, gak, apk, ini, biar, bisa, bantu, masyarakat, yg, lagi, kesusahanbiar, gak, ada, keluhan</v>
      </c>
    </row>
    <row r="302">
      <c r="A302" s="17" t="str">
        <f>Cleaning!H310</f>
        <v>di update malahan gak bjsa login haduhhh</v>
      </c>
      <c r="B302" s="21" t="str">
        <f>IFERROR(__xludf.DUMMYFUNCTION("REGEXREPLACE(A302,"" "","", "")"),"di, update, malahan, gak, bjsa, login, haduhhh")</f>
        <v>di, update, malahan, gak, bjsa, login, haduhhh</v>
      </c>
    </row>
    <row r="303">
      <c r="A303" s="17" t="str">
        <f>Cleaning!H311</f>
        <v>ko pas buat akun tulisan nya error json parsegitu terus padahl isi data buat akun nya udah komplit</v>
      </c>
      <c r="B303" s="21" t="str">
        <f>IFERROR(__xludf.DUMMYFUNCTION("REGEXREPLACE(A303,"" "","", "")"),"ko, pas, buat, akun, tulisan, nya, error, json, parsegitu, terus, padahl, isi, data, buat, akun, nya, udah, komplit")</f>
        <v>ko, pas, buat, akun, tulisan, nya, error, json, parsegitu, terus, padahl, isi, data, buat, akun, nya, udah, komplit</v>
      </c>
    </row>
    <row r="304">
      <c r="A304" s="17" t="str">
        <f>Cleaning!H312</f>
        <v>terimakasih karna aplikasi cek bansos ini membuat otks cukupp terbantu</v>
      </c>
      <c r="B304" s="21" t="str">
        <f>IFERROR(__xludf.DUMMYFUNCTION("REGEXREPLACE(A304,"" "","", "")"),"terimakasih, karna, aplikasi, cek, bansos, ini, membuat, otks, cukupp, terbantu")</f>
        <v>terimakasih, karna, aplikasi, cek, bansos, ini, membuat, otks, cukupp, terbantu</v>
      </c>
    </row>
    <row r="305">
      <c r="A305" s="17" t="str">
        <f>Cleaning!H313</f>
        <v>untuk publik rakyat indonesia jangan setengahsetengah dong kalau bikin aplikasi</v>
      </c>
      <c r="B305" s="21" t="str">
        <f>IFERROR(__xludf.DUMMYFUNCTION("REGEXREPLACE(A305,"" "","", "")"),"untuk, publik, rakyat, indonesia, jangan, setengahsetengah, dong, kalau, bikin, aplikasi")</f>
        <v>untuk, publik, rakyat, indonesia, jangan, setengahsetengah, dong, kalau, bikin, aplikasi</v>
      </c>
    </row>
    <row r="306">
      <c r="A306" s="17" t="str">
        <f>Cleaning!H314</f>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c r="B306" s="21" t="str">
        <f>IFERROR(__xludf.DUMMYFUNCTION("REGEXREPLACE(A306,"" "","", "")"),"berkali, coba, buat, akun, tpi, selalu, ngga, bisa, ku, kira, masalah, jaringan, tapi, setelah, melihat, rating, ulasan, nya, ternyata, memang, applikasi, nya, yg, tidak, berguna, pdahal, ini, cara, yg, mudah, buat, dapat, bantuan, karna, klo, nunggu, ban"&amp;"tuan, dari, desa, boro, smpe, lebaran, monyet, mun, ngga, nyampe")</f>
        <v>berkali, coba, buat, akun, tpi, selalu, ngga, bisa, ku, kira, masalah, jaringan, tapi, setelah, melihat, rating, ulasan, nya, ternyata, memang, applikasi, nya, yg, tidak, berguna, pdahal, ini, cara, yg, mudah, buat, dapat, bantuan, karna, klo, nunggu, bantuan, dari, desa, boro, smpe, lebaran, monyet, mun, ngga, nyampe</v>
      </c>
    </row>
    <row r="307">
      <c r="A307" s="17" t="str">
        <f>Cleaning!H315</f>
        <v>aplikasi error json parse  developer tidak kompeten sangat parah untuk apk pemerintahan</v>
      </c>
      <c r="B307" s="21" t="str">
        <f>IFERROR(__xludf.DUMMYFUNCTION("REGEXREPLACE(A307,"" "","", "")"),"aplikasi, error, json, parse, , developer, tidak, kompeten, sangat, parah, untuk, apk, pemerintahan")</f>
        <v>aplikasi, error, json, parse, , developer, tidak, kompeten, sangat, parah, untuk, apk, pemerintahan</v>
      </c>
    </row>
    <row r="308">
      <c r="A308" s="17" t="str">
        <f>Cleaning!H316</f>
        <v>udah masukin username sama pasword tp gk bisa login</v>
      </c>
      <c r="B308" s="21" t="str">
        <f>IFERROR(__xludf.DUMMYFUNCTION("REGEXREPLACE(A308,"" "","", "")"),"udah, masukin, username, sama, pasword, tp, gk, bisa, login")</f>
        <v>udah, masukin, username, sama, pasword, tp, gk, bisa, login</v>
      </c>
    </row>
    <row r="309">
      <c r="A309" s="17" t="str">
        <f>Cleaning!H317</f>
        <v>error yach  saat baru buat akun baru malah selalu tulisannya connection error padahal signal hp bagus bagus melambung tinggi setinggi bbm developer tolong perbaiki sementara saya kasih  bintang azah btw jangan sampai data pribadi tersebar gegara aplikasinya error</v>
      </c>
      <c r="B309" s="21" t="str">
        <f>IFERROR(__xludf.DUMMYFUNCTION("REGEXREPLACE(A309,"" "","", "")"),"error, yach, , saat, baru, buat, akun, baru, malah, selalu, tulisannya, connection, error, padahal, signal, hp, bagus, bagus, melambung, tinggi, setinggi, bbm, developer, tolong, perbaiki, sementara, saya, kasih, , bintang, azah, btw, jangan, sampai, data"&amp;", pribadi, tersebar, gegara, aplikasinya, error")</f>
        <v>error, yach, , saat, baru, buat, akun, baru, malah, selalu, tulisannya, connection, error, padahal, signal, hp, bagus, bagus, melambung, tinggi, setinggi, bbm, developer, tolong, perbaiki, sementara, saya, kasih, , bintang, azah, btw, jangan, sampai, data, pribadi, tersebar, gegara, aplikasinya, error</v>
      </c>
    </row>
    <row r="310">
      <c r="A310" s="17" t="str">
        <f>Cleaning!H318</f>
        <v>aplikasi gk bisa masuk gk jalan masuk atau tdk bisa infoin kl gk minat bantu gk usah buat gini kl keamanannya masih bisa d bobol dan tdk ada niat memperbaikinya mala sibuk menyalakan aneh</v>
      </c>
      <c r="B310" s="21" t="str">
        <f>IFERROR(__xludf.DUMMYFUNCTION("REGEXREPLACE(A310,"" "","", "")"),"aplikasi, gk, bisa, masuk, gk, jalan, masuk, atau, tdk, bisa, infoin, kl, gk, minat, bantu, gk, usah, buat, gini, kl, keamanannya, masih, bisa, d, bobol, dan, tdk, ada, niat, memperbaikinya, mala, sibuk, menyalakan, aneh")</f>
        <v>aplikasi, gk, bisa, masuk, gk, jalan, masuk, atau, tdk, bisa, infoin, kl, gk, minat, bantu, gk, usah, buat, gini, kl, keamanannya, masih, bisa, d, bobol, dan, tdk, ada, niat, memperbaikinya, mala, sibuk, menyalakan, aneh</v>
      </c>
    </row>
    <row r="311">
      <c r="A311" s="17" t="str">
        <f>Cleaning!H319</f>
        <v>aplikasi erorrtolong segera di perbaiki login selalu gagal dan muncul terus notifikasi erorr json parse  koneksi gagal di layar aplikasi  dari update terakhir bulan maret koq sama sekali tidak ada perbaikan malah makin parah aja ni aplikasi</v>
      </c>
      <c r="B311" s="21" t="str">
        <f>IFERROR(__xludf.DUMMYFUNCTION("REGEXREPLACE(A311,"" "","", "")"),"aplikasi, erorrtolong, segera, di, perbaiki, login, selalu, gagal, dan, muncul, terus, notifikasi, erorr, json, parse, , koneksi, gagal, di, layar, aplikasi, , dari, update, terakhir, bulan, maret, koq, sama, sekali, tidak, ada, perbaikan, malah, makin, p"&amp;"arah, aja, ni, aplikasi")</f>
        <v>aplikasi, erorrtolong, segera, di, perbaiki, login, selalu, gagal, dan, muncul, terus, notifikasi, erorr, json, parse, , koneksi, gagal, di, layar, aplikasi, , dari, update, terakhir, bulan, maret, koq, sama, sekali, tidak, ada, perbaikan, malah, makin, parah, aja, ni, aplikasi</v>
      </c>
    </row>
    <row r="312">
      <c r="A312" s="17" t="str">
        <f>Cleaning!H320</f>
        <v>tidak bisa login ereor terus</v>
      </c>
      <c r="B312" s="21" t="str">
        <f>IFERROR(__xludf.DUMMYFUNCTION("REGEXREPLACE(A312,"" "","", "")"),"tidak, bisa, login, ereor, terus")</f>
        <v>tidak, bisa, login, ereor, terus</v>
      </c>
    </row>
    <row r="313">
      <c r="A313" s="17" t="str">
        <f>Cleaning!H321</f>
        <v>sudah nunggu email aktivasinya lama sekali dapat untuk login aja gabisabisa muncul tulisan koneksi tidak bagus aneh banget kenapa dengan aplikasi sekelas pemerintah bgini tolong cepat diperbaiki</v>
      </c>
      <c r="B313" s="21" t="str">
        <f>IFERROR(__xludf.DUMMYFUNCTION("REGEXREPLACE(A313,"" "","", "")"),"sudah, nunggu, email, aktivasinya, lama, sekali, dapat, untuk, login, aja, gabisabisa, muncul, tulisan, koneksi, tidak, bagus, aneh, banget, kenapa, dengan, aplikasi, sekelas, pemerintah, bgini, tolong, cepat, diperbaiki")</f>
        <v>sudah, nunggu, email, aktivasinya, lama, sekali, dapat, untuk, login, aja, gabisabisa, muncul, tulisan, koneksi, tidak, bagus, aneh, banget, kenapa, dengan, aplikasi, sekelas, pemerintah, bgini, tolong, cepat, diperbaiki</v>
      </c>
    </row>
    <row r="314">
      <c r="A314" s="17" t="str">
        <f>Cleaning!H322</f>
        <v>kenapa saya mau pengusulan mandiri selalu terjadi eror mohon untuk memperbaiki nya segera</v>
      </c>
      <c r="B314" s="21" t="str">
        <f>IFERROR(__xludf.DUMMYFUNCTION("REGEXREPLACE(A314,"" "","", "")"),"kenapa, saya, mau, pengusulan, mandiri, selalu, terjadi, eror, mohon, untuk, memperbaiki, nya, segera")</f>
        <v>kenapa, saya, mau, pengusulan, mandiri, selalu, terjadi, eror, mohon, untuk, memperbaiki, nya, segera</v>
      </c>
    </row>
    <row r="315">
      <c r="A315" s="17" t="str">
        <f>Cleaning!H323</f>
        <v>gak bisa cek datasaat aktif gps</v>
      </c>
      <c r="B315" s="21" t="str">
        <f>IFERROR(__xludf.DUMMYFUNCTION("REGEXREPLACE(A315,"" "","", "")"),"gak, bisa, cek, datasaat, aktif, gps")</f>
        <v>gak, bisa, cek, datasaat, aktif, gps</v>
      </c>
    </row>
    <row r="316">
      <c r="A316" s="17" t="str">
        <f>Cleaning!H324</f>
        <v>jangan download aplikasi error semua gak bisa dipakai</v>
      </c>
      <c r="B316" s="21" t="str">
        <f>IFERROR(__xludf.DUMMYFUNCTION("REGEXREPLACE(A316,"" "","", "")"),"jangan, download, aplikasi, error, semua, gak, bisa, dipakai")</f>
        <v>jangan, download, aplikasi, error, semua, gak, bisa, dipakai</v>
      </c>
    </row>
    <row r="317">
      <c r="A317" s="17" t="str">
        <f>Cleaning!H325</f>
        <v>aplikasi apaan ini benar benar ga ngebantu kata ga ada koneksi pakai wifi coba pakai data loginnya lama kali ga bisa bisa padahal saya sudah dapat email sukses aktivasi tapi malah ga bisa login muter² mulu</v>
      </c>
      <c r="B317" s="21" t="str">
        <f>IFERROR(__xludf.DUMMYFUNCTION("REGEXREPLACE(A317,"" "","", "")"),"aplikasi, apaan, ini, benar, benar, ga, ngebantu, kata, ga, ada, koneksi, pakai, wifi, coba, pakai, data, loginnya, lama, kali, ga, bisa, bisa, padahal, saya, sudah, dapat, email, sukses, aktivasi, tapi, malah, ga, bisa, login, muter², mulu")</f>
        <v>aplikasi, apaan, ini, benar, benar, ga, ngebantu, kata, ga, ada, koneksi, pakai, wifi, coba, pakai, data, loginnya, lama, kali, ga, bisa, bisa, padahal, saya, sudah, dapat, email, sukses, aktivasi, tapi, malah, ga, bisa, login, muter², mulu</v>
      </c>
    </row>
    <row r="318">
      <c r="A318" s="17" t="str">
        <f>Cleaning!H326</f>
        <v>kecewa tidak bisa reg dan login padahal butuh untuk daftar bansos karena petugas desa todak pernah menyampaikan info apa pun perihal bansos dan lain nya saat ditanya selali jawab gkk tau</v>
      </c>
      <c r="B318" s="21" t="str">
        <f>IFERROR(__xludf.DUMMYFUNCTION("REGEXREPLACE(A318,"" "","", "")"),"kecewa, tidak, bisa, reg, dan, login, padahal, butuh, untuk, daftar, bansos, karena, petugas, desa, todak, pernah, menyampaikan, info, apa, pun, perihal, bansos, dan, lain, nya, saat, ditanya, selali, jawab, gkk, tau")</f>
        <v>kecewa, tidak, bisa, reg, dan, login, padahal, butuh, untuk, daftar, bansos, karena, petugas, desa, todak, pernah, menyampaikan, info, apa, pun, perihal, bansos, dan, lain, nya, saat, ditanya, selali, jawab, gkk, tau</v>
      </c>
    </row>
    <row r="319">
      <c r="A319" s="17" t="str">
        <f>Cleaning!H327</f>
        <v>siap dftr tp gak bosa log in di aplikasi ini selalu eror dan eror</v>
      </c>
      <c r="B319" s="21" t="str">
        <f>IFERROR(__xludf.DUMMYFUNCTION("REGEXREPLACE(A319,"" "","", "")"),"siap, dftr, tp, gak, bosa, log, in, di, aplikasi, ini, selalu, eror, dan, eror")</f>
        <v>siap, dftr, tp, gak, bosa, log, in, di, aplikasi, ini, selalu, eror, dan, eror</v>
      </c>
    </row>
    <row r="320">
      <c r="A320" s="17" t="str">
        <f>Cleaning!H328</f>
        <v>niat ngasih bantuan gak usah pake aplikasi banyak orang tua yang awam akan teknologi dengan cara spt ini yg kaya pun bisa mengakses otomatis tidak akan merata tydak ramah dan mempersulit auto bintang satu</v>
      </c>
      <c r="B320" s="21" t="str">
        <f>IFERROR(__xludf.DUMMYFUNCTION("REGEXREPLACE(A320,"" "","", "")"),"niat, ngasih, bantuan, gak, usah, pake, aplikasi, banyak, orang, tua, yang, awam, akan, teknologi, dengan, cara, spt, ini, yg, kaya, pun, bisa, mengakses, otomatis, tidak, akan, merata, tydak, ramah, dan, mempersulit, auto, bintang, satu")</f>
        <v>niat, ngasih, bantuan, gak, usah, pake, aplikasi, banyak, orang, tua, yang, awam, akan, teknologi, dengan, cara, spt, ini, yg, kaya, pun, bisa, mengakses, otomatis, tidak, akan, merata, tydak, ramah, dan, mempersulit, auto, bintang, satu</v>
      </c>
    </row>
    <row r="321">
      <c r="A321" s="17" t="str">
        <f>Cleaning!H329</f>
        <v>udah daftar terus udh bisa tp tetp ga bisa di buka</v>
      </c>
      <c r="B321" s="21" t="str">
        <f>IFERROR(__xludf.DUMMYFUNCTION("REGEXREPLACE(A321,"" "","", "")"),"udah, daftar, terus, udh, bisa, tp, tetp, ga, bisa, di, buka")</f>
        <v>udah, daftar, terus, udh, bisa, tp, tetp, ga, bisa, di, buka</v>
      </c>
    </row>
    <row r="322">
      <c r="A322" s="17" t="str">
        <f>Cleaning!H330</f>
        <v>sama seperti keluhan yg lain kenapa ya aplikasi eror mohon pihak pengembang segera diperbaiki terimakasih</v>
      </c>
      <c r="B322" s="21" t="str">
        <f>IFERROR(__xludf.DUMMYFUNCTION("REGEXREPLACE(A322,"" "","", "")"),"sama, seperti, keluhan, yg, lain, kenapa, ya, aplikasi, eror, mohon, pihak, pengembang, segera, diperbaiki, terimakasih")</f>
        <v>sama, seperti, keluhan, yg, lain, kenapa, ya, aplikasi, eror, mohon, pihak, pengembang, segera, diperbaiki, terimakasih</v>
      </c>
    </row>
    <row r="323">
      <c r="A323" s="17" t="str">
        <f>Cleaning!H331</f>
        <v>sangat mengecewakan aplikasinya giliran mau login gak bisa bisa masuk muter terus apk nya kalau tidak niat membantu masyarakat jangan dibuat aplikasi seperti ini dong kan tujuannya untuk membantu dampak bbm dan lain lain kan</v>
      </c>
      <c r="B323" s="21" t="str">
        <f>IFERROR(__xludf.DUMMYFUNCTION("REGEXREPLACE(A323,"" "","", "")"),"sangat, mengecewakan, aplikasinya, giliran, mau, login, gak, bisa, bisa, masuk, muter, terus, apk, nya, kalau, tidak, niat, membantu, masyarakat, jangan, dibuat, aplikasi, seperti, ini, dong, kan, tujuannya, untuk, membantu, dampak, bbm, dan, lain, lain, "&amp;"kan")</f>
        <v>sangat, mengecewakan, aplikasinya, giliran, mau, login, gak, bisa, bisa, masuk, muter, terus, apk, nya, kalau, tidak, niat, membantu, masyarakat, jangan, dibuat, aplikasi, seperti, ini, dong, kan, tujuannya, untuk, membantu, dampak, bbm, dan, lain, lain, kan</v>
      </c>
    </row>
    <row r="324">
      <c r="A324" s="17" t="str">
        <f>Cleaning!H332</f>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c r="B324" s="21" t="str">
        <f>IFERROR(__xludf.DUMMYFUNCTION("REGEXREPLACE(A324,"" "","", "")"),"sekelas, aplikasi, pemerintah, kurang, optimal, setelah, melakukan, registrasi, berhasil, aplikasi, langsung, ke, menu, login, begitu, login, akun, tidak, terdaftar, padahal, sudah, berhasil, pemilihan, upload, foto, tidak, bisa, melalui, galeri, sehingga"&amp;", kalau, gagal, pendaftaran, harus, foto, berulang, ulah, payah, banget, semua, berkaitan, pemerintah, gak, ada, yg, bener, masyarakat, di, buat, pusing, dan, ribet")</f>
        <v>sekelas, aplikasi, pemerintah, kurang, optimal, setelah, melakukan, registrasi, berhasil, aplikasi, langsung, ke, menu, login, begitu, login, akun, tidak, terdaftar, padahal, sudah, berhasil, pemilihan, upload, foto, tidak, bisa, melalui, galeri, sehingga, kalau, gagal, pendaftaran, harus, foto, berulang, ulah, payah, banget, semua, berkaitan, pemerintah, gak, ada, yg, bener, masyarakat, di, buat, pusing, dan, ribet</v>
      </c>
    </row>
    <row r="325">
      <c r="A325" s="17" t="str">
        <f>Cleaning!H333</f>
        <v>daftar akun error saat klik provinsi tampil pop up bla bla bla gak jelas diulang berkali kali tetap kalau bikin aplikasi cek dulu kelayakannya saat diterbitkan biar tidak menyusahkan</v>
      </c>
      <c r="B325" s="21" t="str">
        <f>IFERROR(__xludf.DUMMYFUNCTION("REGEXREPLACE(A325,"" "","", "")"),"daftar, akun, error, saat, klik, provinsi, tampil, pop, up, bla, bla, bla, gak, jelas, diulang, berkali, kali, tetap, kalau, bikin, aplikasi, cek, dulu, kelayakannya, saat, diterbitkan, biar, tidak, menyusahkan")</f>
        <v>daftar, akun, error, saat, klik, provinsi, tampil, pop, up, bla, bla, bla, gak, jelas, diulang, berkali, kali, tetap, kalau, bikin, aplikasi, cek, dulu, kelayakannya, saat, diterbitkan, biar, tidak, menyusahkan</v>
      </c>
    </row>
    <row r="326">
      <c r="A326" s="17" t="str">
        <f>Cleaning!H334</f>
        <v>aplikasi susah dibukanya gagal terus perbaharui biar gampang</v>
      </c>
      <c r="B326" s="21" t="str">
        <f>IFERROR(__xludf.DUMMYFUNCTION("REGEXREPLACE(A326,"" "","", "")"),"aplikasi, susah, dibukanya, gagal, terus, perbaharui, biar, gampang")</f>
        <v>aplikasi, susah, dibukanya, gagal, terus, perbaharui, biar, gampang</v>
      </c>
    </row>
    <row r="327">
      <c r="A327" s="17" t="str">
        <f>Cleaning!H335</f>
        <v>mau daftarin ibu saya susah kali ada masalah gangguan terus sekiranya kalo ada bug tolong segera diperbaiki kami butuh banget  inikan aplikasi dari pemerintah yang download juga banyak kenapa nggak diperbaiki apa kualitasnya seperti ini saya ingin pembagiannua yg merata kenapa selalu tidak tepat sasaran</v>
      </c>
      <c r="B327" s="21" t="str">
        <f>IFERROR(__xludf.DUMMYFUNCTION("REGEXREPLACE(A327,"" "","", "")"),"mau, daftarin, ibu, saya, susah, kali, ada, masalah, gangguan, terus, sekiranya, kalo, ada, bug, tolong, segera, diperbaiki, kami, butuh, banget, , inikan, aplikasi, dari, pemerintah, yang, download, juga, banyak, kenapa, nggak, diperbaiki, apa, kualitasn"&amp;"ya, seperti, ini, saya, ingin, pembagiannua, yg, merata, kenapa, selalu, tidak, tepat, sasaran")</f>
        <v>mau, daftarin, ibu, saya, susah, kali, ada, masalah, gangguan, terus, sekiranya, kalo, ada, bug, tolong, segera, diperbaiki, kami, butuh, banget, , inikan, aplikasi, dari, pemerintah, yang, download, juga, banyak, kenapa, nggak, diperbaiki, apa, kualitasnya, seperti, ini, saya, ingin, pembagiannua, yg, merata, kenapa, selalu, tidak, tepat, sasaran</v>
      </c>
    </row>
    <row r="328">
      <c r="A328" s="17" t="str">
        <f>Cleaning!H336</f>
        <v>niat ga sihhhhh mau log in ja setengah mati sendiri susahnya eerror mulu jawabannya</v>
      </c>
      <c r="B328" s="21" t="str">
        <f>IFERROR(__xludf.DUMMYFUNCTION("REGEXREPLACE(A328,"" "","", "")"),"niat, ga, sihhhhh, mau, log, in, ja, setengah, mati, sendiri, susahnya, eerror, mulu, jawabannya")</f>
        <v>niat, ga, sihhhhh, mau, log, in, ja, setengah, mati, sendiri, susahnya, eerror, mulu, jawabannya</v>
      </c>
    </row>
    <row r="329">
      <c r="A329" s="17" t="str">
        <f>Cleaning!H337</f>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c r="B329" s="21" t="str">
        <f>IFERROR(__xludf.DUMMYFUNCTION("REGEXREPLACE(A329,"" "","", "")"),"mantapp, aplikasi, nya, sangat, membantu, jangan, pernah, mau, download, apl, ini, apl, ini, hanya, mencuri, data, pribadi, dan, tidak, ber, jalan, sesuai, mestinya, ketika, kita, suruh, register, dan, masukan, semua, data, baik, kk, dan, ktp, beserta, fo"&amp;"to, sudah, dan, klik, daftar, ada, opsi, akun, ada, berhasil, terdaftar, silahkan, login, dan, ketika, di, loginkan, ternyata, tidak, bisa, malah, ada, baca, an, akun, ada, tidak, terdaftar, dan, ketika, diulang, untuk, register, no, kk, tidak, terdaftar,"&amp;" kan, tholol, semoga, segera, diajab, kalian, aamiin")</f>
        <v>mantapp, aplikasi, nya, sangat, membantu, jangan, pernah, mau, download, apl, ini, apl, ini, hanya, mencuri, data, pribadi, dan, tidak, ber, jalan, sesuai, mestinya, ketika, kita, suruh, register, dan, masukan, semua, data, baik, kk, dan, ktp, beserta, foto, sudah, dan, klik, daftar, ada, opsi, akun, ada, berhasil, terdaftar, silahkan, login, dan, ketika, di, loginkan, ternyata, tidak, bisa, malah, ada, baca, an, akun, ada, tidak, terdaftar, dan, ketika, diulang, untuk, register, no, kk, tidak, terdaftar, kan, tholol, semoga, segera, diajab, kalian, aamiin</v>
      </c>
    </row>
    <row r="330">
      <c r="A330" s="17" t="str">
        <f>Cleaning!H338</f>
        <v>engga berguna lupa user sandi akun jadi abu mau daftar pake kk ktp bedamasih saja tetap eror</v>
      </c>
      <c r="B330" s="21" t="str">
        <f>IFERROR(__xludf.DUMMYFUNCTION("REGEXREPLACE(A330,"" "","", "")"),"engga, berguna, lupa, user, sandi, akun, jadi, abu, mau, daftar, pake, kk, ktp, bedamasih, saja, tetap, eror")</f>
        <v>engga, berguna, lupa, user, sandi, akun, jadi, abu, mau, daftar, pake, kk, ktp, bedamasih, saja, tetap, eror</v>
      </c>
    </row>
    <row r="331">
      <c r="A331" s="17" t="str">
        <f>Cleaning!H339</f>
        <v>aplikasi nya eror tidak bisa di login</v>
      </c>
      <c r="B331" s="21" t="str">
        <f>IFERROR(__xludf.DUMMYFUNCTION("REGEXREPLACE(A331,"" "","", "")"),"aplikasi, nya, eror, tidak, bisa, di, login")</f>
        <v>aplikasi, nya, eror, tidak, bisa, di, login</v>
      </c>
    </row>
    <row r="332">
      <c r="A332" s="17" t="str">
        <f>Cleaning!H340</f>
        <v>secara ga sadar ternyata data kita sangat penting untuk pemilu  sehingga ada pihak yg di untungkan dari data kita apalagi data sudah masuk tapi aplikasi error lost koneksi memang kita itu gampang sekali di bodohi oleh apk semacam ini</v>
      </c>
      <c r="B332" s="21" t="str">
        <f>IFERROR(__xludf.DUMMYFUNCTION("REGEXREPLACE(A332,"" "","", "")"),"secara, ga, sadar, ternyata, data, kita, sangat, penting, untuk, pemilu, , sehingga, ada, pihak, yg, di, untungkan, dari, data, kita, apalagi, data, sudah, masuk, tapi, aplikasi, error, lost, koneksi, memang, kita, itu, gampang, sekali, di, bodohi, oleh, "&amp;"apk, semacam, ini")</f>
        <v>secara, ga, sadar, ternyata, data, kita, sangat, penting, untuk, pemilu, , sehingga, ada, pihak, yg, di, untungkan, dari, data, kita, apalagi, data, sudah, masuk, tapi, aplikasi, error, lost, koneksi, memang, kita, itu, gampang, sekali, di, bodohi, oleh, apk, semacam, ini</v>
      </c>
    </row>
    <row r="333">
      <c r="A333" s="17" t="str">
        <f>Cleaning!H341</f>
        <v>aplikasinya error min tolong diperbaiki </v>
      </c>
      <c r="B333" s="21" t="str">
        <f>IFERROR(__xludf.DUMMYFUNCTION("REGEXREPLACE(A333,"" "","", "")"),"aplikasinya, error, min, tolong, diperbaiki, ")</f>
        <v>aplikasinya, error, min, tolong, diperbaiki, </v>
      </c>
    </row>
    <row r="334">
      <c r="A334" s="17" t="str">
        <f>Cleaning!H342</f>
        <v>saya lupa username dan kata sandibagaimana cara nya masuk kembalimohon bantuan nya daftar baru di tolak karena sudah terdaftar</v>
      </c>
      <c r="B334" s="21" t="str">
        <f>IFERROR(__xludf.DUMMYFUNCTION("REGEXREPLACE(A334,"" "","", "")"),"saya, lupa, username, dan, kata, sandibagaimana, cara, nya, masuk, kembalimohon, bantuan, nya, daftar, baru, di, tolak, karena, sudah, terdaftar")</f>
        <v>saya, lupa, username, dan, kata, sandibagaimana, cara, nya, masuk, kembalimohon, bantuan, nya, daftar, baru, di, tolak, karena, sudah, terdaftar</v>
      </c>
    </row>
    <row r="335">
      <c r="A335" s="17" t="str">
        <f>Cleaning!H343</f>
        <v>aplikasi paling dungoooapk blm sempurna masuk play store</v>
      </c>
      <c r="B335" s="21" t="str">
        <f>IFERROR(__xludf.DUMMYFUNCTION("REGEXREPLACE(A335,"" "","", "")"),"aplikasi, paling, dungoooapk, blm, sempurna, masuk, play, store")</f>
        <v>aplikasi, paling, dungoooapk, blm, sempurna, masuk, play, store</v>
      </c>
    </row>
    <row r="336">
      <c r="A336" s="17" t="str">
        <f>Cleaning!H344</f>
        <v>sangat membantu dan bermanfaat utk rakyat indonesia</v>
      </c>
      <c r="B336" s="21" t="str">
        <f>IFERROR(__xludf.DUMMYFUNCTION("REGEXREPLACE(A336,"" "","", "")"),"sangat, membantu, dan, bermanfaat, utk, rakyat, indonesia")</f>
        <v>sangat, membantu, dan, bermanfaat, utk, rakyat, indonesia</v>
      </c>
    </row>
    <row r="337">
      <c r="A337" s="17" t="str">
        <f>Cleaning!H345</f>
        <v>aplikasi ngga bisa dibuka berjamjam berharihari di coba tetep aja gak bisa login muncul notif periksa koneksi terus padahal kuota masih banyak dan jaringan stabil mirisss</v>
      </c>
      <c r="B337" s="21" t="str">
        <f>IFERROR(__xludf.DUMMYFUNCTION("REGEXREPLACE(A337,"" "","", "")"),"aplikasi, ngga, bisa, dibuka, berjamjam, berharihari, di, coba, tetep, aja, gak, bisa, login, muncul, notif, periksa, koneksi, terus, padahal, kuota, masih, banyak, dan, jaringan, stabil, mirisss")</f>
        <v>aplikasi, ngga, bisa, dibuka, berjamjam, berharihari, di, coba, tetep, aja, gak, bisa, login, muncul, notif, periksa, koneksi, terus, padahal, kuota, masih, banyak, dan, jaringan, stabil, mirisss</v>
      </c>
    </row>
    <row r="338">
      <c r="A338" s="17" t="str">
        <f>Cleaning!H346</f>
        <v>tolong lah developer  mau daftar aja susah boroboro mau masuk lalu cek bansos</v>
      </c>
      <c r="B338" s="21" t="str">
        <f>IFERROR(__xludf.DUMMYFUNCTION("REGEXREPLACE(A338,"" "","", "")"),"tolong, lah, developer, , mau, daftar, aja, susah, boroboro, mau, masuk, lalu, cek, bansos")</f>
        <v>tolong, lah, developer, , mau, daftar, aja, susah, boroboro, mau, masuk, lalu, cek, bansos</v>
      </c>
    </row>
    <row r="339">
      <c r="A339" s="17" t="str">
        <f>Cleaning!H347</f>
        <v>sudah perifikasi ga bisa login aplikasi yg bagus</v>
      </c>
      <c r="B339" s="21" t="str">
        <f>IFERROR(__xludf.DUMMYFUNCTION("REGEXREPLACE(A339,"" "","", "")"),"sudah, perifikasi, ga, bisa, login, aplikasi, yg, bagus")</f>
        <v>sudah, perifikasi, ga, bisa, login, aplikasi, yg, bagus</v>
      </c>
    </row>
    <row r="340">
      <c r="A340" s="17" t="str">
        <f>Cleaning!H348</f>
        <v>aplikasi eror mau daftar juga susah</v>
      </c>
      <c r="B340" s="21" t="str">
        <f>IFERROR(__xludf.DUMMYFUNCTION("REGEXREPLACE(A340,"" "","", "")"),"aplikasi, eror, mau, daftar, juga, susah")</f>
        <v>aplikasi, eror, mau, daftar, juga, susah</v>
      </c>
    </row>
    <row r="341">
      <c r="A341" s="17" t="str">
        <f>Cleaning!H349</f>
        <v>sebenernya ngasuh bintang satupun gak mau karna kualitas aplikasinya buruk sudah daftar tidak kunjung muncul email verifikasi gimana mau cek mau daftar saja aplikasinya sudah tidak berfungsi dengan baik</v>
      </c>
      <c r="B341" s="21" t="str">
        <f>IFERROR(__xludf.DUMMYFUNCTION("REGEXREPLACE(A341,"" "","", "")"),"sebenernya, ngasuh, bintang, satupun, gak, mau, karna, kualitas, aplikasinya, buruk, sudah, daftar, tidak, kunjung, muncul, email, verifikasi, gimana, mau, cek, mau, daftar, saja, aplikasinya, sudah, tidak, berfungsi, dengan, baik")</f>
        <v>sebenernya, ngasuh, bintang, satupun, gak, mau, karna, kualitas, aplikasinya, buruk, sudah, daftar, tidak, kunjung, muncul, email, verifikasi, gimana, mau, cek, mau, daftar, saja, aplikasinya, sudah, tidak, berfungsi, dengan, baik</v>
      </c>
    </row>
    <row r="342">
      <c r="A342" s="17" t="str">
        <f>Cleaning!H350</f>
        <v>begitu banyak apk yg kita download di hp g seribet apk ini mana punya pemerintah lagi saya sudah daftar sudah isi data berkali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c r="B342" s="21" t="str">
        <f>IFERROR(__xludf.DUMMYFUNCTION("REGEXREPLACE(A342,"" "","", "")"),"begitu, banyak, apk, yg, kita, download, di, hp, g, seribet, apk, ini, mana, punya, pemerintah, lagi, saya, sudah, daftar, sudah, isi, data, berkali, sudah, nunggu, juga, akunya, diferivikasi, lewat, email, oleh, dinsos, tapi, tak, kunjung, datang, emailn"&amp;"ya, pas, log, in, g, bisa, log, in, karna, user, id, tidak, terdaftar, jadi, saya, coba, daftar, lagi, isi, data, lengkap, lagi, terakhir, foto, ktp, dan, swafoto, log, in, lagi, ehh, g, bisa, lagi, saya, pun, jadi, pusing, gimana, caranya")</f>
        <v>begitu, banyak, apk, yg, kita, download, di, hp, g, seribet, apk, ini, mana, punya, pemerintah, lagi, saya, sudah, daftar, sudah, isi, data, berkali, sudah, nunggu, juga, akunya, diferivikasi, lewat, email, oleh, dinsos, tapi, tak, kunjung, datang, emailnya, pas, log, in, g, bisa, log, in, karna, user, id, tidak, terdaftar, jadi, saya, coba, daftar, lagi, isi, data, lengkap, lagi, terakhir, foto, ktp, dan, swafoto, log, in, lagi, ehh, g, bisa, lagi, saya, pun, jadi, pusing, gimana, caranya</v>
      </c>
    </row>
    <row r="343">
      <c r="A343" s="17" t="str">
        <f>Cleaning!H351</f>
        <v>apa bnpt bisa di hapus dengan aplikasi ini karna sebenarnya saya tdk mendapatkan bantuan tp klo di cek bansos nya ada tiap bln dan ingin hapus tanpa hra ngurus ke desa krn males</v>
      </c>
      <c r="B343" s="21" t="str">
        <f>IFERROR(__xludf.DUMMYFUNCTION("REGEXREPLACE(A343,"" "","", "")"),"apa, bnpt, bisa, di, hapus, dengan, aplikasi, ini, karna, sebenarnya, saya, tdk, mendapatkan, bantuan, tp, klo, di, cek, bansos, nya, ada, tiap, bln, dan, ingin, hapus, tanpa, hra, ngurus, ke, desa, krn, males")</f>
        <v>apa, bnpt, bisa, di, hapus, dengan, aplikasi, ini, karna, sebenarnya, saya, tdk, mendapatkan, bantuan, tp, klo, di, cek, bansos, nya, ada, tiap, bln, dan, ingin, hapus, tanpa, hra, ngurus, ke, desa, krn, males</v>
      </c>
    </row>
    <row r="344">
      <c r="A344" s="17" t="str">
        <f>Cleaning!H352</f>
        <v>saya kasih bintang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c r="B344" s="21" t="str">
        <f>IFERROR(__xludf.DUMMYFUNCTION("REGEXREPLACE(A344,"" "","", "")"),"saya, kasih, bintang, , supaya, lebih, semangat, lagi, untuk, memperbaiki, aplikasinya, tapi, mohon, maaf, aplikasinya, masih, belum, bisa, digunakan, saya, sudah, beberapa, kali, mencoba, memilih, provinsikabupaten, kelurahan, tetap, tidak, bisa, sedangk"&amp;"an, data, lain, sudah, terisi, katanya, tidak, ada, koneksi, padahal, kuota, saya, masih, banyak, tolong, diperbaiki, lagi, supaya, bisa, digunakan, oleh, orang, yang, membutuhkan, semagat, ")</f>
        <v>saya, kasih, bintang, , supaya, lebih, semangat, lagi, untuk, memperbaiki, aplikasinya, tapi, mohon, maaf, aplikasinya, masih, belum, bisa, digunakan, saya, sudah, beberapa, kali, mencoba, memilih, provinsikabupaten, kelurahan, tetap, tidak, bisa, sedangkan, data, lain, sudah, terisi, katanya, tidak, ada, koneksi, padahal, kuota, saya, masih, banyak, tolong, diperbaiki, lagi, supaya, bisa, digunakan, oleh, orang, yang, membutuhkan, semagat, </v>
      </c>
    </row>
    <row r="345">
      <c r="A345" s="17" t="str">
        <f>Cleaning!H353</f>
        <v>kenapa saat mendaftar usulan bansos malah tidak bisa ada keterangan error silah kan hubungi admin</v>
      </c>
      <c r="B345" s="21" t="str">
        <f>IFERROR(__xludf.DUMMYFUNCTION("REGEXREPLACE(A345,"" "","", "")"),"kenapa, saat, mendaftar, usulan, bansos, malah, tidak, bisa, ada, keterangan, error, silah, kan, hubungi, admin")</f>
        <v>kenapa, saat, mendaftar, usulan, bansos, malah, tidak, bisa, ada, keterangan, error, silah, kan, hubungi, admin</v>
      </c>
    </row>
    <row r="346">
      <c r="A346" s="17" t="str">
        <f>Cleaning!H354</f>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c r="B346" s="21" t="str">
        <f>IFERROR(__xludf.DUMMYFUNCTION("REGEXREPLACE(A346,"" "","", "")"),"selaku, generasi, muda, yang, berkecimpung, di, dunia, teknologi, digital, saya, sangat, miris, dengan, debut, aplikasi, dari, kemensos, mohon, segera, ditinjau, kembali, dan, di, maintenance, secepatnya, segala, sesuatu, yang, menjadi, kekurangan, aplika"&amp;"si, ini, dan, sebelum, kembali, di, publish, tolong, untuk, di, beta, test, dulu, agar, tidak, ada, kekurangan, yang, berlanjut, terimakasih, negeri, ku")</f>
        <v>selaku, generasi, muda, yang, berkecimpung, di, dunia, teknologi, digital, saya, sangat, miris, dengan, debut, aplikasi, dari, kemensos, mohon, segera, ditinjau, kembali, dan, di, maintenance, secepatnya, segala, sesuatu, yang, menjadi, kekurangan, aplikasi, ini, dan, sebelum, kembali, di, publish, tolong, untuk, di, beta, test, dulu, agar, tidak, ada, kekurangan, yang, berlanjut, terimakasih, negeri, ku</v>
      </c>
    </row>
    <row r="347">
      <c r="A347" s="17" t="str">
        <f>Cleaning!H355</f>
        <v>sya kasi bintang  karna saya baru tau dan baru daftar dan setelah saya mau daftar data saya semua suda lengkap besrta foto tiba klik daftar akun yang muncul tulisan erorjason parse kenapa bisa begitu apkah saya tidak bisa mendaftarkan diri</v>
      </c>
      <c r="B347" s="21" t="str">
        <f>IFERROR(__xludf.DUMMYFUNCTION("REGEXREPLACE(A347,"" "","", "")"),"sya, kasi, bintang, , karna, saya, baru, tau, dan, baru, daftar, dan, setelah, saya, mau, daftar, data, saya, semua, suda, lengkap, besrta, foto, tiba, klik, daftar, akun, yang, muncul, tulisan, erorjason, parse, kenapa, bisa, begitu, apkah, saya, tidak, "&amp;"bisa, mendaftarkan, diri")</f>
        <v>sya, kasi, bintang, , karna, saya, baru, tau, dan, baru, daftar, dan, setelah, saya, mau, daftar, data, saya, semua, suda, lengkap, besrta, foto, tiba, klik, daftar, akun, yang, muncul, tulisan, erorjason, parse, kenapa, bisa, begitu, apkah, saya, tidak, bisa, mendaftarkan, diri</v>
      </c>
    </row>
    <row r="348">
      <c r="A348" s="17" t="str">
        <f>Cleaning!H356</f>
        <v>sudah terdaftar tapi susah masuk</v>
      </c>
      <c r="B348" s="21" t="str">
        <f>IFERROR(__xludf.DUMMYFUNCTION("REGEXREPLACE(A348,"" "","", "")"),"sudah, terdaftar, tapi, susah, masuk")</f>
        <v>sudah, terdaftar, tapi, susah, masuk</v>
      </c>
    </row>
    <row r="349">
      <c r="A349" s="17" t="str">
        <f>Cleaning!H357</f>
        <v>gak guna sayangin budget aja bikin aplikasi seperti ini mimin nya aja ga ada tanggapan diawal kan sudah mengajukan via apk ini seharusnya ada deadline data pengajuan yg diproses terus notif di email berhak dapat atau tidak kan udah isi email</v>
      </c>
      <c r="B349" s="21" t="str">
        <f>IFERROR(__xludf.DUMMYFUNCTION("REGEXREPLACE(A349,"" "","", "")"),"gak, guna, sayangin, budget, aja, bikin, aplikasi, seperti, ini, mimin, nya, aja, ga, ada, tanggapan, diawal, kan, sudah, mengajukan, via, apk, ini, seharusnya, ada, deadline, data, pengajuan, yg, diproses, terus, notif, di, email, berhak, dapat, atau, ti"&amp;"dak, kan, udah, isi, email")</f>
        <v>gak, guna, sayangin, budget, aja, bikin, aplikasi, seperti, ini, mimin, nya, aja, ga, ada, tanggapan, diawal, kan, sudah, mengajukan, via, apk, ini, seharusnya, ada, deadline, data, pengajuan, yg, diproses, terus, notif, di, email, berhak, dapat, atau, tidak, kan, udah, isi, email</v>
      </c>
    </row>
    <row r="350">
      <c r="A350" s="17" t="str">
        <f>Cleaning!H358</f>
        <v>aplikasi error hubungi admin tolong dibantu</v>
      </c>
      <c r="B350" s="21" t="str">
        <f>IFERROR(__xludf.DUMMYFUNCTION("REGEXREPLACE(A350,"" "","", "")"),"aplikasi, error, hubungi, admin, tolong, dibantu")</f>
        <v>aplikasi, error, hubungi, admin, tolong, dibantu</v>
      </c>
    </row>
    <row r="351">
      <c r="A351" s="17" t="str">
        <f>Cleaning!H359</f>
        <v>kenapa keterangan saya sudah terdaftar tapi ga bisa login</v>
      </c>
      <c r="B351" s="21" t="str">
        <f>IFERROR(__xludf.DUMMYFUNCTION("REGEXREPLACE(A351,"" "","", "")"),"kenapa, keterangan, saya, sudah, terdaftar, tapi, ga, bisa, login")</f>
        <v>kenapa, keterangan, saya, sudah, terdaftar, tapi, ga, bisa, login</v>
      </c>
    </row>
    <row r="352">
      <c r="A352" s="17" t="str">
        <f>Cleaning!H360</f>
        <v>sudah daftar tapi tidak ada lanjutan padahal mengisi nya sesuai data dgn benar pas dibuka username dan sandi tidak di temukan belum dilakukan antivasimohon solusi nya klu begini tidak membantu justru mempersulit org yg tidak mampu</v>
      </c>
      <c r="B352" s="21" t="str">
        <f>IFERROR(__xludf.DUMMYFUNCTION("REGEXREPLACE(A352,"" "","", "")"),"sudah, daftar, tapi, tidak, ada, lanjutan, padahal, mengisi, nya, sesuai, data, dgn, benar, pas, dibuka, username, dan, sandi, tidak, di, temukan, belum, dilakukan, antivasimohon, solusi, nya, klu, begini, tidak, membantu, justru, mempersulit, org, yg, ti"&amp;"dak, mampu")</f>
        <v>sudah, daftar, tapi, tidak, ada, lanjutan, padahal, mengisi, nya, sesuai, data, dgn, benar, pas, dibuka, username, dan, sandi, tidak, di, temukan, belum, dilakukan, antivasimohon, solusi, nya, klu, begini, tidak, membantu, justru, mempersulit, org, yg, tidak, mampu</v>
      </c>
    </row>
    <row r="353">
      <c r="A353" s="17" t="str">
        <f>Cleaning!H361</f>
        <v>gak bisa daftar  apk error terus</v>
      </c>
      <c r="B353" s="21" t="str">
        <f>IFERROR(__xludf.DUMMYFUNCTION("REGEXREPLACE(A353,"" "","", "")"),"gak, bisa, daftar, , apk, error, terus")</f>
        <v>gak, bisa, daftar, , apk, error, terus</v>
      </c>
    </row>
    <row r="354">
      <c r="A354" s="17" t="str">
        <f>Cleaning!H362</f>
        <v>tidak bisa koneksi ke jaringan</v>
      </c>
      <c r="B354" s="21" t="str">
        <f>IFERROR(__xludf.DUMMYFUNCTION("REGEXREPLACE(A354,"" "","", "")"),"tidak, bisa, koneksi, ke, jaringan")</f>
        <v>tidak, bisa, koneksi, ke, jaringan</v>
      </c>
    </row>
    <row r="355">
      <c r="A355" s="17" t="str">
        <f>Cleaning!H363</f>
        <v>tolng di perbaiki aplikasinya adminmau usulan eror terus aplikasinya</v>
      </c>
      <c r="B355" s="21" t="str">
        <f>IFERROR(__xludf.DUMMYFUNCTION("REGEXREPLACE(A355,"" "","", "")"),"tolng, di, perbaiki, aplikasinya, adminmau, usulan, eror, terus, aplikasinya")</f>
        <v>tolng, di, perbaiki, aplikasinya, adminmau, usulan, eror, terus, aplikasinya</v>
      </c>
    </row>
    <row r="356">
      <c r="A356" s="17" t="str">
        <f>Cleaning!H364</f>
        <v>mending di apus saja lbh bagusgak ada guna sama sekali eror dan eror trsapl cm buat formalitas</v>
      </c>
      <c r="B356" s="21" t="str">
        <f>IFERROR(__xludf.DUMMYFUNCTION("REGEXREPLACE(A356,"" "","", "")"),"mending, di, apus, saja, lbh, bagusgak, ada, guna, sama, sekali, eror, dan, eror, trsapl, cm, buat, formalitas")</f>
        <v>mending, di, apus, saja, lbh, bagusgak, ada, guna, sama, sekali, eror, dan, eror, trsapl, cm, buat, formalitas</v>
      </c>
    </row>
    <row r="357">
      <c r="A357" s="17" t="str">
        <f>Cleaning!H365</f>
        <v>awas aplikasi berbahaya soal nya harus memasukan ktp segala dan selfi ktp juga hati hati aja kita jangan terkecoh sama apk yg harus memasukan data pribadi seperti foto ktp</v>
      </c>
      <c r="B357" s="21" t="str">
        <f>IFERROR(__xludf.DUMMYFUNCTION("REGEXREPLACE(A357,"" "","", "")"),"awas, aplikasi, berbahaya, soal, nya, harus, memasukan, ktp, segala, dan, selfi, ktp, juga, hati, hati, aja, kita, jangan, terkecoh, sama, apk, yg, harus, memasukan, data, pribadi, seperti, foto, ktp")</f>
        <v>awas, aplikasi, berbahaya, soal, nya, harus, memasukan, ktp, segala, dan, selfi, ktp, juga, hati, hati, aja, kita, jangan, terkecoh, sama, apk, yg, harus, memasukan, data, pribadi, seperti, foto, ktp</v>
      </c>
    </row>
    <row r="358">
      <c r="A358" s="17" t="str">
        <f>Cleaning!H366</f>
        <v>aplikasi pemerintah katanya tapi ga bisa di akses ga guna</v>
      </c>
      <c r="B358" s="21" t="str">
        <f>IFERROR(__xludf.DUMMYFUNCTION("REGEXREPLACE(A358,"" "","", "")"),"aplikasi, pemerintah, katanya, tapi, ga, bisa, di, akses, ga, guna")</f>
        <v>aplikasi, pemerintah, katanya, tapi, ga, bisa, di, akses, ga, guna</v>
      </c>
    </row>
    <row r="359">
      <c r="A359" s="17" t="str">
        <f>Cleaning!H367</f>
        <v>mau bikin akun aja susahnha ampun ampun lari kesini mo liat ulasan gak ad yg bagus ulasannya emangduh parah sihhhhhhhhh</v>
      </c>
      <c r="B359" s="21" t="str">
        <f>IFERROR(__xludf.DUMMYFUNCTION("REGEXREPLACE(A359,"" "","", "")"),"mau, bikin, akun, aja, susahnha, ampun, ampun, lari, kesini, mo, liat, ulasan, gak, ad, yg, bagus, ulasannya, emangduh, parah, sihhhhhhhhh")</f>
        <v>mau, bikin, akun, aja, susahnha, ampun, ampun, lari, kesini, mo, liat, ulasan, gak, ad, yg, bagus, ulasannya, emangduh, parah, sihhhhhhhhh</v>
      </c>
    </row>
    <row r="360">
      <c r="A360" s="17" t="str">
        <f>Cleaning!H368</f>
        <v>data semua lenglap tapi ga bisa dibuka</v>
      </c>
      <c r="B360" s="21" t="str">
        <f>IFERROR(__xludf.DUMMYFUNCTION("REGEXREPLACE(A360,"" "","", "")"),"data, semua, lenglap, tapi, ga, bisa, dibuka")</f>
        <v>data, semua, lenglap, tapi, ga, bisa, dibuka</v>
      </c>
    </row>
    <row r="361">
      <c r="A361" s="17" t="str">
        <f>Cleaning!H369</f>
        <v>error json mau usul tetangga ne bukan untuk ku yang bisa daftar ada kh ne aplikasi belum oke</v>
      </c>
      <c r="B361" s="21" t="str">
        <f>IFERROR(__xludf.DUMMYFUNCTION("REGEXREPLACE(A361,"" "","", "")"),"error, json, mau, usul, tetangga, ne, bukan, untuk, ku, yang, bisa, daftar, ada, kh, ne, aplikasi, belum, oke")</f>
        <v>error, json, mau, usul, tetangga, ne, bukan, untuk, ku, yang, bisa, daftar, ada, kh, ne, aplikasi, belum, oke</v>
      </c>
    </row>
    <row r="362">
      <c r="A362" s="17" t="str">
        <f>Cleaning!H370</f>
        <v>intinya kalian jangan berharap lebih pada aplikasi iniyang belum download mending gk usah download aplikasi parahabal servernya dikit eror lah ini lah kalau ada bintang   aq kasih  pokoknya parah banget otw uninstal </v>
      </c>
      <c r="B362" s="21" t="str">
        <f>IFERROR(__xludf.DUMMYFUNCTION("REGEXREPLACE(A362,"" "","", "")"),"intinya, kalian, jangan, berharap, lebih, pada, aplikasi, iniyang, belum, download, mending, gk, usah, download, aplikasi, parahabal, servernya, dikit, eror, lah, ini, lah, kalau, ada, bintang, , , aq, kasih, , pokoknya, parah, banget, otw, uninstal, ")</f>
        <v>intinya, kalian, jangan, berharap, lebih, pada, aplikasi, iniyang, belum, download, mending, gk, usah, download, aplikasi, parahabal, servernya, dikit, eror, lah, ini, lah, kalau, ada, bintang, , , aq, kasih, , pokoknya, parah, banget, otw, uninstal, </v>
      </c>
    </row>
    <row r="363">
      <c r="A363" s="17" t="str">
        <f>Cleaning!H371</f>
        <v>error tolong di perbaiki</v>
      </c>
      <c r="B363" s="21" t="str">
        <f>IFERROR(__xludf.DUMMYFUNCTION("REGEXREPLACE(A363,"" "","", "")"),"error, tolong, di, perbaiki")</f>
        <v>error, tolong, di, perbaiki</v>
      </c>
    </row>
    <row r="364">
      <c r="A364" s="17" t="str">
        <f>Cleaning!H372</f>
        <v>bos knpa aplikasi bisa error</v>
      </c>
      <c r="B364" s="21" t="str">
        <f>IFERROR(__xludf.DUMMYFUNCTION("REGEXREPLACE(A364,"" "","", "")"),"bos, knpa, aplikasi, bisa, error")</f>
        <v>bos, knpa, aplikasi, bisa, error</v>
      </c>
    </row>
    <row r="365">
      <c r="A365" s="17" t="str">
        <f>Cleaning!H373</f>
        <v>ko pas login sllu kluar belum diaktivasi bantuan ny dong</v>
      </c>
      <c r="B365" s="21" t="str">
        <f>IFERROR(__xludf.DUMMYFUNCTION("REGEXREPLACE(A365,"" "","", "")"),"ko, pas, login, sllu, kluar, belum, diaktivasi, bantuan, ny, dong")</f>
        <v>ko, pas, login, sllu, kluar, belum, diaktivasi, bantuan, ny, dong</v>
      </c>
    </row>
    <row r="366">
      <c r="A366" s="17" t="str">
        <f>Cleaning!H374</f>
        <v>kenapa saat daftar akun tidak bisa ya loding terus</v>
      </c>
      <c r="B366" s="21" t="str">
        <f>IFERROR(__xludf.DUMMYFUNCTION("REGEXREPLACE(A366,"" "","", "")"),"kenapa, saat, daftar, akun, tidak, bisa, ya, loding, terus")</f>
        <v>kenapa, saat, daftar, akun, tidak, bisa, ya, loding, terus</v>
      </c>
    </row>
    <row r="367">
      <c r="A367" s="17" t="str">
        <f>Cleaning!H375</f>
        <v>ga bisa login aplikasi sdg eror</v>
      </c>
      <c r="B367" s="21" t="str">
        <f>IFERROR(__xludf.DUMMYFUNCTION("REGEXREPLACE(A367,"" "","", "")"),"ga, bisa, login, aplikasi, sdg, eror")</f>
        <v>ga, bisa, login, aplikasi, sdg, eror</v>
      </c>
    </row>
    <row r="368">
      <c r="A368" s="17" t="str">
        <f>Cleaning!H376</f>
        <v>mau daftar buat login tapi gak bisa eror terussssss</v>
      </c>
      <c r="B368" s="21" t="str">
        <f>IFERROR(__xludf.DUMMYFUNCTION("REGEXREPLACE(A368,"" "","", "")"),"mau, daftar, buat, login, tapi, gak, bisa, eror, terussssss")</f>
        <v>mau, daftar, buat, login, tapi, gak, bisa, eror, terussssss</v>
      </c>
    </row>
    <row r="369">
      <c r="A369" s="17" t="str">
        <f>Cleaning!H377</f>
        <v>eror aktivasi lama sampek sekarang belum juga aktif</v>
      </c>
      <c r="B369" s="21" t="str">
        <f>IFERROR(__xludf.DUMMYFUNCTION("REGEXREPLACE(A369,"" "","", "")"),"eror, aktivasi, lama, sampek, sekarang, belum, juga, aktif")</f>
        <v>eror, aktivasi, lama, sampek, sekarang, belum, juga, aktif</v>
      </c>
    </row>
    <row r="370">
      <c r="A370" s="17" t="str">
        <f>Cleaning!H378</f>
        <v>aplikasinya di buka error teruss</v>
      </c>
      <c r="B370" s="21" t="str">
        <f>IFERROR(__xludf.DUMMYFUNCTION("REGEXREPLACE(A370,"" "","", "")"),"aplikasinya, di, buka, error, teruss")</f>
        <v>aplikasinya, di, buka, error, teruss</v>
      </c>
    </row>
    <row r="371">
      <c r="A371" s="17" t="str">
        <f>Cleaning!H379</f>
        <v>padahal uda di install tapi tetap gak bisa masuk</v>
      </c>
      <c r="B371" s="21" t="str">
        <f>IFERROR(__xludf.DUMMYFUNCTION("REGEXREPLACE(A371,"" "","", "")"),"padahal, uda, di, install, tapi, tetap, gak, bisa, masuk")</f>
        <v>padahal, uda, di, install, tapi, tetap, gak, bisa, masuk</v>
      </c>
    </row>
    <row r="372">
      <c r="A372" s="17" t="str">
        <f>Cleaning!H380</f>
        <v>saat daftar selalu error</v>
      </c>
      <c r="B372" s="21" t="str">
        <f>IFERROR(__xludf.DUMMYFUNCTION("REGEXREPLACE(A372,"" "","", "")"),"saat, daftar, selalu, error")</f>
        <v>saat, daftar, selalu, error</v>
      </c>
    </row>
    <row r="373">
      <c r="A373" s="17" t="str">
        <f>Cleaning!H381</f>
        <v>aplikasi nya kok bisa eror ya mau login tapi eror</v>
      </c>
      <c r="B373" s="21" t="str">
        <f>IFERROR(__xludf.DUMMYFUNCTION("REGEXREPLACE(A373,"" "","", "")"),"aplikasi, nya, kok, bisa, eror, ya, mau, login, tapi, eror")</f>
        <v>aplikasi, nya, kok, bisa, eror, ya, mau, login, tapi, eror</v>
      </c>
    </row>
    <row r="374">
      <c r="A374" s="17" t="str">
        <f>Cleaning!H382</f>
        <v>aplikasi bagus cuman tida bisa masuk elor terus</v>
      </c>
      <c r="B374" s="21" t="str">
        <f>IFERROR(__xludf.DUMMYFUNCTION("REGEXREPLACE(A374,"" "","", "")"),"aplikasi, bagus, cuman, tida, bisa, masuk, elor, terus")</f>
        <v>aplikasi, bagus, cuman, tida, bisa, masuk, elor, terus</v>
      </c>
    </row>
    <row r="375">
      <c r="A375" s="17" t="str">
        <f>Cleaning!H383</f>
        <v>kenapa saya ngak bisa daftar aplikasi orror kecewa banget</v>
      </c>
      <c r="B375" s="21" t="str">
        <f>IFERROR(__xludf.DUMMYFUNCTION("REGEXREPLACE(A375,"" "","", "")"),"kenapa, saya, ngak, bisa, daftar, aplikasi, orror, kecewa, banget")</f>
        <v>kenapa, saya, ngak, bisa, daftar, aplikasi, orror, kecewa, banget</v>
      </c>
    </row>
    <row r="376">
      <c r="A376" s="17" t="str">
        <f>Cleaning!H384</f>
        <v>aplikasi nggak gunaudah semua di isi pendaftaran nyakatanya eror nggak jelas</v>
      </c>
      <c r="B376" s="21" t="str">
        <f>IFERROR(__xludf.DUMMYFUNCTION("REGEXREPLACE(A376,"" "","", "")"),"aplikasi, nggak, gunaudah, semua, di, isi, pendaftaran, nyakatanya, eror, nggak, jelas")</f>
        <v>aplikasi, nggak, gunaudah, semua, di, isi, pendaftaran, nyakatanya, eror, nggak, jelas</v>
      </c>
    </row>
    <row r="377">
      <c r="A377" s="17" t="str">
        <f>Cleaning!H385</f>
        <v>susah daftar akun baru gagal terus mohon diperbaiki</v>
      </c>
      <c r="B377" s="21" t="str">
        <f>IFERROR(__xludf.DUMMYFUNCTION("REGEXREPLACE(A377,"" "","", "")"),"susah, daftar, akun, baru, gagal, terus, mohon, diperbaiki")</f>
        <v>susah, daftar, akun, baru, gagal, terus, mohon, diperbaiki</v>
      </c>
    </row>
    <row r="378">
      <c r="A378" s="17" t="str">
        <f>Cleaning!H386</f>
        <v>engga bisa digunakan sama sekali eror terus</v>
      </c>
      <c r="B378" s="21" t="str">
        <f>IFERROR(__xludf.DUMMYFUNCTION("REGEXREPLACE(A378,"" "","", "")"),"engga, bisa, digunakan, sama, sekali, eror, terus")</f>
        <v>engga, bisa, digunakan, sama, sekali, eror, terus</v>
      </c>
    </row>
    <row r="379">
      <c r="A379" s="17" t="str">
        <f>Cleaning!H387</f>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c r="B379" s="21" t="str">
        <f>IFERROR(__xludf.DUMMYFUNCTION("REGEXREPLACE(A379,"" "","", "")"),"ternyata, gk, saya, sendiri, yang, mengalami, error, json, parse, ya, niat, nya, mau, bantu, masyarakat, atau, gimana, sih, min, tolong, dong, diperbaiki, saya, ingin, daftar, kan, ibu, saya, yang, berpuluh², tahun, gk, pernah, dapat, bantuan, apa, pun, d"&amp;"an, dari, siapa, pun, padahal, kami, hanya, orang, susah, min, tolong, dong, kami, sangat, butuh")</f>
        <v>ternyata, gk, saya, sendiri, yang, mengalami, error, json, parse, ya, niat, nya, mau, bantu, masyarakat, atau, gimana, sih, min, tolong, dong, diperbaiki, saya, ingin, daftar, kan, ibu, saya, yang, berpuluh², tahun, gk, pernah, dapat, bantuan, apa, pun, dan, dari, siapa, pun, padahal, kami, hanya, orang, susah, min, tolong, dong, kami, sangat, butuh</v>
      </c>
    </row>
    <row r="380">
      <c r="A380" s="17" t="str">
        <f>Cleaning!H388</f>
        <v>kk aplikasi y eror y kkngk bisa daftar dan ngk bisa masukmohon solusi ny kk</v>
      </c>
      <c r="B380" s="21" t="str">
        <f>IFERROR(__xludf.DUMMYFUNCTION("REGEXREPLACE(A380,"" "","", "")"),"kk, aplikasi, y, eror, y, kkngk, bisa, daftar, dan, ngk, bisa, masukmohon, solusi, ny, kk")</f>
        <v>kk, aplikasi, y, eror, y, kkngk, bisa, daftar, dan, ngk, bisa, masukmohon, solusi, ny, kk</v>
      </c>
    </row>
    <row r="381">
      <c r="A381" s="17" t="str">
        <f>Cleaning!H389</f>
        <v>bagus tapi seing error utk nambah usulan penerima bantuan tidak bisa</v>
      </c>
      <c r="B381" s="21" t="str">
        <f>IFERROR(__xludf.DUMMYFUNCTION("REGEXREPLACE(A381,"" "","", "")"),"bagus, tapi, seing, error, utk, nambah, usulan, penerima, bantuan, tidak, bisa")</f>
        <v>bagus, tapi, seing, error, utk, nambah, usulan, penerima, bantuan, tidak, bisa</v>
      </c>
    </row>
    <row r="382">
      <c r="A382" s="17" t="str">
        <f>Cleaning!H390</f>
        <v>kuwota mepetga pernah dpt bantuanpengen daftarsetelah dowdlod notif maaf ada perbaikan sistem</v>
      </c>
      <c r="B382" s="21" t="str">
        <f>IFERROR(__xludf.DUMMYFUNCTION("REGEXREPLACE(A382,"" "","", "")"),"kuwota, mepetga, pernah, dpt, bantuanpengen, daftarsetelah, dowdlod, notif, maaf, ada, perbaikan, sistem")</f>
        <v>kuwota, mepetga, pernah, dpt, bantuanpengen, daftarsetelah, dowdlod, notif, maaf, ada, perbaikan, sistem</v>
      </c>
    </row>
    <row r="383">
      <c r="A383" s="17" t="str">
        <f>Cleaning!H391</f>
        <v>aplikasi nya error tak bisa dibuka kenapa ya</v>
      </c>
      <c r="B383" s="21" t="str">
        <f>IFERROR(__xludf.DUMMYFUNCTION("REGEXREPLACE(A383,"" "","", "")"),"aplikasi, nya, error, tak, bisa, dibuka, kenapa, ya")</f>
        <v>aplikasi, nya, error, tak, bisa, dibuka, kenapa, ya</v>
      </c>
    </row>
    <row r="384">
      <c r="A384" s="17" t="str">
        <f>Cleaning!H392</f>
        <v>baru mau daftar langsung error knp ya mohon bantuan nya</v>
      </c>
      <c r="B384" s="21" t="str">
        <f>IFERROR(__xludf.DUMMYFUNCTION("REGEXREPLACE(A384,"" "","", "")"),"baru, mau, daftar, langsung, error, knp, ya, mohon, bantuan, nya")</f>
        <v>baru, mau, daftar, langsung, error, knp, ya, mohon, bantuan, nya</v>
      </c>
    </row>
    <row r="385">
      <c r="A385" s="17" t="str">
        <f>Cleaning!H393</f>
        <v>sangat membantu admin tolong kasih petunjuk keluarga saya ada yang kepencet bukan keluarga bgai mana untuk kemblikan nya lagi terimksh</v>
      </c>
      <c r="B385" s="21" t="str">
        <f>IFERROR(__xludf.DUMMYFUNCTION("REGEXREPLACE(A385,"" "","", "")"),"sangat, membantu, admin, tolong, kasih, petunjuk, keluarga, saya, ada, yang, kepencet, bukan, keluarga, bgai, mana, untuk, kemblikan, nya, lagi, terimksh")</f>
        <v>sangat, membantu, admin, tolong, kasih, petunjuk, keluarga, saya, ada, yang, kepencet, bukan, keluarga, bgai, mana, untuk, kemblikan, nya, lagi, terimksh</v>
      </c>
    </row>
    <row r="386">
      <c r="A386" s="17" t="str">
        <f>Cleaning!H394</f>
        <v>aplikasi kurang bermutu kebanyakan erorhapus jaa deh gk bermanfaat</v>
      </c>
      <c r="B386" s="21" t="str">
        <f>IFERROR(__xludf.DUMMYFUNCTION("REGEXREPLACE(A386,"" "","", "")"),"aplikasi, kurang, bermutu, kebanyakan, erorhapus, jaa, deh, gk, bermanfaat")</f>
        <v>aplikasi, kurang, bermutu, kebanyakan, erorhapus, jaa, deh, gk, bermanfaat</v>
      </c>
    </row>
    <row r="387">
      <c r="A387" s="17" t="str">
        <f>Cleaning!H395</f>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c r="B387" s="21" t="str">
        <f>IFERROR(__xludf.DUMMYFUNCTION("REGEXREPLACE(A387,"" "","", "")"),"cara, log, in, nya, gimana, ya, aplikasi, ini, sebenernya, dari, dinsos, resmi, atau, bukanatau, hanya, orang, iseng, yang, buatdari, sekian, banyak, pertanyaan, tidak, ada, yang, direspon, sama, sekali, tolonglah, hidup, di, negara, ini, sudah, sulit, ja"&amp;"ngan, lagi, dipersulit, dengan, harapan, harapan, yang, tidak, pasti, seperti, initolong, untuk, bapakibu, kementrian, sosial, cobalah, cek, kebenaran, data, data, penerima, bantuan, itukebanyakan, dari, mereka, itu, orang, orang, mampu, ")</f>
        <v>cara, log, in, nya, gimana, ya, aplikasi, ini, sebenernya, dari, dinsos, resmi, atau, bukanatau, hanya, orang, iseng, yang, buatdari, sekian, banyak, pertanyaan, tidak, ada, yang, direspon, sama, sekali, tolonglah, hidup, di, negara, ini, sudah, sulit, jangan, lagi, dipersulit, dengan, harapan, harapan, yang, tidak, pasti, seperti, initolong, untuk, bapakibu, kementrian, sosial, cobalah, cek, kebenaran, data, data, penerima, bantuan, itukebanyakan, dari, mereka, itu, orang, orang, mampu, </v>
      </c>
    </row>
    <row r="388">
      <c r="A388" s="17" t="str">
        <f>Cleaning!H396</f>
        <v>minta bantuan nya gabisa login terus</v>
      </c>
      <c r="B388" s="21" t="str">
        <f>IFERROR(__xludf.DUMMYFUNCTION("REGEXREPLACE(A388,"" "","", "")"),"minta, bantuan, nya, gabisa, login, terus")</f>
        <v>minta, bantuan, nya, gabisa, login, terus</v>
      </c>
    </row>
    <row r="389">
      <c r="A389" s="17" t="str">
        <f>Cleaning!H397</f>
        <v>tidak bisa daftar di aplikasinya</v>
      </c>
      <c r="B389" s="21" t="str">
        <f>IFERROR(__xludf.DUMMYFUNCTION("REGEXREPLACE(A389,"" "","", "")"),"tidak, bisa, daftar, di, aplikasinya")</f>
        <v>tidak, bisa, daftar, di, aplikasinya</v>
      </c>
    </row>
    <row r="390">
      <c r="A390" s="17" t="str">
        <f>Cleaning!H398</f>
        <v>sudah diaktifasi tapi login kagak bisa</v>
      </c>
      <c r="B390" s="21" t="str">
        <f>IFERROR(__xludf.DUMMYFUNCTION("REGEXREPLACE(A390,"" "","", "")"),"sudah, diaktifasi, tapi, login, kagak, bisa")</f>
        <v>sudah, diaktifasi, tapi, login, kagak, bisa</v>
      </c>
    </row>
    <row r="391">
      <c r="A391" s="17" t="str">
        <f>Cleaning!H399</f>
        <v>tolong di pebaiki buat login gk bisa pdahal pendaftaran udah di proses</v>
      </c>
      <c r="B391" s="21" t="str">
        <f>IFERROR(__xludf.DUMMYFUNCTION("REGEXREPLACE(A391,"" "","", "")"),"tolong, di, pebaiki, buat, login, gk, bisa, pdahal, pendaftaran, udah, di, proses")</f>
        <v>tolong, di, pebaiki, buat, login, gk, bisa, pdahal, pendaftaran, udah, di, proses</v>
      </c>
    </row>
    <row r="392">
      <c r="A392" s="17" t="str">
        <f>Cleaning!H400</f>
        <v>tidak bisa daftar aplikasi error</v>
      </c>
      <c r="B392" s="21" t="str">
        <f>IFERROR(__xludf.DUMMYFUNCTION("REGEXREPLACE(A392,"" "","", "")"),"tidak, bisa, daftar, aplikasi, error")</f>
        <v>tidak, bisa, daftar, aplikasi, error</v>
      </c>
    </row>
    <row r="393">
      <c r="A393" s="17" t="str">
        <f>Cleaning!H401</f>
        <v>sudah berkalikali daftar dan gagal selalu ada tulisan apk error hubungi admin boleh tau adminya yg mana biar saya hubungi terimakasih</v>
      </c>
      <c r="B393" s="21" t="str">
        <f>IFERROR(__xludf.DUMMYFUNCTION("REGEXREPLACE(A393,"" "","", "")"),"sudah, berkalikali, daftar, dan, gagal, selalu, ada, tulisan, apk, error, hubungi, admin, boleh, tau, adminya, yg, mana, biar, saya, hubungi, terimakasih")</f>
        <v>sudah, berkalikali, daftar, dan, gagal, selalu, ada, tulisan, apk, error, hubungi, admin, boleh, tau, adminya, yg, mana, biar, saya, hubungi, terimakasih</v>
      </c>
    </row>
    <row r="394">
      <c r="A394" s="17" t="str">
        <f>Cleaning!H402</f>
        <v>nggak bisa daftar error terus harus hubungi admin adminnnn mana admiiinnn </v>
      </c>
      <c r="B394" s="21" t="str">
        <f>IFERROR(__xludf.DUMMYFUNCTION("REGEXREPLACE(A394,"" "","", "")"),"nggak, bisa, daftar, error, terus, harus, hubungi, admin, adminnnn, mana, admiiinnn, ")</f>
        <v>nggak, bisa, daftar, error, terus, harus, hubungi, admin, adminnnn, mana, admiiinnn, </v>
      </c>
    </row>
    <row r="395">
      <c r="A395" s="17" t="str">
        <f>Cleaning!H403</f>
        <v>ga jelas ga bisa daftar eror mulu</v>
      </c>
      <c r="B395" s="21" t="str">
        <f>IFERROR(__xludf.DUMMYFUNCTION("REGEXREPLACE(A395,"" "","", "")"),"ga, jelas, ga, bisa, daftar, eror, mulu")</f>
        <v>ga, jelas, ga, bisa, daftar, eror, mulu</v>
      </c>
    </row>
    <row r="396">
      <c r="A396" s="17" t="str">
        <f>Cleaning!H404</f>
        <v>pliss lah aku mau daftar aja susah tolong perbaikilah</v>
      </c>
      <c r="B396" s="21" t="str">
        <f>IFERROR(__xludf.DUMMYFUNCTION("REGEXREPLACE(A396,"" "","", "")"),"pliss, lah, aku, mau, daftar, aja, susah, tolong, perbaikilah")</f>
        <v>pliss, lah, aku, mau, daftar, aja, susah, tolong, perbaikilah</v>
      </c>
    </row>
    <row r="397">
      <c r="A397" s="17" t="str">
        <f>Cleaning!H405</f>
        <v>ga bisa login gagal kurang bagus</v>
      </c>
      <c r="B397" s="21" t="str">
        <f>IFERROR(__xludf.DUMMYFUNCTION("REGEXREPLACE(A397,"" "","", "")"),"ga, bisa, login, gagal, kurang, bagus")</f>
        <v>ga, bisa, login, gagal, kurang, bagus</v>
      </c>
    </row>
    <row r="398">
      <c r="A398" s="17" t="str">
        <f>Cleaning!H406</f>
        <v>kenapa di buat daftar gagal terus</v>
      </c>
      <c r="B398" s="21" t="str">
        <f>IFERROR(__xludf.DUMMYFUNCTION("REGEXREPLACE(A398,"" "","", "")"),"kenapa, di, buat, daftar, gagal, terus")</f>
        <v>kenapa, di, buat, daftar, gagal, terus</v>
      </c>
    </row>
    <row r="399">
      <c r="A399" s="17" t="str">
        <f>Cleaning!H407</f>
        <v>kasih dua dulu kenapa uda daftar malah tertera aplikasih eror semoga di perbaiki lagi biar mudah buat masahrakat yang belom dapet bansos bbm terimah kasih</v>
      </c>
      <c r="B399" s="21" t="str">
        <f>IFERROR(__xludf.DUMMYFUNCTION("REGEXREPLACE(A399,"" "","", "")"),"kasih, dua, dulu, kenapa, uda, daftar, malah, tertera, aplikasih, eror, semoga, di, perbaiki, lagi, biar, mudah, buat, masahrakat, yang, belom, dapet, bansos, bbm, terimah, kasih")</f>
        <v>kasih, dua, dulu, kenapa, uda, daftar, malah, tertera, aplikasih, eror, semoga, di, perbaiki, lagi, biar, mudah, buat, masahrakat, yang, belom, dapet, bansos, bbm, terimah, kasih</v>
      </c>
    </row>
    <row r="400">
      <c r="A400" s="17" t="str">
        <f>Cleaning!H408</f>
        <v>aplikasi kurang baik tolong di perbaiki</v>
      </c>
      <c r="B400" s="21" t="str">
        <f>IFERROR(__xludf.DUMMYFUNCTION("REGEXREPLACE(A400,"" "","", "")"),"aplikasi, kurang, baik, tolong, di, perbaiki")</f>
        <v>aplikasi, kurang, baik, tolong, di, perbaiki</v>
      </c>
    </row>
    <row r="401">
      <c r="A401" s="17" t="str">
        <f>Cleaning!H409</f>
        <v>ga bisa daftar error semoga maju</v>
      </c>
      <c r="B401" s="21" t="str">
        <f>IFERROR(__xludf.DUMMYFUNCTION("REGEXREPLACE(A401,"" "","", "")"),"ga, bisa, daftar, error, semoga, maju")</f>
        <v>ga, bisa, daftar, error, semoga, maju</v>
      </c>
    </row>
    <row r="402">
      <c r="A402" s="17" t="str">
        <f>Cleaning!H410</f>
        <v>pendaftaran akun baru error terus</v>
      </c>
      <c r="B402" s="21" t="str">
        <f>IFERROR(__xludf.DUMMYFUNCTION("REGEXREPLACE(A402,"" "","", "")"),"pendaftaran, akun, baru, error, terus")</f>
        <v>pendaftaran, akun, baru, error, terus</v>
      </c>
    </row>
    <row r="403">
      <c r="A403" s="17" t="str">
        <f>Cleaning!H411</f>
        <v>app babi padahal udah berhasil di daftarkanehh setelah mau loginuser namepassword tidak terdaftargak ngotak babi app gini wajib di kenakan sangsi pidana karna bisa di sebut pencurian data dan ipormasi pribadi orangbisa² sala guna</v>
      </c>
      <c r="B403" s="21" t="str">
        <f>IFERROR(__xludf.DUMMYFUNCTION("REGEXREPLACE(A403,"" "","", "")"),"app, babi, padahal, udah, berhasil, di, daftarkanehh, setelah, mau, loginuser, namepassword, tidak, terdaftargak, ngotak, babi, app, gini, wajib, di, kenakan, sangsi, pidana, karna, bisa, di, sebut, pencurian, data, dan, ipormasi, pribadi, orangbisa², sal"&amp;"a, guna")</f>
        <v>app, babi, padahal, udah, berhasil, di, daftarkanehh, setelah, mau, loginuser, namepassword, tidak, terdaftargak, ngotak, babi, app, gini, wajib, di, kenakan, sangsi, pidana, karna, bisa, di, sebut, pencurian, data, dan, ipormasi, pribadi, orangbisa², sala, guna</v>
      </c>
    </row>
    <row r="404">
      <c r="A404" s="17" t="str">
        <f>Cleaning!H412</f>
        <v>kenapa aflikasih gk berpungsi padahal saya ingin mendaftar selama ini saya belum pernah dapet kenapa yg dapat orang yg berada terus apa emang seperti itu peraturan y</v>
      </c>
      <c r="B404" s="21" t="str">
        <f>IFERROR(__xludf.DUMMYFUNCTION("REGEXREPLACE(A404,"" "","", "")"),"kenapa, aflikasih, gk, berpungsi, padahal, saya, ingin, mendaftar, selama, ini, saya, belum, pernah, dapet, kenapa, yg, dapat, orang, yg, berada, terus, apa, emang, seperti, itu, peraturan, y")</f>
        <v>kenapa, aflikasih, gk, berpungsi, padahal, saya, ingin, mendaftar, selama, ini, saya, belum, pernah, dapet, kenapa, yg, dapat, orang, yg, berada, terus, apa, emang, seperti, itu, peraturan, y</v>
      </c>
    </row>
    <row r="405">
      <c r="A405" s="17" t="str">
        <f>Cleaning!H413</f>
        <v>kagak guna apk nya gagal terus setiap daftar</v>
      </c>
      <c r="B405" s="21" t="str">
        <f>IFERROR(__xludf.DUMMYFUNCTION("REGEXREPLACE(A405,"" "","", "")"),"kagak, guna, apk, nya, gagal, terus, setiap, daftar")</f>
        <v>kagak, guna, apk, nya, gagal, terus, setiap, daftar</v>
      </c>
    </row>
    <row r="406">
      <c r="A406" s="17" t="str">
        <f>Cleaning!H414</f>
        <v>aplikasi bohong saat masuk gk bs trs pdhl username udah bnr udah di verikasi di imelgk jelas</v>
      </c>
      <c r="B406" s="21" t="str">
        <f>IFERROR(__xludf.DUMMYFUNCTION("REGEXREPLACE(A406,"" "","", "")"),"aplikasi, bohong, saat, masuk, gk, bs, trs, pdhl, username, udah, bnr, udah, di, verikasi, di, imelgk, jelas")</f>
        <v>aplikasi, bohong, saat, masuk, gk, bs, trs, pdhl, username, udah, bnr, udah, di, verikasi, di, imelgk, jelas</v>
      </c>
    </row>
    <row r="407">
      <c r="A407" s="17" t="str">
        <f>Cleaning!H415</f>
        <v>tidak bisa login error aplikasi</v>
      </c>
      <c r="B407" s="21" t="str">
        <f>IFERROR(__xludf.DUMMYFUNCTION("REGEXREPLACE(A407,"" "","", "")"),"tidak, bisa, login, error, aplikasi")</f>
        <v>tidak, bisa, login, error, aplikasi</v>
      </c>
    </row>
    <row r="408">
      <c r="A408" s="17" t="str">
        <f>Cleaning!H416</f>
        <v>ga bisa login dan ganti pasword linknya ga bisa dibuka</v>
      </c>
      <c r="B408" s="21" t="str">
        <f>IFERROR(__xludf.DUMMYFUNCTION("REGEXREPLACE(A408,"" "","", "")"),"ga, bisa, login, dan, ganti, pasword, linknya, ga, bisa, dibuka")</f>
        <v>ga, bisa, login, dan, ganti, pasword, linknya, ga, bisa, dibuka</v>
      </c>
    </row>
    <row r="409">
      <c r="A409" s="17" t="str">
        <f>Cleaning!H417</f>
        <v>aplikasi hoak kaya aplikasi game penghasil receh ga bisa dibuka un install aja deh</v>
      </c>
      <c r="B409" s="21" t="str">
        <f>IFERROR(__xludf.DUMMYFUNCTION("REGEXREPLACE(A409,"" "","", "")"),"aplikasi, hoak, kaya, aplikasi, game, penghasil, receh, ga, bisa, dibuka, un, install, aja, deh")</f>
        <v>aplikasi, hoak, kaya, aplikasi, game, penghasil, receh, ga, bisa, dibuka, un, install, aja, deh</v>
      </c>
    </row>
    <row r="410">
      <c r="A410" s="17" t="str">
        <f>Cleaning!H418</f>
        <v>tidak bisa log indaftar</v>
      </c>
      <c r="B410" s="21" t="str">
        <f>IFERROR(__xludf.DUMMYFUNCTION("REGEXREPLACE(A410,"" "","", "")"),"tidak, bisa, log, indaftar")</f>
        <v>tidak, bisa, log, indaftar</v>
      </c>
    </row>
    <row r="411">
      <c r="A411" s="17" t="str">
        <f>Cleaning!H419</f>
        <v>kenapa apk nya eror ya ketika saya mau daftar atau login</v>
      </c>
      <c r="B411" s="21" t="str">
        <f>IFERROR(__xludf.DUMMYFUNCTION("REGEXREPLACE(A411,"" "","", "")"),"kenapa, apk, nya, eror, ya, ketika, saya, mau, daftar, atau, login")</f>
        <v>kenapa, apk, nya, eror, ya, ketika, saya, mau, daftar, atau, login</v>
      </c>
    </row>
    <row r="412">
      <c r="A412" s="17" t="str">
        <f>Cleaning!H420</f>
        <v>kenapa gak bisa tambah usulan error terus</v>
      </c>
      <c r="B412" s="21" t="str">
        <f>IFERROR(__xludf.DUMMYFUNCTION("REGEXREPLACE(A412,"" "","", "")"),"kenapa, gak, bisa, tambah, usulan, error, terus")</f>
        <v>kenapa, gak, bisa, tambah, usulan, error, terus</v>
      </c>
    </row>
    <row r="413">
      <c r="A413" s="17" t="str">
        <f>Cleaning!H421</f>
        <v>pengelolaan manajemen aplikasinya buruk untuk sekelas aplikasi nasional</v>
      </c>
      <c r="B413" s="21" t="str">
        <f>IFERROR(__xludf.DUMMYFUNCTION("REGEXREPLACE(A413,"" "","", "")"),"pengelolaan, manajemen, aplikasinya, buruk, untuk, sekelas, aplikasi, nasional")</f>
        <v>pengelolaan, manajemen, aplikasinya, buruk, untuk, sekelas, aplikasi, nasional</v>
      </c>
    </row>
    <row r="414">
      <c r="A414" s="17" t="str">
        <f>Cleaning!H422</f>
        <v>kenapa saya tidak bisa login selalu error</v>
      </c>
      <c r="B414" s="21" t="str">
        <f>IFERROR(__xludf.DUMMYFUNCTION("REGEXREPLACE(A414,"" "","", "")"),"kenapa, saya, tidak, bisa, login, selalu, error")</f>
        <v>kenapa, saya, tidak, bisa, login, selalu, error</v>
      </c>
    </row>
    <row r="415">
      <c r="A415" s="17" t="str">
        <f>Cleaning!H423</f>
        <v>sangat amat buruk daftar aja ga bisa bisa</v>
      </c>
      <c r="B415" s="21" t="str">
        <f>IFERROR(__xludf.DUMMYFUNCTION("REGEXREPLACE(A415,"" "","", "")"),"sangat, amat, buruk, daftar, aja, ga, bisa, bisa")</f>
        <v>sangat, amat, buruk, daftar, aja, ga, bisa, bisa</v>
      </c>
    </row>
    <row r="416">
      <c r="A416" s="17" t="str">
        <f>Cleaning!H424</f>
        <v>capek capek poto isi data ss stelah siap jaringan eror aplikasi gk serius ni‍</v>
      </c>
      <c r="B416" s="21" t="str">
        <f>IFERROR(__xludf.DUMMYFUNCTION("REGEXREPLACE(A416,"" "","", "")"),"capek, capek, poto, isi, data, ss, stelah, siap, jaringan, eror, aplikasi, gk, serius, ni‍")</f>
        <v>capek, capek, poto, isi, data, ss, stelah, siap, jaringan, eror, aplikasi, gk, serius, ni‍</v>
      </c>
    </row>
    <row r="417">
      <c r="A417" s="17" t="str">
        <f>Cleaning!H425</f>
        <v>aplikasi ga jelas mau usulan mandiri error terus</v>
      </c>
      <c r="B417" s="21" t="str">
        <f>IFERROR(__xludf.DUMMYFUNCTION("REGEXREPLACE(A417,"" "","", "")"),"aplikasi, ga, jelas, mau, usulan, mandiri, error, terus")</f>
        <v>aplikasi, ga, jelas, mau, usulan, mandiri, error, terus</v>
      </c>
    </row>
    <row r="418">
      <c r="A418" s="17" t="str">
        <f>Cleaning!H426</f>
        <v>apk apa ini sudah daftar tapi gak bisa log in</v>
      </c>
      <c r="B418" s="21" t="str">
        <f>IFERROR(__xludf.DUMMYFUNCTION("REGEXREPLACE(A418,"" "","", "")"),"apk, apa, ini, sudah, daftar, tapi, gak, bisa, log, in")</f>
        <v>apk, apa, ini, sudah, daftar, tapi, gak, bisa, log, in</v>
      </c>
    </row>
    <row r="419">
      <c r="A419" s="17" t="str">
        <f>Cleaning!H427</f>
        <v>aplikasi bikin darah tinggiselalu gagal dan gagaljgn php deh</v>
      </c>
      <c r="B419" s="21" t="str">
        <f>IFERROR(__xludf.DUMMYFUNCTION("REGEXREPLACE(A419,"" "","", "")"),"aplikasi, bikin, darah, tinggiselalu, gagal, dan, gagaljgn, php, deh")</f>
        <v>aplikasi, bikin, darah, tinggiselalu, gagal, dan, gagaljgn, php, deh</v>
      </c>
    </row>
    <row r="420">
      <c r="A420" s="17" t="str">
        <f>Cleaning!H428</f>
        <v>mau cek susah ga bisa login login</v>
      </c>
      <c r="B420" s="21" t="str">
        <f>IFERROR(__xludf.DUMMYFUNCTION("REGEXREPLACE(A420,"" "","", "")"),"mau, cek, susah, ga, bisa, login, login")</f>
        <v>mau, cek, susah, ga, bisa, login, login</v>
      </c>
    </row>
    <row r="421">
      <c r="A421" s="17" t="str">
        <f>Cleaning!H429</f>
        <v>gak bisa daftar udah dicoba tiap hari gak bisa daftar buat akun</v>
      </c>
      <c r="B421" s="21" t="str">
        <f>IFERROR(__xludf.DUMMYFUNCTION("REGEXREPLACE(A421,"" "","", "")"),"gak, bisa, daftar, udah, dicoba, tiap, hari, gak, bisa, daftar, buat, akun")</f>
        <v>gak, bisa, daftar, udah, dicoba, tiap, hari, gak, bisa, daftar, buat, akun</v>
      </c>
    </row>
    <row r="422">
      <c r="A422" s="17" t="str">
        <f>Cleaning!H430</f>
        <v>akun udh berhasil di buat ga bisa buat login</v>
      </c>
      <c r="B422" s="21" t="str">
        <f>IFERROR(__xludf.DUMMYFUNCTION("REGEXREPLACE(A422,"" "","", "")"),"akun, udh, berhasil, di, buat, ga, bisa, buat, login")</f>
        <v>akun, udh, berhasil, di, buat, ga, bisa, buat, login</v>
      </c>
    </row>
    <row r="423">
      <c r="A423" s="17" t="str">
        <f>Cleaning!H431</f>
        <v>cuma mau bilang pembagian bansos ini tidak pernah adil dan ternyata aplikasinya juga asal bikinerror mulu</v>
      </c>
      <c r="B423" s="21" t="str">
        <f>IFERROR(__xludf.DUMMYFUNCTION("REGEXREPLACE(A423,"" "","", "")"),"cuma, mau, bilang, pembagian, bansos, ini, tidak, pernah, adil, dan, ternyata, aplikasinya, juga, asal, bikinerror, mulu")</f>
        <v>cuma, mau, bilang, pembagian, bansos, ini, tidak, pernah, adil, dan, ternyata, aplikasinya, juga, asal, bikinerror, mulu</v>
      </c>
    </row>
    <row r="424">
      <c r="A424" s="17" t="str">
        <f>Cleaning!H432</f>
        <v>aplikasi cuman buat formalitas ajakah yg penting buat gembar gembor tp tidak diurus miris</v>
      </c>
      <c r="B424" s="21" t="str">
        <f>IFERROR(__xludf.DUMMYFUNCTION("REGEXREPLACE(A424,"" "","", "")"),"aplikasi, cuman, buat, formalitas, ajakah, yg, penting, buat, gembar, gembor, tp, tidak, diurus, miris")</f>
        <v>aplikasi, cuman, buat, formalitas, ajakah, yg, penting, buat, gembar, gembor, tp, tidak, diurus, miris</v>
      </c>
    </row>
    <row r="425">
      <c r="A425" s="17" t="str">
        <f>Cleaning!H433</f>
        <v>giliran data udah lengkap login gak bisa</v>
      </c>
      <c r="B425" s="21" t="str">
        <f>IFERROR(__xludf.DUMMYFUNCTION("REGEXREPLACE(A425,"" "","", "")"),"giliran, data, udah, lengkap, login, gak, bisa")</f>
        <v>giliran, data, udah, lengkap, login, gak, bisa</v>
      </c>
    </row>
    <row r="426">
      <c r="A426" s="17" t="str">
        <f>Cleaning!H434</f>
        <v>error terus gak bsa knapa ya</v>
      </c>
      <c r="B426" s="21" t="str">
        <f>IFERROR(__xludf.DUMMYFUNCTION("REGEXREPLACE(A426,"" "","", "")"),"error, terus, gak, bsa, knapa, ya")</f>
        <v>error, terus, gak, bsa, knapa, ya</v>
      </c>
    </row>
    <row r="427">
      <c r="A427" s="17" t="str">
        <f>Cleaning!H435</f>
        <v>masih mau cobamudah mudah berhasil</v>
      </c>
      <c r="B427" s="21" t="str">
        <f>IFERROR(__xludf.DUMMYFUNCTION("REGEXREPLACE(A427,"" "","", "")"),"masih, mau, cobamudah, mudah, berhasil")</f>
        <v>masih, mau, cobamudah, mudah, berhasil</v>
      </c>
    </row>
    <row r="428">
      <c r="A428" s="17" t="str">
        <f>Cleaning!H436</f>
        <v>erorrr gk bisa masuk tolong donk segera di perbaiki</v>
      </c>
      <c r="B428" s="21" t="str">
        <f>IFERROR(__xludf.DUMMYFUNCTION("REGEXREPLACE(A428,"" "","", "")"),"erorrr, gk, bisa, masuk, tolong, donk, segera, di, perbaiki")</f>
        <v>erorrr, gk, bisa, masuk, tolong, donk, segera, di, perbaiki</v>
      </c>
    </row>
    <row r="429">
      <c r="A429" s="17" t="str">
        <f>Cleaning!H437</f>
        <v>ga bisa masuk dan ga bisa konfirmasi ah cape mending klu dapet ini ga dapet kayanya</v>
      </c>
      <c r="B429" s="21" t="str">
        <f>IFERROR(__xludf.DUMMYFUNCTION("REGEXREPLACE(A429,"" "","", "")"),"ga, bisa, masuk, dan, ga, bisa, konfirmasi, ah, cape, mending, klu, dapet, ini, ga, dapet, kayanya")</f>
        <v>ga, bisa, masuk, dan, ga, bisa, konfirmasi, ah, cape, mending, klu, dapet, ini, ga, dapet, kayanya</v>
      </c>
    </row>
    <row r="430">
      <c r="A430" s="17" t="str">
        <f>Cleaning!H438</f>
        <v>salah satu bukti bahwa aplikasi daftar mandiri hanya formalitas dan hanya buang anggaran</v>
      </c>
      <c r="B430" s="21" t="str">
        <f>IFERROR(__xludf.DUMMYFUNCTION("REGEXREPLACE(A430,"" "","", "")"),"salah, satu, bukti, bahwa, aplikasi, daftar, mandiri, hanya, formalitas, dan, hanya, buang, anggaran")</f>
        <v>salah, satu, bukti, bahwa, aplikasi, daftar, mandiri, hanya, formalitas, dan, hanya, buang, anggaran</v>
      </c>
    </row>
    <row r="431">
      <c r="A431" s="17" t="str">
        <f>Cleaning!H439</f>
        <v>apk nya error gak bisa login</v>
      </c>
      <c r="B431" s="21" t="str">
        <f>IFERROR(__xludf.DUMMYFUNCTION("REGEXREPLACE(A431,"" "","", "")"),"apk, nya, error, gak, bisa, login")</f>
        <v>apk, nya, error, gak, bisa, login</v>
      </c>
    </row>
    <row r="432">
      <c r="A432" s="17" t="str">
        <f>Cleaning!H440</f>
        <v>gabisa log in sever gak dipelihara keknya dananya kena korupsi wkwk</v>
      </c>
      <c r="B432" s="21" t="str">
        <f>IFERROR(__xludf.DUMMYFUNCTION("REGEXREPLACE(A432,"" "","", "")"),"gabisa, log, in, sever, gak, dipelihara, keknya, dananya, kena, korupsi, wkwk")</f>
        <v>gabisa, log, in, sever, gak, dipelihara, keknya, dananya, kena, korupsi, wkwk</v>
      </c>
    </row>
    <row r="433">
      <c r="A433" s="17" t="str">
        <f>Cleaning!H441</f>
        <v>kok dia bilang eror si dak bisa di masukidak kayak dulu alfikasiny eror total maaf saya kasih bintang satu saya sangat kecwe dngan alfikasi ini tolng d perbaiki lagi alfikasi ny terimakasih</v>
      </c>
      <c r="B433" s="21" t="str">
        <f>IFERROR(__xludf.DUMMYFUNCTION("REGEXREPLACE(A433,"" "","", "")"),"kok, dia, bilang, eror, si, dak, bisa, di, masukidak, kayak, dulu, alfikasiny, eror, total, maaf, saya, kasih, bintang, satu, saya, sangat, kecwe, dngan, alfikasi, ini, tolng, d, perbaiki, lagi, alfikasi, ny, terimakasih")</f>
        <v>kok, dia, bilang, eror, si, dak, bisa, di, masukidak, kayak, dulu, alfikasiny, eror, total, maaf, saya, kasih, bintang, satu, saya, sangat, kecwe, dngan, alfikasi, ini, tolng, d, perbaiki, lagi, alfikasi, ny, terimakasih</v>
      </c>
    </row>
    <row r="434">
      <c r="A434" s="17" t="str">
        <f>Cleaning!H442</f>
        <v>aplikasi nya selalu eror jon porse gman solusinya ni</v>
      </c>
      <c r="B434" s="21" t="str">
        <f>IFERROR(__xludf.DUMMYFUNCTION("REGEXREPLACE(A434,"" "","", "")"),"aplikasi, nya, selalu, eror, jon, porse, gman, solusinya, ni")</f>
        <v>aplikasi, nya, selalu, eror, jon, porse, gman, solusinya, ni</v>
      </c>
    </row>
    <row r="435">
      <c r="A435" s="17" t="str">
        <f>Cleaning!H443</f>
        <v>aneh ga bisa log in terus</v>
      </c>
      <c r="B435" s="21" t="str">
        <f>IFERROR(__xludf.DUMMYFUNCTION("REGEXREPLACE(A435,"" "","", "")"),"aneh, ga, bisa, log, in, terus")</f>
        <v>aneh, ga, bisa, log, in, terus</v>
      </c>
    </row>
    <row r="436">
      <c r="A436" s="17" t="str">
        <f>Cleaning!H444</f>
        <v>kecewa aplikasinya gk pernah bisa dibuka</v>
      </c>
      <c r="B436" s="21" t="str">
        <f>IFERROR(__xludf.DUMMYFUNCTION("REGEXREPLACE(A436,"" "","", "")"),"kecewa, aplikasinya, gk, pernah, bisa, dibuka")</f>
        <v>kecewa, aplikasinya, gk, pernah, bisa, dibuka</v>
      </c>
    </row>
    <row r="437">
      <c r="A437" s="17" t="str">
        <f>Cleaning!H445</f>
        <v>kementerian sosial punya anggaran kah buat perbaikin nih aplikasi atau server nya anggaran triliunan buat perbaikin aplikasi aja ga bisa parah</v>
      </c>
      <c r="B437" s="21" t="str">
        <f>IFERROR(__xludf.DUMMYFUNCTION("REGEXREPLACE(A437,"" "","", "")"),"kementerian, sosial, punya, anggaran, kah, buat, perbaikin, nih, aplikasi, atau, server, nya, anggaran, triliunan, buat, perbaikin, aplikasi, aja, ga, bisa, parah")</f>
        <v>kementerian, sosial, punya, anggaran, kah, buat, perbaikin, nih, aplikasi, atau, server, nya, anggaran, triliunan, buat, perbaikin, aplikasi, aja, ga, bisa, parah</v>
      </c>
    </row>
    <row r="438">
      <c r="A438" s="17" t="str">
        <f>Cleaning!H446</f>
        <v>aplikasi gaje makan gaji buta anggaran gede tapi aplikasi gak guna</v>
      </c>
      <c r="B438" s="21" t="str">
        <f>IFERROR(__xludf.DUMMYFUNCTION("REGEXREPLACE(A438,"" "","", "")"),"aplikasi, gaje, makan, gaji, buta, anggaran, gede, tapi, aplikasi, gak, guna")</f>
        <v>aplikasi, gaje, makan, gaji, buta, anggaran, gede, tapi, aplikasi, gak, guna</v>
      </c>
    </row>
    <row r="439">
      <c r="A439" s="17" t="str">
        <f>Cleaning!H447</f>
        <v>aplikasinya jelek eror data identitas sudah saya masukin tlg hapus data saya jangan sampai disalah gunakan data saya saya gak tanggung jawab kalau ada apa</v>
      </c>
      <c r="B439" s="21" t="str">
        <f>IFERROR(__xludf.DUMMYFUNCTION("REGEXREPLACE(A439,"" "","", "")"),"aplikasinya, jelek, eror, data, identitas, sudah, saya, masukin, tlg, hapus, data, saya, jangan, sampai, disalah, gunakan, data, saya, saya, gak, tanggung, jawab, kalau, ada, apa")</f>
        <v>aplikasinya, jelek, eror, data, identitas, sudah, saya, masukin, tlg, hapus, data, saya, jangan, sampai, disalah, gunakan, data, saya, saya, gak, tanggung, jawab, kalau, ada, apa</v>
      </c>
    </row>
    <row r="440">
      <c r="A440" s="17" t="str">
        <f>Cleaning!H448</f>
        <v>kenapa ya apk tida berjalan lancar eror truss kalaw ga loading </v>
      </c>
      <c r="B440" s="21" t="str">
        <f>IFERROR(__xludf.DUMMYFUNCTION("REGEXREPLACE(A440,"" "","", "")"),"kenapa, ya, apk, tida, berjalan, lancar, eror, truss, kalaw, ga, loading, ")</f>
        <v>kenapa, ya, apk, tida, berjalan, lancar, eror, truss, kalaw, ga, loading, </v>
      </c>
    </row>
    <row r="441">
      <c r="A441" s="17" t="str">
        <f>Cleaning!H449</f>
        <v>aplikasi nya eror terus gk bisa buat akun</v>
      </c>
      <c r="B441" s="21" t="str">
        <f>IFERROR(__xludf.DUMMYFUNCTION("REGEXREPLACE(A441,"" "","", "")"),"aplikasi, nya, eror, terus, gk, bisa, buat, akun")</f>
        <v>aplikasi, nya, eror, terus, gk, bisa, buat, akun</v>
      </c>
    </row>
    <row r="442">
      <c r="A442" s="17" t="str">
        <f>Cleaning!H450</f>
        <v>gak bisa buat akunsetiap sampe d foto ktp gak bisakita kan juga iri samping kanan kiri dpt segala macam bantuan keluarga gak sendiri</v>
      </c>
      <c r="B442" s="21" t="str">
        <f>IFERROR(__xludf.DUMMYFUNCTION("REGEXREPLACE(A442,"" "","", "")"),"gak, bisa, buat, akunsetiap, sampe, d, foto, ktp, gak, bisakita, kan, juga, iri, samping, kanan, kiri, dpt, segala, macam, bantuan, keluarga, gak, sendiri")</f>
        <v>gak, bisa, buat, akunsetiap, sampe, d, foto, ktp, gak, bisakita, kan, juga, iri, samping, kanan, kiri, dpt, segala, macam, bantuan, keluarga, gak, sendiri</v>
      </c>
    </row>
    <row r="443">
      <c r="A443" s="17" t="str">
        <f>Cleaning!H451</f>
        <v>gk jelas ini aplikasi udh daftar tapi gk bisa login gmna sih</v>
      </c>
      <c r="B443" s="21" t="str">
        <f>IFERROR(__xludf.DUMMYFUNCTION("REGEXREPLACE(A443,"" "","", "")"),"gk, jelas, ini, aplikasi, udh, daftar, tapi, gk, bisa, login, gmna, sih")</f>
        <v>gk, jelas, ini, aplikasi, udh, daftar, tapi, gk, bisa, login, gmna, sih</v>
      </c>
    </row>
    <row r="444">
      <c r="A444" s="17" t="str">
        <f>Cleaning!H452</f>
        <v>jelek skalidn amat sngtaplikasi slalu ja d ulang  trs</v>
      </c>
      <c r="B444" s="21" t="str">
        <f>IFERROR(__xludf.DUMMYFUNCTION("REGEXREPLACE(A444,"" "","", "")"),"jelek, skalidn, amat, sngtaplikasi, slalu, ja, d, ulang, , trs")</f>
        <v>jelek, skalidn, amat, sngtaplikasi, slalu, ja, d, ulang, , trs</v>
      </c>
    </row>
    <row r="445">
      <c r="A445" s="17" t="str">
        <f>Cleaning!H453</f>
        <v>mau daftar usul sanggah terjadi error aplikasi</v>
      </c>
      <c r="B445" s="21" t="str">
        <f>IFERROR(__xludf.DUMMYFUNCTION("REGEXREPLACE(A445,"" "","", "")"),"mau, daftar, usul, sanggah, terjadi, error, aplikasi")</f>
        <v>mau, daftar, usul, sanggah, terjadi, error, aplikasi</v>
      </c>
    </row>
    <row r="446">
      <c r="A446" s="17" t="str">
        <f>Cleaning!H454</f>
        <v>mau daftar aja eror belum lagi kalau login</v>
      </c>
      <c r="B446" s="21" t="str">
        <f>IFERROR(__xludf.DUMMYFUNCTION("REGEXREPLACE(A446,"" "","", "")"),"mau, daftar, aja, eror, belum, lagi, kalau, login")</f>
        <v>mau, daftar, aja, eror, belum, lagi, kalau, login</v>
      </c>
    </row>
    <row r="447">
      <c r="A447" s="17" t="str">
        <f>Cleaning!H455</f>
        <v>ok bisa  tapi ada yg salah  salah satu keluarga tidak masuk keluarga  gara keluarga perempuan semua </v>
      </c>
      <c r="B447" s="21" t="str">
        <f>IFERROR(__xludf.DUMMYFUNCTION("REGEXREPLACE(A447,"" "","", "")"),"ok, bisa, , tapi, ada, yg, salah, , salah, satu, keluarga, tidak, masuk, keluarga, , gara, keluarga, perempuan, semua, ")</f>
        <v>ok, bisa, , tapi, ada, yg, salah, , salah, satu, keluarga, tidak, masuk, keluarga, , gara, keluarga, perempuan, semua, </v>
      </c>
    </row>
    <row r="448">
      <c r="A448" s="17" t="str">
        <f>Cleaning!H456</f>
        <v>apk tdk jelasssss udah benar pswd tapi tetep gagal ngirim link kagak bisa d jangkau apaan sih</v>
      </c>
      <c r="B448" s="21" t="str">
        <f>IFERROR(__xludf.DUMMYFUNCTION("REGEXREPLACE(A448,"" "","", "")"),"apk, tdk, jelasssss, udah, benar, pswd, tapi, tetep, gagal, ngirim, link, kagak, bisa, d, jangkau, apaan, sih")</f>
        <v>apk, tdk, jelasssss, udah, benar, pswd, tapi, tetep, gagal, ngirim, link, kagak, bisa, d, jangkau, apaan, sih</v>
      </c>
    </row>
    <row r="449">
      <c r="A449" s="17" t="str">
        <f>Cleaning!H457</f>
        <v>kenapa sihhh setiap kali daftar selalu ga bisa</v>
      </c>
      <c r="B449" s="21" t="str">
        <f>IFERROR(__xludf.DUMMYFUNCTION("REGEXREPLACE(A449,"" "","", "")"),"kenapa, sihhh, setiap, kali, daftar, selalu, ga, bisa")</f>
        <v>kenapa, sihhh, setiap, kali, daftar, selalu, ga, bisa</v>
      </c>
    </row>
    <row r="450">
      <c r="A450" s="17" t="str">
        <f>Cleaning!H458</f>
        <v>kalau login lewt email bisa tapi kalau lewat aplikasi ini ga bisa</v>
      </c>
      <c r="B450" s="21" t="str">
        <f>IFERROR(__xludf.DUMMYFUNCTION("REGEXREPLACE(A450,"" "","", "")"),"kalau, login, lewt, email, bisa, tapi, kalau, lewat, aplikasi, ini, ga, bisa")</f>
        <v>kalau, login, lewt, email, bisa, tapi, kalau, lewat, aplikasi, ini, ga, bisa</v>
      </c>
    </row>
    <row r="451">
      <c r="A451" s="17" t="str">
        <f>Cleaning!H459</f>
        <v>sangat jelek sudah sesaui prosedur gagal terus</v>
      </c>
      <c r="B451" s="21" t="str">
        <f>IFERROR(__xludf.DUMMYFUNCTION("REGEXREPLACE(A451,"" "","", "")"),"sangat, jelek, sudah, sesaui, prosedur, gagal, terus")</f>
        <v>sangat, jelek, sudah, sesaui, prosedur, gagal, terus</v>
      </c>
    </row>
    <row r="452">
      <c r="A452" s="17" t="str">
        <f>Cleaning!H460</f>
        <v>susah masuk  sangat mengecewakan </v>
      </c>
      <c r="B452" s="21" t="str">
        <f>IFERROR(__xludf.DUMMYFUNCTION("REGEXREPLACE(A452,"" "","", "")"),"susah, masuk, , sangat, mengecewakan, ")</f>
        <v>susah, masuk, , sangat, mengecewakan, </v>
      </c>
    </row>
    <row r="453">
      <c r="A453" s="17" t="str">
        <f>Cleaning!H461</f>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c r="B453" s="21" t="str">
        <f>IFERROR(__xludf.DUMMYFUNCTION("REGEXREPLACE(A453,"" "","", "")"),"𝘐𝘕𝘐,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f>
        <v>𝘐𝘕𝘐, 𝘢𝘱𝘬, 𝘌𝘳𝘳𝘰𝘳, 𝘔𝘦𝘭𝘶, 𝘬𝘦𝘯𝘢𝘱𝘢, 𝘴𝘪𝘤𝘩, 𝘚𝘦𝘵𝘪𝘢𝘱, 𝘮𝘢𝘶, 𝘭𝘰𝘨𝘪𝘯, 𝘬𝘢𝘨𝘢𝘬, 𝘣𝘪𝘴𝘢, 𝘗𝘢𝘥𝘢𝘩𝘢𝘭, 𝘑𝘢𝘳𝘪𝘢𝘯𝘨𝘢𝘯, 𝘐𝘯𝘵𝘦𝘳𝘯𝘦𝘵, 𝘰𝘬𝘦, 𝘢𝘫𝘢, 𝘒𝘦𝘤𝘦𝘸𝘢, 𝘉𝘢𝘯𝘨𝘦𝘵𝘻, </v>
      </c>
    </row>
    <row r="454">
      <c r="A454" s="17" t="str">
        <f>Cleaning!H462</f>
        <v>mau daftar knp koneksi aplikasi erorr terus hrus tanya admin</v>
      </c>
      <c r="B454" s="21" t="str">
        <f>IFERROR(__xludf.DUMMYFUNCTION("REGEXREPLACE(A454,"" "","", "")"),"mau, daftar, knp, koneksi, aplikasi, erorr, terus, hrus, tanya, admin")</f>
        <v>mau, daftar, knp, koneksi, aplikasi, erorr, terus, hrus, tanya, admin</v>
      </c>
    </row>
    <row r="455">
      <c r="A455" s="17" t="str">
        <f>Cleaning!H463</f>
        <v>akun saya kena pencet batalkan menerima bantuan apakah saya masih bisa memperbaikinya soalnya di akun saya tanggapannya tidak layak mendapatkan manfaat</v>
      </c>
      <c r="B455" s="21" t="str">
        <f>IFERROR(__xludf.DUMMYFUNCTION("REGEXREPLACE(A455,"" "","", "")"),"akun, saya, kena, pencet, batalkan, menerima, bantuan, apakah, saya, masih, bisa, memperbaikinya, soalnya, di, akun, saya, tanggapannya, tidak, layak, mendapatkan, manfaat")</f>
        <v>akun, saya, kena, pencet, batalkan, menerima, bantuan, apakah, saya, masih, bisa, memperbaikinya, soalnya, di, akun, saya, tanggapannya, tidak, layak, mendapatkan, manfaat</v>
      </c>
    </row>
    <row r="456">
      <c r="A456" s="17" t="str">
        <f>Cleaning!H464</f>
        <v>kenapa saat login tidak bisa</v>
      </c>
      <c r="B456" s="21" t="str">
        <f>IFERROR(__xludf.DUMMYFUNCTION("REGEXREPLACE(A456,"" "","", "")"),"kenapa, saat, login, tidak, bisa")</f>
        <v>kenapa, saat, login, tidak, bisa</v>
      </c>
    </row>
    <row r="457">
      <c r="A457" s="17" t="str">
        <f>Cleaning!H465</f>
        <v>aplikasi guplak ngga ngertiin masyarakat kecil eror mulu udah ndaftar tpi tinggal login gagal terus</v>
      </c>
      <c r="B457" s="21" t="str">
        <f>IFERROR(__xludf.DUMMYFUNCTION("REGEXREPLACE(A457,"" "","", "")"),"aplikasi, guplak, ngga, ngertiin, masyarakat, kecil, eror, mulu, udah, ndaftar, tpi, tinggal, login, gagal, terus")</f>
        <v>aplikasi, guplak, ngga, ngertiin, masyarakat, kecil, eror, mulu, udah, ndaftar, tpi, tinggal, login, gagal, terus</v>
      </c>
    </row>
    <row r="458">
      <c r="A458" s="17" t="str">
        <f>Cleaning!H466</f>
        <v>mempermudah untuk mendaftar dan mengetahui</v>
      </c>
      <c r="B458" s="21" t="str">
        <f>IFERROR(__xludf.DUMMYFUNCTION("REGEXREPLACE(A458,"" "","", "")"),"mempermudah, untuk, mendaftar, dan, mengetahui")</f>
        <v>mempermudah, untuk, mendaftar, dan, mengetahui</v>
      </c>
    </row>
    <row r="459">
      <c r="A459" s="17" t="str">
        <f>Cleaning!H467</f>
        <v>gak bisa daftarselalu eror</v>
      </c>
      <c r="B459" s="21" t="str">
        <f>IFERROR(__xludf.DUMMYFUNCTION("REGEXREPLACE(A459,"" "","", "")"),"gak, bisa, daftarselalu, eror")</f>
        <v>gak, bisa, daftarselalu, eror</v>
      </c>
    </row>
    <row r="460">
      <c r="A460" s="17" t="str">
        <f>Cleaning!H468</f>
        <v>aplikasi apaan kya gini udah berkali saya download pas mau daftar eror mlulu aplk gak brmutu</v>
      </c>
      <c r="B460" s="21" t="str">
        <f>IFERROR(__xludf.DUMMYFUNCTION("REGEXREPLACE(A460,"" "","", "")"),"aplikasi, apaan, kya, gini, udah, berkali, saya, download, pas, mau, daftar, eror, mlulu, aplk, gak, brmutu")</f>
        <v>aplikasi, apaan, kya, gini, udah, berkali, saya, download, pas, mau, daftar, eror, mlulu, aplk, gak, brmutu</v>
      </c>
    </row>
    <row r="461">
      <c r="A461" s="17" t="str">
        <f>Cleaning!H469</f>
        <v>kenpa ko mau tambuh usulan selalu gagal cuma muncul aplikasi error hubungi admin</v>
      </c>
      <c r="B461" s="21" t="str">
        <f>IFERROR(__xludf.DUMMYFUNCTION("REGEXREPLACE(A461,"" "","", "")"),"kenpa, ko, mau, tambuh, usulan, selalu, gagal, cuma, muncul, aplikasi, error, hubungi, admin")</f>
        <v>kenpa, ko, mau, tambuh, usulan, selalu, gagal, cuma, muncul, aplikasi, error, hubungi, admin</v>
      </c>
    </row>
    <row r="462">
      <c r="A462" s="17" t="str">
        <f>Cleaning!H470</f>
        <v>tidak bisa login di aplikasi</v>
      </c>
      <c r="B462" s="21" t="str">
        <f>IFERROR(__xludf.DUMMYFUNCTION("REGEXREPLACE(A462,"" "","", "")"),"tidak, bisa, login, di, aplikasi")</f>
        <v>tidak, bisa, login, di, aplikasi</v>
      </c>
    </row>
    <row r="463">
      <c r="A463" s="17" t="str">
        <f>Cleaning!H471</f>
        <v>aplikasi gak jelas udha susah susah register gak bisa login wkwkwkw selamat anda kena prank admin nya youtuber kali yak </v>
      </c>
      <c r="B463" s="21" t="str">
        <f>IFERROR(__xludf.DUMMYFUNCTION("REGEXREPLACE(A463,"" "","", "")"),"aplikasi, gak, jelas, udha, susah, susah, register, gak, bisa, login, wkwkwkw, selamat, anda, kena, prank, admin, nya, youtuber, kali, yak, ")</f>
        <v>aplikasi, gak, jelas, udha, susah, susah, register, gak, bisa, login, wkwkwkw, selamat, anda, kena, prank, admin, nya, youtuber, kali, yak, </v>
      </c>
    </row>
    <row r="464">
      <c r="A464" s="17" t="str">
        <f>Cleaning!H472</f>
        <v>terimakasih alikasinih lumayan bisa melindungi menurut saya salam hormat</v>
      </c>
      <c r="B464" s="21" t="str">
        <f>IFERROR(__xludf.DUMMYFUNCTION("REGEXREPLACE(A464,"" "","", "")"),"terimakasih, alikasinih, lumayan, bisa, melindungi, menurut, saya, salam, hormat")</f>
        <v>terimakasih, alikasinih, lumayan, bisa, melindungi, menurut, saya, salam, hormat</v>
      </c>
    </row>
    <row r="465">
      <c r="A465" s="17" t="str">
        <f>Cleaning!H473</f>
        <v>selalu nya error aplikasi tak berguna</v>
      </c>
      <c r="B465" s="21" t="str">
        <f>IFERROR(__xludf.DUMMYFUNCTION("REGEXREPLACE(A465,"" "","", "")"),"selalu, nya, error, aplikasi, tak, berguna")</f>
        <v>selalu, nya, error, aplikasi, tak, berguna</v>
      </c>
    </row>
    <row r="466">
      <c r="A466" s="17" t="str">
        <f>Cleaning!H474</f>
        <v>semoga saya dapat bantuan karna saya belum pernah dapat bantuan apap sedangkan yang lebih mampu dapat bantuan</v>
      </c>
      <c r="B466" s="21" t="str">
        <f>IFERROR(__xludf.DUMMYFUNCTION("REGEXREPLACE(A466,"" "","", "")"),"semoga, saya, dapat, bantuan, karna, saya, belum, pernah, dapat, bantuan, apap, sedangkan, yang, lebih, mampu, dapat, bantuan")</f>
        <v>semoga, saya, dapat, bantuan, karna, saya, belum, pernah, dapat, bantuan, apap, sedangkan, yang, lebih, mampu, dapat, bantuan</v>
      </c>
    </row>
    <row r="467">
      <c r="A467" s="17" t="str">
        <f>Cleaning!H475</f>
        <v>berkali kali dwonload aplikasi dan buat acun tpi tdk pernah ke buka</v>
      </c>
      <c r="B467" s="21" t="str">
        <f>IFERROR(__xludf.DUMMYFUNCTION("REGEXREPLACE(A467,"" "","", "")"),"berkali, kali, dwonload, aplikasi, dan, buat, acun, tpi, tdk, pernah, ke, buka")</f>
        <v>berkali, kali, dwonload, aplikasi, dan, buat, acun, tpi, tdk, pernah, ke, buka</v>
      </c>
    </row>
    <row r="468">
      <c r="A468" s="17" t="str">
        <f>Cleaning!H476</f>
        <v>susah sekali daftarnya eror aplikasi terussebenarnya harus bagaimana menggunakannya</v>
      </c>
      <c r="B468" s="21" t="str">
        <f>IFERROR(__xludf.DUMMYFUNCTION("REGEXREPLACE(A468,"" "","", "")"),"susah, sekali, daftarnya, eror, aplikasi, terussebenarnya, harus, bagaimana, menggunakannya")</f>
        <v>susah, sekali, daftarnya, eror, aplikasi, terussebenarnya, harus, bagaimana, menggunakannya</v>
      </c>
    </row>
    <row r="469">
      <c r="A469" s="17" t="str">
        <f>Cleaning!H477</f>
        <v>bangke udah selsai kan data tapi gk bisa masuk login bgsat</v>
      </c>
      <c r="B469" s="21" t="str">
        <f>IFERROR(__xludf.DUMMYFUNCTION("REGEXREPLACE(A469,"" "","", "")"),"bangke, udah, selsai, kan, data, tapi, gk, bisa, masuk, login, bgsat")</f>
        <v>bangke, udah, selsai, kan, data, tapi, gk, bisa, masuk, login, bgsat</v>
      </c>
    </row>
    <row r="470">
      <c r="A470" s="17" t="str">
        <f>Cleaning!H478</f>
        <v>aplikaai gk guna udah daftar tapi di suruh daftar lg hadeh ne aplikasi bxk kurup nya</v>
      </c>
      <c r="B470" s="21" t="str">
        <f>IFERROR(__xludf.DUMMYFUNCTION("REGEXREPLACE(A470,"" "","", "")"),"aplikaai, gk, guna, udah, daftar, tapi, di, suruh, daftar, lg, hadeh, ne, aplikasi, bxk, kurup, nya")</f>
        <v>aplikaai, gk, guna, udah, daftar, tapi, di, suruh, daftar, lg, hadeh, ne, aplikasi, bxk, kurup, nya</v>
      </c>
    </row>
    <row r="471">
      <c r="A471" s="17" t="str">
        <f>Cleaning!H479</f>
        <v>aplikasinya sedang dalam perbaikan</v>
      </c>
      <c r="B471" s="21" t="str">
        <f>IFERROR(__xludf.DUMMYFUNCTION("REGEXREPLACE(A471,"" "","", "")"),"aplikasinya, sedang, dalam, perbaikan")</f>
        <v>aplikasinya, sedang, dalam, perbaikan</v>
      </c>
    </row>
    <row r="472">
      <c r="A472" s="17" t="str">
        <f>Cleaning!H480</f>
        <v>saya selalu gagal buat usulan untuk pkh alasannya aplikasi eror silahkan hubungi admin minta solusinya kak</v>
      </c>
      <c r="B472" s="21" t="str">
        <f>IFERROR(__xludf.DUMMYFUNCTION("REGEXREPLACE(A472,"" "","", "")"),"saya, selalu, gagal, buat, usulan, untuk, pkh, alasannya, aplikasi, eror, silahkan, hubungi, admin, minta, solusinya, kak")</f>
        <v>saya, selalu, gagal, buat, usulan, untuk, pkh, alasannya, aplikasi, eror, silahkan, hubungi, admin, minta, solusinya, kak</v>
      </c>
    </row>
    <row r="473">
      <c r="A473" s="17" t="str">
        <f>Cleaning!H481</f>
        <v>taiii udh daftar tp gk bisa loginyg dpat bantuan orng kaya semua sma saudara rtkeadilan macam apa ini bangsattt</v>
      </c>
      <c r="B473" s="21" t="str">
        <f>IFERROR(__xludf.DUMMYFUNCTION("REGEXREPLACE(A473,"" "","", "")"),"taiii, udh, daftar, tp, gk, bisa, loginyg, dpat, bantuan, orng, kaya, semua, sma, saudara, rtkeadilan, macam, apa, ini, bangsattt")</f>
        <v>taiii, udh, daftar, tp, gk, bisa, loginyg, dpat, bantuan, orng, kaya, semua, sma, saudara, rtkeadilan, macam, apa, ini, bangsattt</v>
      </c>
    </row>
    <row r="474">
      <c r="A474" s="17" t="str">
        <f>Cleaning!H482</f>
        <v>aplikasinya tidak dapat digunakan error</v>
      </c>
      <c r="B474" s="21" t="str">
        <f>IFERROR(__xludf.DUMMYFUNCTION("REGEXREPLACE(A474,"" "","", "")"),"aplikasinya, tidak, dapat, digunakan, error")</f>
        <v>aplikasinya, tidak, dapat, digunakan, error</v>
      </c>
    </row>
    <row r="475">
      <c r="A475" s="17" t="str">
        <f>Cleaning!H483</f>
        <v>kecewa sih sama aplikasi nya setiap mengisi usulan malah eror terus</v>
      </c>
      <c r="B475" s="21" t="str">
        <f>IFERROR(__xludf.DUMMYFUNCTION("REGEXREPLACE(A475,"" "","", "")"),"kecewa, sih, sama, aplikasi, nya, setiap, mengisi, usulan, malah, eror, terus")</f>
        <v>kecewa, sih, sama, aplikasi, nya, setiap, mengisi, usulan, malah, eror, terus</v>
      </c>
    </row>
    <row r="476">
      <c r="A476" s="17" t="str">
        <f>Cleaning!H484</f>
        <v>ga guna  kirain bisa membantu but dftarin orngtua tau ny hadeuhhh mending ga usah bikin aplikasi kaya gini lah klo ga bisa membantu  dftar usulan eror mulu suruh hubungi admin  admin yg mna gda keterangn admin</v>
      </c>
      <c r="B476" s="21" t="str">
        <f>IFERROR(__xludf.DUMMYFUNCTION("REGEXREPLACE(A476,"" "","", "")"),"ga, guna, , kirain, bisa, membantu, but, dftarin, orngtua, tau, ny, hadeuhhh, mending, ga, usah, bikin, aplikasi, kaya, gini, lah, klo, ga, bisa, membantu, , dftar, usulan, eror, mulu, suruh, hubungi, admin, , admin, yg, mna, gda, keterangn, admin")</f>
        <v>ga, guna, , kirain, bisa, membantu, but, dftarin, orngtua, tau, ny, hadeuhhh, mending, ga, usah, bikin, aplikasi, kaya, gini, lah, klo, ga, bisa, membantu, , dftar, usulan, eror, mulu, suruh, hubungi, admin, , admin, yg, mna, gda, keterangn, admin</v>
      </c>
    </row>
    <row r="477">
      <c r="A477" s="17" t="str">
        <f>Cleaning!H485</f>
        <v>semoga di hapus dari playstore titik udah gitu aja</v>
      </c>
      <c r="B477" s="21" t="str">
        <f>IFERROR(__xludf.DUMMYFUNCTION("REGEXREPLACE(A477,"" "","", "")"),"semoga, di, hapus, dari, playstore, titik, udah, gitu, aja")</f>
        <v>semoga, di, hapus, dari, playstore, titik, udah, gitu, aja</v>
      </c>
    </row>
    <row r="478">
      <c r="A478" s="17" t="str">
        <f>Cleaning!H486</f>
        <v>saya baru buka aplikasi cek bansos aja udah erorbagaimana cara nya ya</v>
      </c>
      <c r="B478" s="21" t="str">
        <f>IFERROR(__xludf.DUMMYFUNCTION("REGEXREPLACE(A478,"" "","", "")"),"saya, baru, buka, aplikasi, cek, bansos, aja, udah, erorbagaimana, cara, nya, ya")</f>
        <v>saya, baru, buka, aplikasi, cek, bansos, aja, udah, erorbagaimana, cara, nya, ya</v>
      </c>
    </row>
    <row r="479">
      <c r="A479" s="17" t="str">
        <f>Cleaning!H487</f>
        <v>aplikasi error saat buat tambahan usulan</v>
      </c>
      <c r="B479" s="21" t="str">
        <f>IFERROR(__xludf.DUMMYFUNCTION("REGEXREPLACE(A479,"" "","", "")"),"aplikasi, error, saat, buat, tambahan, usulan")</f>
        <v>aplikasi, error, saat, buat, tambahan, usulan</v>
      </c>
    </row>
    <row r="480">
      <c r="A480" s="17" t="str">
        <f>Cleaning!H488</f>
        <v>kenapa mau login error terus ya min</v>
      </c>
      <c r="B480" s="21" t="str">
        <f>IFERROR(__xludf.DUMMYFUNCTION("REGEXREPLACE(A480,"" "","", "")"),"kenapa, mau, login, error, terus, ya, min")</f>
        <v>kenapa, mau, login, error, terus, ya, min</v>
      </c>
    </row>
    <row r="481">
      <c r="A481" s="17" t="str">
        <f>Cleaning!H489</f>
        <v>sangat membantu kami dan melayani sepenuh hati</v>
      </c>
      <c r="B481" s="21" t="str">
        <f>IFERROR(__xludf.DUMMYFUNCTION("REGEXREPLACE(A481,"" "","", "")"),"sangat, membantu, kami, dan, melayani, sepenuh, hati")</f>
        <v>sangat, membantu, kami, dan, melayani, sepenuh, hati</v>
      </c>
    </row>
    <row r="482">
      <c r="A482" s="17" t="str">
        <f>Cleaning!H490</f>
        <v>semoga ini sesuai dgan minat saya untuk mengecek yg asli saja</v>
      </c>
      <c r="B482" s="21" t="str">
        <f>IFERROR(__xludf.DUMMYFUNCTION("REGEXREPLACE(A482,"" "","", "")"),"semoga, ini, sesuai, dgan, minat, saya, untuk, mengecek, yg, asli, saja")</f>
        <v>semoga, ini, sesuai, dgan, minat, saya, untuk, mengecek, yg, asli, saja</v>
      </c>
    </row>
    <row r="483">
      <c r="A483" s="17" t="str">
        <f>Cleaning!H491</f>
        <v>gak bs masukpdhl bikin akun berhasilanehpercuma d download jg</v>
      </c>
      <c r="B483" s="21" t="str">
        <f>IFERROR(__xludf.DUMMYFUNCTION("REGEXREPLACE(A483,"" "","", "")"),"gak, bs, masukpdhl, bikin, akun, berhasilanehpercuma, d, download, jg")</f>
        <v>gak, bs, masukpdhl, bikin, akun, berhasilanehpercuma, d, download, jg</v>
      </c>
    </row>
    <row r="484">
      <c r="A484" s="17" t="str">
        <f>Cleaning!H492</f>
        <v>tidak bisa log in pdhl udah aktivasi br x x</v>
      </c>
      <c r="B484" s="21" t="str">
        <f>IFERROR(__xludf.DUMMYFUNCTION("REGEXREPLACE(A484,"" "","", "")"),"tidak, bisa, log, in, pdhl, udah, aktivasi, br, x, x")</f>
        <v>tidak, bisa, log, in, pdhl, udah, aktivasi, br, x, x</v>
      </c>
    </row>
    <row r="485">
      <c r="A485" s="17" t="str">
        <f>Cleaning!H493</f>
        <v>kenapa sekarang masalah timbul terjadi eror aplikasi hubungi admin</v>
      </c>
      <c r="B485" s="21" t="str">
        <f>IFERROR(__xludf.DUMMYFUNCTION("REGEXREPLACE(A485,"" "","", "")"),"kenapa, sekarang, masalah, timbul, terjadi, eror, aplikasi, hubungi, admin")</f>
        <v>kenapa, sekarang, masalah, timbul, terjadi, eror, aplikasi, hubungi, admin</v>
      </c>
    </row>
    <row r="486">
      <c r="A486" s="17" t="str">
        <f>Cleaning!H494</f>
        <v>susah amat mo buat akun seharusnya dipermudah dong</v>
      </c>
      <c r="B486" s="21" t="str">
        <f>IFERROR(__xludf.DUMMYFUNCTION("REGEXREPLACE(A486,"" "","", "")"),"susah, amat, mo, buat, akun, seharusnya, dipermudah, dong")</f>
        <v>susah, amat, mo, buat, akun, seharusnya, dipermudah, dong</v>
      </c>
    </row>
    <row r="487">
      <c r="A487" s="17" t="str">
        <f>Cleaning!H495</f>
        <v>tidak bisa dibuka error terus</v>
      </c>
      <c r="B487" s="21" t="str">
        <f>IFERROR(__xludf.DUMMYFUNCTION("REGEXREPLACE(A487,"" "","", "")"),"tidak, bisa, dibuka, error, terus")</f>
        <v>tidak, bisa, dibuka, error, terus</v>
      </c>
    </row>
    <row r="488">
      <c r="A488" s="17" t="str">
        <f>Cleaning!H496</f>
        <v>error trus percuma di download</v>
      </c>
      <c r="B488" s="21" t="str">
        <f>IFERROR(__xludf.DUMMYFUNCTION("REGEXREPLACE(A488,"" "","", "")"),"error, trus, percuma, di, download")</f>
        <v>error, trus, percuma, di, download</v>
      </c>
    </row>
    <row r="489">
      <c r="A489" s="17" t="str">
        <f>Cleaning!H497</f>
        <v>kenapa apk nya udh didaftarkan malah gk bisa masukkpayahhh</v>
      </c>
      <c r="B489" s="21" t="str">
        <f>IFERROR(__xludf.DUMMYFUNCTION("REGEXREPLACE(A489,"" "","", "")"),"kenapa, apk, nya, udh, didaftarkan, malah, gk, bisa, masukkpayahhh")</f>
        <v>kenapa, apk, nya, udh, didaftarkan, malah, gk, bisa, masukkpayahhh</v>
      </c>
    </row>
    <row r="490">
      <c r="A490" s="17" t="str">
        <f>Cleaning!H498</f>
        <v>sudah dua hari saya coba tapi slalu error</v>
      </c>
      <c r="B490" s="21" t="str">
        <f>IFERROR(__xludf.DUMMYFUNCTION("REGEXREPLACE(A490,"" "","", "")"),"sudah, dua, hari, saya, coba, tapi, slalu, error")</f>
        <v>sudah, dua, hari, saya, coba, tapi, slalu, error</v>
      </c>
    </row>
    <row r="491">
      <c r="A491" s="17" t="str">
        <f>Cleaning!H499</f>
        <v>ga bisa bikin akun baru error terus aplikasinya</v>
      </c>
      <c r="B491" s="21" t="str">
        <f>IFERROR(__xludf.DUMMYFUNCTION("REGEXREPLACE(A491,"" "","", "")"),"ga, bisa, bikin, akun, baru, error, terus, aplikasinya")</f>
        <v>ga, bisa, bikin, akun, baru, error, terus, aplikasinya</v>
      </c>
    </row>
    <row r="492">
      <c r="A492" s="17" t="str">
        <f>Cleaning!H500</f>
        <v>sya baru download mau daftar kok loading terus ada tulisan error json parse mulu</v>
      </c>
      <c r="B492" s="21" t="str">
        <f>IFERROR(__xludf.DUMMYFUNCTION("REGEXREPLACE(A492,"" "","", "")"),"sya, baru, download, mau, daftar, kok, loading, terus, ada, tulisan, error, json, parse, mulu")</f>
        <v>sya, baru, download, mau, daftar, kok, loading, terus, ada, tulisan, error, json, parse, mulu</v>
      </c>
    </row>
    <row r="493">
      <c r="A493" s="17" t="str">
        <f>Cleaning!H501</f>
        <v>selalu error stiap mo login</v>
      </c>
      <c r="B493" s="21" t="str">
        <f>IFERROR(__xludf.DUMMYFUNCTION("REGEXREPLACE(A493,"" "","", "")"),"selalu, error, stiap, mo, login")</f>
        <v>selalu, error, stiap, mo, login</v>
      </c>
    </row>
    <row r="494">
      <c r="A494" s="17" t="str">
        <f>Cleaning!H502</f>
        <v>ternyata semua kecewa ya sama aplikasi ini  susah masuk nya</v>
      </c>
      <c r="B494" s="21" t="str">
        <f>IFERROR(__xludf.DUMMYFUNCTION("REGEXREPLACE(A494,"" "","", "")"),"ternyata, semua, kecewa, ya, sama, aplikasi, ini, , susah, masuk, nya")</f>
        <v>ternyata, semua, kecewa, ya, sama, aplikasi, ini, , susah, masuk, nya</v>
      </c>
    </row>
    <row r="495">
      <c r="A495" s="17" t="str">
        <f>Cleaning!H503</f>
        <v>udah berapakali saya coba error terus mendaftar akun</v>
      </c>
      <c r="B495" s="21" t="str">
        <f>IFERROR(__xludf.DUMMYFUNCTION("REGEXREPLACE(A495,"" "","", "")"),"udah, berapakali, saya, coba, error, terus, mendaftar, akun")</f>
        <v>udah, berapakali, saya, coba, error, terus, mendaftar, akun</v>
      </c>
    </row>
    <row r="496">
      <c r="A496" s="17" t="str">
        <f>Cleaning!H504</f>
        <v>ga bisa ngajuin eror mulu perbaiki donk</v>
      </c>
      <c r="B496" s="21" t="str">
        <f>IFERROR(__xludf.DUMMYFUNCTION("REGEXREPLACE(A496,"" "","", "")"),"ga, bisa, ngajuin, eror, mulu, perbaiki, donk")</f>
        <v>ga, bisa, ngajuin, eror, mulu, perbaiki, donk</v>
      </c>
    </row>
    <row r="497">
      <c r="A497" s="17" t="str">
        <f>Cleaning!H505</f>
        <v>aplikasi error terus aplikasi sekelas milik pemerintah kok amburadul gak beres apakah hanya untuk ngeprank rakyat</v>
      </c>
      <c r="B497" s="21" t="str">
        <f>IFERROR(__xludf.DUMMYFUNCTION("REGEXREPLACE(A497,"" "","", "")"),"aplikasi, error, terus, aplikasi, sekelas, milik, pemerintah, kok, amburadul, gak, beres, apakah, hanya, untuk, ngeprank, rakyat")</f>
        <v>aplikasi, error, terus, aplikasi, sekelas, milik, pemerintah, kok, amburadul, gak, beres, apakah, hanya, untuk, ngeprank, rakyat</v>
      </c>
    </row>
    <row r="498">
      <c r="A498" s="17" t="str">
        <f>Cleaning!H506</f>
        <v>eror trs mau buka link yg dikirim ke email buat password baru</v>
      </c>
      <c r="B498" s="21" t="str">
        <f>IFERROR(__xludf.DUMMYFUNCTION("REGEXREPLACE(A498,"" "","", "")"),"eror, trs, mau, buka, link, yg, dikirim, ke, email, buat, password, baru")</f>
        <v>eror, trs, mau, buka, link, yg, dikirim, ke, email, buat, password, baru</v>
      </c>
    </row>
    <row r="499">
      <c r="A499" s="17" t="str">
        <f>Cleaning!H507</f>
        <v>apk nya error teruskenapa tuh</v>
      </c>
      <c r="B499" s="21" t="str">
        <f>IFERROR(__xludf.DUMMYFUNCTION("REGEXREPLACE(A499,"" "","", "")"),"apk, nya, error, teruskenapa, tuh")</f>
        <v>apk, nya, error, teruskenapa, tuh</v>
      </c>
    </row>
    <row r="500">
      <c r="A500" s="17" t="str">
        <f>Cleaning!H508</f>
        <v>aplikasi sulit masuk utk login</v>
      </c>
      <c r="B500" s="21" t="str">
        <f>IFERROR(__xludf.DUMMYFUNCTION("REGEXREPLACE(A500,"" "","", "")"),"aplikasi, sulit, masuk, utk, login")</f>
        <v>aplikasi, sulit, masuk, utk, login</v>
      </c>
    </row>
    <row r="501">
      <c r="A501" s="17" t="str">
        <f>Cleaning!H509</f>
        <v>tidak bisa login sedangkan saya gak pernah dapat bantuan apapun</v>
      </c>
      <c r="B501" s="21" t="str">
        <f>IFERROR(__xludf.DUMMYFUNCTION("REGEXREPLACE(A501,"" "","", "")"),"tidak, bisa, login, sedangkan, saya, gak, pernah, dapat, bantuan, apapun")</f>
        <v>tidak, bisa, login, sedangkan, saya, gak, pernah, dapat, bantuan, apapun</v>
      </c>
    </row>
    <row r="502">
      <c r="A502" s="17" t="str">
        <f>Cleaning!H510</f>
        <v>baru upload data aplikasi berhenti trus</v>
      </c>
      <c r="B502" s="21" t="str">
        <f>IFERROR(__xludf.DUMMYFUNCTION("REGEXREPLACE(A502,"" "","", "")"),"baru, upload, data, aplikasi, berhenti, trus")</f>
        <v>baru, upload, data, aplikasi, berhenti, trus</v>
      </c>
    </row>
    <row r="503">
      <c r="A503" s="17" t="str">
        <f>Cleaning!H511</f>
        <v>saya sudah daftar tapi pas mau masuk eror terus</v>
      </c>
      <c r="B503" s="21" t="str">
        <f>IFERROR(__xludf.DUMMYFUNCTION("REGEXREPLACE(A503,"" "","", "")"),"saya, sudah, daftar, tapi, pas, mau, masuk, eror, terus")</f>
        <v>saya, sudah, daftar, tapi, pas, mau, masuk, eror, terus</v>
      </c>
    </row>
    <row r="504">
      <c r="A504" s="17" t="str">
        <f>Cleaning!H512</f>
        <v>ko saya ga bisa daftar ya terjadi error terus</v>
      </c>
      <c r="B504" s="21" t="str">
        <f>IFERROR(__xludf.DUMMYFUNCTION("REGEXREPLACE(A504,"" "","", "")"),"ko, saya, ga, bisa, daftar, ya, terjadi, error, terus")</f>
        <v>ko, saya, ga, bisa, daftar, ya, terjadi, error, terus</v>
      </c>
    </row>
    <row r="505">
      <c r="A505" s="17" t="str">
        <f>Cleaning!H513</f>
        <v>aplikasi palsu penyadab data lengkap ini mah  bahaya</v>
      </c>
      <c r="B505" s="21" t="str">
        <f>IFERROR(__xludf.DUMMYFUNCTION("REGEXREPLACE(A505,"" "","", "")"),"aplikasi, palsu, penyadab, data, lengkap, ini, mah, , bahaya")</f>
        <v>aplikasi, palsu, penyadab, data, lengkap, ini, mah, , bahaya</v>
      </c>
    </row>
    <row r="506">
      <c r="A506" s="17" t="str">
        <f>Cleaning!H514</f>
        <v>aplikasi eror terus ketika registrasi</v>
      </c>
      <c r="B506" s="21" t="str">
        <f>IFERROR(__xludf.DUMMYFUNCTION("REGEXREPLACE(A506,"" "","", "")"),"aplikasi, eror, terus, ketika, registrasi")</f>
        <v>aplikasi, eror, terus, ketika, registrasi</v>
      </c>
    </row>
    <row r="507">
      <c r="A507" s="17" t="str">
        <f>Cleaning!H515</f>
        <v>belom pernah daftar udah ada yg make aja</v>
      </c>
      <c r="B507" s="21" t="str">
        <f>IFERROR(__xludf.DUMMYFUNCTION("REGEXREPLACE(A507,"" "","", "")"),"belom, pernah, daftar, udah, ada, yg, make, aja")</f>
        <v>belom, pernah, daftar, udah, ada, yg, make, aja</v>
      </c>
    </row>
    <row r="508">
      <c r="A508" s="17" t="str">
        <f>Cleaning!H516</f>
        <v>tidak bisa masuk aplikasi eror</v>
      </c>
      <c r="B508" s="21" t="str">
        <f>IFERROR(__xludf.DUMMYFUNCTION("REGEXREPLACE(A508,"" "","", "")"),"tidak, bisa, masuk, aplikasi, eror")</f>
        <v>tidak, bisa, masuk, aplikasi, eror</v>
      </c>
    </row>
    <row r="509">
      <c r="A509" s="17" t="str">
        <f>Cleaning!H517</f>
        <v>ko daftar gk bisabisa loding melulu kalau da jelas gak bisa bilang bosjangan gasi arap kerna orang susah kaya kami ini memang butuh bos</v>
      </c>
      <c r="B509" s="21" t="str">
        <f>IFERROR(__xludf.DUMMYFUNCTION("REGEXREPLACE(A509,"" "","", "")"),"ko, daftar, gk, bisabisa, loding, melulu, kalau, da, jelas, gak, bisa, bilang, bosjangan, gasi, arap, kerna, orang, susah, kaya, kami, ini, memang, butuh, bos")</f>
        <v>ko, daftar, gk, bisabisa, loding, melulu, kalau, da, jelas, gak, bisa, bilang, bosjangan, gasi, arap, kerna, orang, susah, kaya, kami, ini, memang, butuh, bos</v>
      </c>
    </row>
    <row r="510">
      <c r="A510" s="17" t="str">
        <f>Cleaning!H518</f>
        <v>saya sudah lebih dari  bulan belum dpt email aktivasihadehhhhhhhhhhh</v>
      </c>
      <c r="B510" s="21" t="str">
        <f>IFERROR(__xludf.DUMMYFUNCTION("REGEXREPLACE(A510,"" "","", "")"),"saya, sudah, lebih, dari, , bulan, belum, dpt, email, aktivasihadehhhhhhhhhhh")</f>
        <v>saya, sudah, lebih, dari, , bulan, belum, dpt, email, aktivasihadehhhhhhhhhhh</v>
      </c>
    </row>
    <row r="511">
      <c r="A511" s="17" t="str">
        <f>Cleaning!H519</f>
        <v>kerja woi di bayar pemerintah gak memperbaiki bugnya bug dftr ngisi provinsi error</v>
      </c>
      <c r="B511" s="21" t="str">
        <f>IFERROR(__xludf.DUMMYFUNCTION("REGEXREPLACE(A511,"" "","", "")"),"kerja, woi, di, bayar, pemerintah, gak, memperbaiki, bugnya, bug, dftr, ngisi, provinsi, error")</f>
        <v>kerja, woi, di, bayar, pemerintah, gak, memperbaiki, bugnya, bug, dftr, ngisi, provinsi, error</v>
      </c>
    </row>
    <row r="512">
      <c r="A512" s="17" t="str">
        <f>Cleaning!H520</f>
        <v>kecewa sma apk ny baru download baru pertama kali daftar akun gk bisa² json eror trus capek ngulang² ngisi formulir ny apk erornya eror trus</v>
      </c>
      <c r="B512" s="21" t="str">
        <f>IFERROR(__xludf.DUMMYFUNCTION("REGEXREPLACE(A512,"" "","", "")"),"kecewa, sma, apk, ny, baru, download, baru, pertama, kali, daftar, akun, gk, bisa², json, eror, trus, capek, ngulang², ngisi, formulir, ny, apk, erornya, eror, trus")</f>
        <v>kecewa, sma, apk, ny, baru, download, baru, pertama, kali, daftar, akun, gk, bisa², json, eror, trus, capek, ngulang², ngisi, formulir, ny, apk, erornya, eror, trus</v>
      </c>
    </row>
    <row r="513">
      <c r="A513" s="17" t="str">
        <f>Cleaning!H521</f>
        <v>aplikasi error ngak bisa daftar</v>
      </c>
      <c r="B513" s="21" t="str">
        <f>IFERROR(__xludf.DUMMYFUNCTION("REGEXREPLACE(A513,"" "","", "")"),"aplikasi, error, ngak, bisa, daftar")</f>
        <v>aplikasi, error, ngak, bisa, daftar</v>
      </c>
    </row>
    <row r="514">
      <c r="A514" s="17" t="str">
        <f>Cleaning!H522</f>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c r="B514" s="21" t="str">
        <f>IFERROR(__xludf.DUMMYFUNCTION("REGEXREPLACE(A514,"" "","", "")"),"saranuntuk, masuk, atau, daftar, seharusnya, menggunakan, akun, google, aja, tidak, perlu, memasukan, no, kk, ktp, dan, swaphoto, kan, cuma, ngecek, bansos, seharusnya, seperti, di, situsnya, tanpa, login, bisa, cek, data, kecuali, kalau, untuk, pendaftar"&amp;"an, bantuan, baru, menggunakan, kk, ktp, dan, lain, sebagainya, terimakasih")</f>
        <v>saranuntuk, masuk, atau, daftar, seharusnya, menggunakan, akun, google, aja, tidak, perlu, memasukan, no, kk, ktp, dan, swaphoto, kan, cuma, ngecek, bansos, seharusnya, seperti, di, situsnya, tanpa, login, bisa, cek, data, kecuali, kalau, untuk, pendaftaran, bantuan, baru, menggunakan, kk, ktp, dan, lain, sebagainya, terimakasih</v>
      </c>
    </row>
    <row r="515">
      <c r="A515" s="17" t="str">
        <f>Cleaning!H523</f>
        <v>aplikasi tidal bermutu hari gagal terus</v>
      </c>
      <c r="B515" s="21" t="str">
        <f>IFERROR(__xludf.DUMMYFUNCTION("REGEXREPLACE(A515,"" "","", "")"),"aplikasi, tidal, bermutu, hari, gagal, terus")</f>
        <v>aplikasi, tidal, bermutu, hari, gagal, terus</v>
      </c>
    </row>
    <row r="516">
      <c r="A516" s="17" t="str">
        <f>Cleaning!H524</f>
        <v>error saat pendaftaran developer tolong direspon secepatnya buat kemensos kalo bisa yang ngurus aplikasi digital kaya gini jangan hanya sekedar sarjana tapi pilih yang benar mampu bekerja banyak yang asal sarjana tapi ga mampu mengelola tugasnya seperti apalikasi ini banyak juga yang ga sekola tapi skill mumpuni terima kasih</v>
      </c>
      <c r="B516" s="21" t="str">
        <f>IFERROR(__xludf.DUMMYFUNCTION("REGEXREPLACE(A516,"" "","", "")"),"error, saat, pendaftaran, developer, tolong, direspon, secepatnya, buat, kemensos, kalo, bisa, yang, ngurus, aplikasi, digital, kaya, gini, jangan, hanya, sekedar, sarjana, tapi, pilih, yang, benar, mampu, bekerja, banyak, yang, asal, sarjana, tapi, ga, m"&amp;"ampu, mengelola, tugasnya, seperti, apalikasi, ini, banyak, juga, yang, ga, sekola, tapi, skill, mumpuni, terima, kasih")</f>
        <v>error, saat, pendaftaran, developer, tolong, direspon, secepatnya, buat, kemensos, kalo, bisa, yang, ngurus, aplikasi, digital, kaya, gini, jangan, hanya, sekedar, sarjana, tapi, pilih, yang, benar, mampu, bekerja, banyak, yang, asal, sarjana, tapi, ga, mampu, mengelola, tugasnya, seperti, apalikasi, ini, banyak, juga, yang, ga, sekola, tapi, skill, mumpuni, terima, kasih</v>
      </c>
    </row>
    <row r="517">
      <c r="A517" s="17" t="str">
        <f>Cleaning!H525</f>
        <v>daftar tgl  september tgl  baru di acc akun pendaftaran nya dan diterima eh pas mau login kesalahan koneksi wkwkwk ini bagaimana aplikasi tidak berfungsi sebagai mana mestinya tolong dunk itnya atau programmer nya diperbaharui</v>
      </c>
      <c r="B517" s="21" t="str">
        <f>IFERROR(__xludf.DUMMYFUNCTION("REGEXREPLACE(A517,"" "","", "")"),"daftar, tgl, , september, tgl, , baru, di, acc, akun, pendaftaran, nya, dan, diterima, eh, pas, mau, login, kesalahan, koneksi, wkwkwk, ini, bagaimana, aplikasi, tidak, berfungsi, sebagai, mana, mestinya, tolong, dunk, itnya, atau, programmer, nya, diperb"&amp;"aharui")</f>
        <v>daftar, tgl, , september, tgl, , baru, di, acc, akun, pendaftaran, nya, dan, diterima, eh, pas, mau, login, kesalahan, koneksi, wkwkwk, ini, bagaimana, aplikasi, tidak, berfungsi, sebagai, mana, mestinya, tolong, dunk, itnya, atau, programmer, nya, diperbaharui</v>
      </c>
    </row>
    <row r="518">
      <c r="A518" s="17" t="str">
        <f>Cleaning!H526</f>
        <v>ga bisa registrasi tolong diperbaiki</v>
      </c>
      <c r="B518" s="21" t="str">
        <f>IFERROR(__xludf.DUMMYFUNCTION("REGEXREPLACE(A518,"" "","", "")"),"ga, bisa, registrasi, tolong, diperbaiki")</f>
        <v>ga, bisa, registrasi, tolong, diperbaiki</v>
      </c>
    </row>
    <row r="519">
      <c r="A519" s="17" t="str">
        <f>Cleaning!H527</f>
        <v>ikut temanapk ga bermanfaat bangetcuma mau ngumpuli data</v>
      </c>
      <c r="B519" s="21" t="str">
        <f>IFERROR(__xludf.DUMMYFUNCTION("REGEXREPLACE(A519,"" "","", "")"),"ikut, temanapk, ga, bermanfaat, bangetcuma, mau, ngumpuli, data")</f>
        <v>ikut, temanapk, ga, bermanfaat, bangetcuma, mau, ngumpuli, data</v>
      </c>
    </row>
    <row r="520">
      <c r="A520" s="17" t="str">
        <f>Cleaning!H528</f>
        <v>semua pasti butuh bantuan tapi kalau yang namanya sistem pasti tidak jelas arah tujuannya kembali untuk yang manual jelas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c r="B520" s="21" t="str">
        <f>IFERROR(__xludf.DUMMYFUNCTION("REGEXREPLACE(A520,"" "","", "")"),"semua, pasti, butuh, bantuan, tapi, kalau, yang, namanya, sistem, pasti, tidak, jelas, arah, tujuannya, kembali, untuk, yang, manual, jelas, ibu, saya, yang, janda, dapat, lansia, bansosdan, sekarang, blt, bbm, sudah, ada, di, sistem, developer, website, "&amp;"yang, bisa, di, lihat, semua, kalangan, tapi, apa, kenyataannya, setelah, konfirmasi, ke, kelurahan, dengan, mudahnya, cuma, bilang, surat, sudah, di, kembalikan, dengan, alasan, tidak, menetap, padahal, setiap, bulan, ibu, saya, bayar, iuran, rtrw, dan, "&amp;"sering, melihat, rumahnya")</f>
        <v>semua, pasti, butuh, bantuan, tapi, kalau, yang, namanya, sistem, pasti, tidak, jelas, arah, tujuannya, kembali, untuk, yang, manual, jelas, ibu, saya, yang, janda, dapat, lansia, bansosdan, sekarang, blt, bbm, sudah, ada, di, sistem, developer, website, yang, bisa, di, lihat, semua, kalangan, tapi, apa, kenyataannya, setelah, konfirmasi, ke, kelurahan, dengan, mudahnya, cuma, bilang, surat, sudah, di, kembalikan, dengan, alasan, tidak, menetap, padahal, setiap, bulan, ibu, saya, bayar, iuran, rtrw, dan, sering, melihat, rumahnya</v>
      </c>
    </row>
    <row r="521">
      <c r="A521" s="17" t="str">
        <f>Cleaning!H529</f>
        <v>aplikasi rusak benerin bug aja ga bisa masa iya aplikasi kek begini bisa dilolosin sama developer sekelas pemerintahan pake otak lah kalo mau begoin rakyat berkali kali daftar tetep aja eror mungkin emang udah settingan biar pada ga bisa daftar supaya bisa dikorupsiin</v>
      </c>
      <c r="B521" s="21" t="str">
        <f>IFERROR(__xludf.DUMMYFUNCTION("REGEXREPLACE(A521,"" "","", "")"),"aplikasi, rusak, benerin, bug, aja, ga, bisa, masa, iya, aplikasi, kek, begini, bisa, dilolosin, sama, developer, sekelas, pemerintahan, pake, otak, lah, kalo, mau, begoin, rakyat, berkali, kali, daftar, tetep, aja, eror, mungkin, emang, udah, settingan, "&amp;"biar, pada, ga, bisa, daftar, supaya, bisa, dikorupsiin")</f>
        <v>aplikasi, rusak, benerin, bug, aja, ga, bisa, masa, iya, aplikasi, kek, begini, bisa, dilolosin, sama, developer, sekelas, pemerintahan, pake, otak, lah, kalo, mau, begoin, rakyat, berkali, kali, daftar, tetep, aja, eror, mungkin, emang, udah, settingan, biar, pada, ga, bisa, daftar, supaya, bisa, dikorupsiin</v>
      </c>
    </row>
    <row r="522">
      <c r="A522" s="17" t="str">
        <f>Cleaning!H530</f>
        <v>data sudah diisi semua tapi pas klik buat akun baru selalu muncul tulisan connection reset maksudnya apa ya koq sesulit ini mau daftar aja please perbaiki bug yg mengganggu aplikasi seharusnya memudahkan bukan menyulitkan</v>
      </c>
      <c r="B522" s="21" t="str">
        <f>IFERROR(__xludf.DUMMYFUNCTION("REGEXREPLACE(A522,"" "","", "")"),"data, sudah, diisi, semua, tapi, pas, klik, buat, akun, baru, selalu, muncul, tulisan, connection, reset, maksudnya, apa, ya, koq, sesulit, ini, mau, daftar, aja, please, perbaiki, bug, yg, mengganggu, aplikasi, seharusnya, memudahkan, bukan, menyulitkan")</f>
        <v>data, sudah, diisi, semua, tapi, pas, klik, buat, akun, baru, selalu, muncul, tulisan, connection, reset, maksudnya, apa, ya, koq, sesulit, ini, mau, daftar, aja, please, perbaiki, bug, yg, mengganggu, aplikasi, seharusnya, memudahkan, bukan, menyulitkan</v>
      </c>
    </row>
    <row r="523">
      <c r="A523" s="17" t="str">
        <f>Cleaning!H531</f>
        <v>aplikasi macam apa ini bukannya memudahkan masyarakan malah mempersulit masyarakat pas mau daftar malah muncul tulisan connection error padahal koneksi lancar jaya aplikasi jelek menyusahkan rakyat</v>
      </c>
      <c r="B523" s="21" t="str">
        <f>IFERROR(__xludf.DUMMYFUNCTION("REGEXREPLACE(A523,"" "","", "")"),"aplikasi, macam, apa, ini, bukannya, memudahkan, masyarakan, malah, mempersulit, masyarakat, pas, mau, daftar, malah, muncul, tulisan, connection, error, padahal, koneksi, lancar, jaya, aplikasi, jelek, menyusahkan, rakyat")</f>
        <v>aplikasi, macam, apa, ini, bukannya, memudahkan, masyarakan, malah, mempersulit, masyarakat, pas, mau, daftar, malah, muncul, tulisan, connection, error, padahal, koneksi, lancar, jaya, aplikasi, jelek, menyusahkan, rakyat</v>
      </c>
    </row>
    <row r="524">
      <c r="A524" s="17" t="str">
        <f>Cleaning!H532</f>
        <v>aplikasi yg katanya buat mempermudah masyarakat emang gada yg bener sengaja kali ya ngeprank rakyatnya</v>
      </c>
      <c r="B524" s="21" t="str">
        <f>IFERROR(__xludf.DUMMYFUNCTION("REGEXREPLACE(A524,"" "","", "")"),"aplikasi, yg, katanya, buat, mempermudah, masyarakat, emang, gada, yg, bener, sengaja, kali, ya, ngeprank, rakyatnya")</f>
        <v>aplikasi, yg, katanya, buat, mempermudah, masyarakat, emang, gada, yg, bener, sengaja, kali, ya, ngeprank, rakyatnya</v>
      </c>
    </row>
    <row r="525">
      <c r="A525" s="17" t="str">
        <f>Cleaning!H533</f>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c r="B525" s="21" t="str">
        <f>IFERROR(__xludf.DUMMYFUNCTION("REGEXREPLACE(A525,"" "","", "")"),"aplikasinya, ada, error, bos, perbaiki, lagi, aplikasinya, bos, muncul, popup, error, saat, kita, pilih, kecamatan, dengan, tulisan, error, json, parse, saran, kami, serahkan, kepada, orang, yg, punya, kemampuan, dan, ahlinya, bikin, aplikasi, untuk, urus"&amp;"an, orang, banyak, ini, supaya, tidak, error, terus, dan, sebelum, di, upload, ke, online, di, playstore, di, tes, dulu, secara, offline, lakukan, cek, dan, ricek, satu, lagi, untuk, proses, verifikasi, mendaftar, dan, verifikasi, usulan, tolong, dipercep"&amp;"at, juga, semoga, lebih, baik, lagi, aplikasinya")</f>
        <v>aplikasinya, ada, error, bos, perbaiki, lagi, aplikasinya, bos, muncul, popup, error, saat, kita, pilih, kecamatan, dengan, tulisan, error, json, parse, saran, kami, serahkan, kepada, orang, yg, punya, kemampuan, dan, ahlinya, bikin, aplikasi, untuk, urusan, orang, banyak, ini, supaya, tidak, error, terus, dan, sebelum, di, upload, ke, online, di, playstore, di, tes, dulu, secara, offline, lakukan, cek, dan, ricek, satu, lagi, untuk, proses, verifikasi, mendaftar, dan, verifikasi, usulan, tolong, dipercepat, juga, semoga, lebih, baik, lagi, aplikasinya</v>
      </c>
    </row>
    <row r="526">
      <c r="A526" s="17" t="str">
        <f>Cleaning!H534</f>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c r="B526" s="21" t="str">
        <f>IFERROR(__xludf.DUMMYFUNCTION("REGEXREPLACE(A526,"" "","", "")"),"saya, sudah, daftar, akun, baru, dan, swafoto, bersama, ktp, dan, foto, ktp, dan, semua, data, sya, isi, dengan, lengkap, dan, benar, kenapa, setelah, semua, data, masuk, malah, tdk, bisa, login, dan, klo, login, muncul, username, tidak, terdeteksi, padah"&amp;"al, semua, data, sdh, sya, isi, dgn, benar, mohon, penjelasannya, admin, terimakasih")</f>
        <v>saya, sudah, daftar, akun, baru, dan, swafoto, bersama, ktp, dan, foto, ktp, dan, semua, data, sya, isi, dengan, lengkap, dan, benar, kenapa, setelah, semua, data, masuk, malah, tdk, bisa, login, dan, klo, login, muncul, username, tidak, terdeteksi, padahal, semua, data, sdh, sya, isi, dgn, benar, mohon, penjelasannya, admin, terimakasih</v>
      </c>
    </row>
    <row r="527">
      <c r="A527" s="17" t="str">
        <f>Cleaning!H535</f>
        <v>aplikasi ini tidak bisa digunakansetiap kali mau masuk yg muncul di layar cuma username dan password tidak di kenalbelum di aktivasi sampai berkalikali sy coba &amp; menunggu kapan di aktivasi bolakbalik cek email tp belum ada balasan dari aplikasi ini</v>
      </c>
      <c r="B527" s="21" t="str">
        <f>IFERROR(__xludf.DUMMYFUNCTION("REGEXREPLACE(A527,"" "","", "")"),"aplikasi, ini, tidak, bisa, digunakansetiap, kali, mau, masuk, yg, muncul, di, layar, cuma, username, dan, password, tidak, di, kenalbelum, di, aktivasi, sampai, berkalikali, sy, coba, &amp;, menunggu, kapan, di, aktivasi, bolakbalik, cek, email, tp, belum, a"&amp;"da, balasan, dari, aplikasi, ini")</f>
        <v>aplikasi, ini, tidak, bisa, digunakansetiap, kali, mau, masuk, yg, muncul, di, layar, cuma, username, dan, password, tidak, di, kenalbelum, di, aktivasi, sampai, berkalikali, sy, coba, &amp;, menunggu, kapan, di, aktivasi, bolakbalik, cek, email, tp, belum, ada, balasan, dari, aplikasi, ini</v>
      </c>
    </row>
    <row r="528">
      <c r="A528" s="17" t="str">
        <f>Cleaning!H536</f>
        <v>aplikasi eror mulu mau daftar gak bisa terus</v>
      </c>
      <c r="B528" s="21" t="str">
        <f>IFERROR(__xludf.DUMMYFUNCTION("REGEXREPLACE(A528,"" "","", "")"),"aplikasi, eror, mulu, mau, daftar, gak, bisa, terus")</f>
        <v>aplikasi, eror, mulu, mau, daftar, gak, bisa, terus</v>
      </c>
    </row>
    <row r="529">
      <c r="A529" s="17" t="str">
        <f>Cleaning!H537</f>
        <v>kok apk nya eror sihh baru juga mau daftar</v>
      </c>
      <c r="B529" s="21" t="str">
        <f>IFERROR(__xludf.DUMMYFUNCTION("REGEXREPLACE(A529,"" "","", "")"),"kok, apk, nya, eror, sihh, baru, juga, mau, daftar")</f>
        <v>kok, apk, nya, eror, sihh, baru, juga, mau, daftar</v>
      </c>
    </row>
    <row r="530">
      <c r="A530" s="17" t="str">
        <f>Cleaning!H538</f>
        <v>saya sudah beberapa kali coba daftar tapi error terus sengaja di persulit nih</v>
      </c>
      <c r="B530" s="21" t="str">
        <f>IFERROR(__xludf.DUMMYFUNCTION("REGEXREPLACE(A530,"" "","", "")"),"saya, sudah, beberapa, kali, coba, daftar, tapi, error, terus, sengaja, di, persulit, nih")</f>
        <v>saya, sudah, beberapa, kali, coba, daftar, tapi, error, terus, sengaja, di, persulit, nih</v>
      </c>
    </row>
    <row r="531">
      <c r="A531" s="17" t="str">
        <f>Cleaning!H539</f>
        <v>kenapa tiap mau tambah usulan eror terus tolong perbaiki aplikasinya</v>
      </c>
      <c r="B531" s="21" t="str">
        <f>IFERROR(__xludf.DUMMYFUNCTION("REGEXREPLACE(A531,"" "","", "")"),"kenapa, tiap, mau, tambah, usulan, eror, terus, tolong, perbaiki, aplikasinya")</f>
        <v>kenapa, tiap, mau, tambah, usulan, eror, terus, tolong, perbaiki, aplikasinya</v>
      </c>
    </row>
    <row r="532">
      <c r="A532" s="17" t="str">
        <f>Cleaning!H540</f>
        <v>apknya error terus sudah diisi dengan bener</v>
      </c>
      <c r="B532" s="21" t="str">
        <f>IFERROR(__xludf.DUMMYFUNCTION("REGEXREPLACE(A532,"" "","", "")"),"apknya, error, terus, sudah, diisi, dengan, bener")</f>
        <v>apknya, error, terus, sudah, diisi, dengan, bener</v>
      </c>
    </row>
    <row r="533">
      <c r="A533" s="17" t="str">
        <f>Cleaning!H541</f>
        <v>aplikasi gak jelas login malah error</v>
      </c>
      <c r="B533" s="21" t="str">
        <f>IFERROR(__xludf.DUMMYFUNCTION("REGEXREPLACE(A533,"" "","", "")"),"aplikasi, gak, jelas, login, malah, error")</f>
        <v>aplikasi, gak, jelas, login, malah, error</v>
      </c>
    </row>
    <row r="534">
      <c r="A534" s="17" t="str">
        <f>Cleaning!H542</f>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c r="B534" s="21" t="str">
        <f>IFERROR(__xludf.DUMMYFUNCTION("REGEXREPLACE(A534,"" "","", "")"),"aplikasi, tidak, berguna, sama, sekali, sudah, daftar, buat, akun, baru, malah, ga, bisa, login, daftar, ulang, katanya, nik, anda, sudah, terdaftar, balik, login, lagi, katanya, username, dan, password, anda, tidak, ditemukan, belum, di, aktivasi, kesann"&amp;"ya, kayak, dibodohin, aplikasi, aplikasi, nya, aja, kayak, gini, setiap, ada, bantuan, cek, nama, saya, nik, saya, selalu, ga, ada, dan, tidak, terdaftar, sebagai, penerima, padahal, saya, bukan, pns, dan, gaji, dibawah, umr")</f>
        <v>aplikasi, tidak, berguna, sama, sekali, sudah, daftar, buat, akun, baru, malah, ga, bisa, login, daftar, ulang, katanya, nik, anda, sudah, terdaftar, balik, login, lagi, katanya, username, dan, password, anda, tidak, ditemukan, belum, di, aktivasi, kesannya, kayak, dibodohin, aplikasi, aplikasi, nya, aja, kayak, gini, setiap, ada, bantuan, cek, nama, saya, nik, saya, selalu, ga, ada, dan, tidak, terdaftar, sebagai, penerima, padahal, saya, bukan, pns, dan, gaji, dibawah, umr</v>
      </c>
    </row>
    <row r="535">
      <c r="A535" s="17" t="str">
        <f>Cleaning!H543</f>
        <v>udah dapat email verifikasi tapi setelah mencoba login emailsandi belum terverifikasi bikin naik darah gula aja</v>
      </c>
      <c r="B535" s="21" t="str">
        <f>IFERROR(__xludf.DUMMYFUNCTION("REGEXREPLACE(A535,"" "","", "")"),"udah, dapat, email, verifikasi, tapi, setelah, mencoba, login, emailsandi, belum, terverifikasi, bikin, naik, darah, gula, aja")</f>
        <v>udah, dapat, email, verifikasi, tapi, setelah, mencoba, login, emailsandi, belum, terverifikasi, bikin, naik, darah, gula, aja</v>
      </c>
    </row>
    <row r="536">
      <c r="A536" s="17" t="str">
        <f>Cleaning!H544</f>
        <v>aplikasi apa ini data diri uda lenggkap mala eror terus sama sekali nggak guna</v>
      </c>
      <c r="B536" s="21" t="str">
        <f>IFERROR(__xludf.DUMMYFUNCTION("REGEXREPLACE(A536,"" "","", "")"),"aplikasi, apa, ini, data, diri, uda, lenggkap, mala, eror, terus, sama, sekali, nggak, guna")</f>
        <v>aplikasi, apa, ini, data, diri, uda, lenggkap, mala, eror, terus, sama, sekali, nggak, guna</v>
      </c>
    </row>
    <row r="537">
      <c r="A537" s="17" t="str">
        <f>Cleaning!H545</f>
        <v>kok habis daftar gak bisa dibuka</v>
      </c>
      <c r="B537" s="21" t="str">
        <f>IFERROR(__xludf.DUMMYFUNCTION("REGEXREPLACE(A537,"" "","", "")"),"kok, habis, daftar, gak, bisa, dibuka")</f>
        <v>kok, habis, daftar, gak, bisa, dibuka</v>
      </c>
    </row>
    <row r="538">
      <c r="A538" s="17" t="str">
        <f>Cleaning!H546</f>
        <v>ini niat nggak sih bikin aplikasi kalo nggak niat mending hapus aja dari playstore nggak usah ada aplikasinya daripada bikin pusing orang lain udah berhasil daftar tapi pas login malah nggak bisa kan konyol</v>
      </c>
      <c r="B538" s="21" t="str">
        <f>IFERROR(__xludf.DUMMYFUNCTION("REGEXREPLACE(A538,"" "","", "")"),"ini, niat, nggak, sih, bikin, aplikasi, kalo, nggak, niat, mending, hapus, aja, dari, playstore, nggak, usah, ada, aplikasinya, daripada, bikin, pusing, orang, lain, udah, berhasil, daftar, tapi, pas, login, malah, nggak, bisa, kan, konyol")</f>
        <v>ini, niat, nggak, sih, bikin, aplikasi, kalo, nggak, niat, mending, hapus, aja, dari, playstore, nggak, usah, ada, aplikasinya, daripada, bikin, pusing, orang, lain, udah, berhasil, daftar, tapi, pas, login, malah, nggak, bisa, kan, konyol</v>
      </c>
    </row>
    <row r="539">
      <c r="A539" s="17" t="str">
        <f>Cleaning!H547</f>
        <v>ketika buat akun eror terusssssss gk pernah bisa trsambung</v>
      </c>
      <c r="B539" s="21" t="str">
        <f>IFERROR(__xludf.DUMMYFUNCTION("REGEXREPLACE(A539,"" "","", "")"),"ketika, buat, akun, eror, terusssssss, gk, pernah, bisa, trsambung")</f>
        <v>ketika, buat, akun, eror, terusssssss, gk, pernah, bisa, trsambung</v>
      </c>
    </row>
    <row r="540">
      <c r="A540" s="17" t="str">
        <f>Cleaning!H548</f>
        <v>kecewa kenapa saya mau daftar tidak bisa selalu saja eror sudah mengulangi mengulangi masih saja eror gak bisa mendaftar</v>
      </c>
      <c r="B540" s="21" t="str">
        <f>IFERROR(__xludf.DUMMYFUNCTION("REGEXREPLACE(A540,"" "","", "")"),"kecewa, kenapa, saya, mau, daftar, tidak, bisa, selalu, saja, eror, sudah, mengulangi, mengulangi, masih, saja, eror, gak, bisa, mendaftar")</f>
        <v>kecewa, kenapa, saya, mau, daftar, tidak, bisa, selalu, saja, eror, sudah, mengulangi, mengulangi, masih, saja, eror, gak, bisa, mendaftar</v>
      </c>
    </row>
    <row r="541">
      <c r="A541" s="17" t="str">
        <f>Cleaning!H549</f>
        <v>bagi pemeritah kalau bikin aplikasi kyk gini ya dirawat dong gk membantu sama sekali mlh dibikin pusing</v>
      </c>
      <c r="B541" s="21" t="str">
        <f>IFERROR(__xludf.DUMMYFUNCTION("REGEXREPLACE(A541,"" "","", "")"),"bagi, pemeritah, kalau, bikin, aplikasi, kyk, gini, ya, dirawat, dong, gk, membantu, sama, sekali, mlh, dibikin, pusing")</f>
        <v>bagi, pemeritah, kalau, bikin, aplikasi, kyk, gini, ya, dirawat, dong, gk, membantu, sama, sekali, mlh, dibikin, pusing</v>
      </c>
    </row>
    <row r="542">
      <c r="A542" s="17" t="str">
        <f>Cleaning!H550</f>
        <v>ngk jelas dan ngk ada manfaatnya hanya ingin jual aplikasi saja</v>
      </c>
      <c r="B542" s="21" t="str">
        <f>IFERROR(__xludf.DUMMYFUNCTION("REGEXREPLACE(A542,"" "","", "")"),"ngk, jelas, dan, ngk, ada, manfaatnya, hanya, ingin, jual, aplikasi, saja")</f>
        <v>ngk, jelas, dan, ngk, ada, manfaatnya, hanya, ingin, jual, aplikasi, saja</v>
      </c>
    </row>
    <row r="543">
      <c r="A543" s="17" t="str">
        <f>Cleaning!H551</f>
        <v>mantapsangat membantu masyarakat banyak terutama temanku si lukman yang ada di kabupaten tanah tidung</v>
      </c>
      <c r="B543" s="21" t="str">
        <f>IFERROR(__xludf.DUMMYFUNCTION("REGEXREPLACE(A543,"" "","", "")"),"mantapsangat, membantu, masyarakat, banyak, terutama, temanku, si, lukman, yang, ada, di, kabupaten, tanah, tidung")</f>
        <v>mantapsangat, membantu, masyarakat, banyak, terutama, temanku, si, lukman, yang, ada, di, kabupaten, tanah, tidung</v>
      </c>
    </row>
    <row r="544">
      <c r="A544" s="17" t="str">
        <f>Cleaning!H552</f>
        <v>aplikasinya payahsering error</v>
      </c>
      <c r="B544" s="21" t="str">
        <f>IFERROR(__xludf.DUMMYFUNCTION("REGEXREPLACE(A544,"" "","", "")"),"aplikasinya, payahsering, error")</f>
        <v>aplikasinya, payahsering, error</v>
      </c>
    </row>
    <row r="545">
      <c r="A545" s="17" t="str">
        <f>Cleaning!H553</f>
        <v>niat bantu masyarakat atau mau niat korupsi ini aplikasi sering eror data sudah berulang kali di masukkantetap aja dibilang salah alamat dan kalo data sudah sesuai malah tetap aja gak bisa malah disuru cek koneksipadahal jaringan g lancar</v>
      </c>
      <c r="B545" s="21" t="str">
        <f>IFERROR(__xludf.DUMMYFUNCTION("REGEXREPLACE(A545,"" "","", "")"),"niat, bantu, masyarakat, atau, mau, niat, korupsi, ini, aplikasi, sering, eror, data, sudah, berulang, kali, di, masukkantetap, aja, dibilang, salah, alamat, dan, kalo, data, sudah, sesuai, malah, tetap, aja, gak, bisa, malah, disuru, cek, koneksipadahal,"&amp;" jaringan, g, lancar")</f>
        <v>niat, bantu, masyarakat, atau, mau, niat, korupsi, ini, aplikasi, sering, eror, data, sudah, berulang, kali, di, masukkantetap, aja, dibilang, salah, alamat, dan, kalo, data, sudah, sesuai, malah, tetap, aja, gak, bisa, malah, disuru, cek, koneksipadahal, jaringan, g, lancar</v>
      </c>
    </row>
    <row r="546">
      <c r="A546" s="17" t="str">
        <f>Cleaning!H554</f>
        <v>penanganan yang sangat lambatkinerja juga sangat lambatgx ada balasan verivikasi emailcuma suruh nunggu aja nyoba login ulang gx bisajuga krn belum diverivikasigx ada target waktu proses verivikasi berapa lamajdi nggantung gitu datanya</v>
      </c>
      <c r="B546" s="21" t="str">
        <f>IFERROR(__xludf.DUMMYFUNCTION("REGEXREPLACE(A546,"" "","", "")"),"penanganan, yang, sangat, lambatkinerja, juga, sangat, lambatgx, ada, balasan, verivikasi, emailcuma, suruh, nunggu, aja, nyoba, login, ulang, gx, bisajuga, krn, belum, diverivikasigx, ada, target, waktu, proses, verivikasi, berapa, lamajdi, nggantung, gi"&amp;"tu, datanya")</f>
        <v>penanganan, yang, sangat, lambatkinerja, juga, sangat, lambatgx, ada, balasan, verivikasi, emailcuma, suruh, nunggu, aja, nyoba, login, ulang, gx, bisajuga, krn, belum, diverivikasigx, ada, target, waktu, proses, verivikasi, berapa, lamajdi, nggantung, gitu, datanya</v>
      </c>
    </row>
    <row r="547">
      <c r="A547" s="17" t="str">
        <f>Cleaning!H555</f>
        <v>aplikasi eror terus tidak bisa di gunakan</v>
      </c>
      <c r="B547" s="21" t="str">
        <f>IFERROR(__xludf.DUMMYFUNCTION("REGEXREPLACE(A547,"" "","", "")"),"aplikasi, eror, terus, tidak, bisa, di, gunakan")</f>
        <v>aplikasi, eror, terus, tidak, bisa, di, gunakan</v>
      </c>
    </row>
    <row r="548">
      <c r="A548" s="17" t="str">
        <f>Cleaning!H556</f>
        <v>saya sudah mengajukan usulan namun sampai sekarang blom ada balasan tanggapanya sudah hampir bulan lamanya</v>
      </c>
      <c r="B548" s="21" t="str">
        <f>IFERROR(__xludf.DUMMYFUNCTION("REGEXREPLACE(A548,"" "","", "")"),"saya, sudah, mengajukan, usulan, namun, sampai, sekarang, blom, ada, balasan, tanggapanya, sudah, hampir, bulan, lamanya")</f>
        <v>saya, sudah, mengajukan, usulan, namun, sampai, sekarang, blom, ada, balasan, tanggapanya, sudah, hampir, bulan, lamanya</v>
      </c>
    </row>
    <row r="549">
      <c r="A549" s="17" t="str">
        <f>Cleaning!H557</f>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c r="B549" s="21" t="str">
        <f>IFERROR(__xludf.DUMMYFUNCTION("REGEXREPLACE(A549,"" "","", "")"),"saat, buat, akun, baru, data, sudah, diisi, dengan, benar, tapi, alasan, nik, tidak, terdaftar, lah, selama, ini, ngurusin, vaksin, stnk, pakai, nik, ini, tidak, masalah, kenapa, di, aplikasi, ini, malah, tidak, terdaftar, tolong, kemensos, kan, aplikasi,"&amp;" langsung, dari, pusat, masak, iya, orang, pusat, tidak, ada, yang, bisa, benerin")</f>
        <v>saat, buat, akun, baru, data, sudah, diisi, dengan, benar, tapi, alasan, nik, tidak, terdaftar, lah, selama, ini, ngurusin, vaksin, stnk, pakai, nik, ini, tidak, masalah, kenapa, di, aplikasi, ini, malah, tidak, terdaftar, tolong, kemensos, kan, aplikasi, langsung, dari, pusat, masak, iya, orang, pusat, tidak, ada, yang, bisa, benerin</v>
      </c>
    </row>
    <row r="550">
      <c r="A550" s="17" t="str">
        <f>Cleaning!H558</f>
        <v>udah di verifikasi aja tetep gx bisa login gajelas ini aplikasi</v>
      </c>
      <c r="B550" s="21" t="str">
        <f>IFERROR(__xludf.DUMMYFUNCTION("REGEXREPLACE(A550,"" "","", "")"),"udah, di, verifikasi, aja, tetep, gx, bisa, login, gajelas, ini, aplikasi")</f>
        <v>udah, di, verifikasi, aja, tetep, gx, bisa, login, gajelas, ini, aplikasi</v>
      </c>
    </row>
    <row r="551">
      <c r="A551" s="17" t="str">
        <f>Cleaning!H559</f>
        <v>ga bisa masuk dan daftar gmna sih tolong di benerin dulu</v>
      </c>
      <c r="B551" s="21" t="str">
        <f>IFERROR(__xludf.DUMMYFUNCTION("REGEXREPLACE(A551,"" "","", "")"),"ga, bisa, masuk, dan, daftar, gmna, sih, tolong, di, benerin, dulu")</f>
        <v>ga, bisa, masuk, dan, daftar, gmna, sih, tolong, di, benerin, dulu</v>
      </c>
    </row>
    <row r="552">
      <c r="A552" s="17" t="str">
        <f>Cleaning!H560</f>
        <v>sudah buat akun gak bisa masuk keterangan blm aktif padahal sudah dapat email</v>
      </c>
      <c r="B552" s="21" t="str">
        <f>IFERROR(__xludf.DUMMYFUNCTION("REGEXREPLACE(A552,"" "","", "")"),"sudah, buat, akun, gak, bisa, masuk, keterangan, blm, aktif, padahal, sudah, dapat, email")</f>
        <v>sudah, buat, akun, gak, bisa, masuk, keterangan, blm, aktif, padahal, sudah, dapat, email</v>
      </c>
    </row>
    <row r="553">
      <c r="A553" s="17" t="str">
        <f>Cleaning!H561</f>
        <v>dari pertama daftar sampai sekarang sudah dapat email aktivasi masih saja di persulit mau login tidak terdapat koneksi padahal sinyal bagus dan kuota pun masih banyak tapi kenapa keterangan nya sperti ini ini kenapa tolong segera di perbaiki</v>
      </c>
      <c r="B553" s="21" t="str">
        <f>IFERROR(__xludf.DUMMYFUNCTION("REGEXREPLACE(A553,"" "","", "")"),"dari, pertama, daftar, sampai, sekarang, sudah, dapat, email, aktivasi, masih, saja, di, persulit, mau, login, tidak, terdapat, koneksi, padahal, sinyal, bagus, dan, kuota, pun, masih, banyak, tapi, kenapa, keterangan, nya, sperti, ini, ini, kenapa, tolon"&amp;"g, segera, di, perbaiki")</f>
        <v>dari, pertama, daftar, sampai, sekarang, sudah, dapat, email, aktivasi, masih, saja, di, persulit, mau, login, tidak, terdapat, koneksi, padahal, sinyal, bagus, dan, kuota, pun, masih, banyak, tapi, kenapa, keterangan, nya, sperti, ini, ini, kenapa, tolong, segera, di, perbaiki</v>
      </c>
    </row>
    <row r="554">
      <c r="A554" s="17" t="str">
        <f>Cleaning!H562</f>
        <v>sangat kecewa sangat sulit di bula dam tidak pernah bisa masuk</v>
      </c>
      <c r="B554" s="21" t="str">
        <f>IFERROR(__xludf.DUMMYFUNCTION("REGEXREPLACE(A554,"" "","", "")"),"sangat, kecewa, sangat, sulit, di, bula, dam, tidak, pernah, bisa, masuk")</f>
        <v>sangat, kecewa, sangat, sulit, di, bula, dam, tidak, pernah, bisa, masuk</v>
      </c>
    </row>
    <row r="555">
      <c r="A555" s="17" t="str">
        <f>Cleaning!H563</f>
        <v>kenapa aku kok gak bisa login ya padahal sudah daftar</v>
      </c>
      <c r="B555" s="21" t="str">
        <f>IFERROR(__xludf.DUMMYFUNCTION("REGEXREPLACE(A555,"" "","", "")"),"kenapa, aku, kok, gak, bisa, login, ya, padahal, sudah, daftar")</f>
        <v>kenapa, aku, kok, gak, bisa, login, ya, padahal, sudah, daftar</v>
      </c>
    </row>
    <row r="556">
      <c r="A556" s="17" t="str">
        <f>Cleaning!H564</f>
        <v>kenapa untuk login ko jd sulit</v>
      </c>
      <c r="B556" s="21" t="str">
        <f>IFERROR(__xludf.DUMMYFUNCTION("REGEXREPLACE(A556,"" "","", "")"),"kenapa, untuk, login, ko, jd, sulit")</f>
        <v>kenapa, untuk, login, ko, jd, sulit</v>
      </c>
    </row>
    <row r="557">
      <c r="A557" s="17" t="str">
        <f>Cleaning!H565</f>
        <v>pemeliharaan sistem terus apakah ahli it dari kemebterian ini kerja gaji buta atau bagaimana</v>
      </c>
      <c r="B557" s="21" t="str">
        <f>IFERROR(__xludf.DUMMYFUNCTION("REGEXREPLACE(A557,"" "","", "")"),"pemeliharaan, sistem, terus, apakah, ahli, it, dari, kemebterian, ini, kerja, gaji, buta, atau, bagaimana")</f>
        <v>pemeliharaan, sistem, terus, apakah, ahli, it, dari, kemebterian, ini, kerja, gaji, buta, atau, bagaimana</v>
      </c>
    </row>
    <row r="558">
      <c r="A558" s="17" t="str">
        <f>Cleaning!H566</f>
        <v>tolong penjelasan nya yth bapa ibu pengelola apk ini  kan apk ini tujuan nya untuk membantu masyarakat agar tidak ada bantuan yang salah sasaran dan agar yang merasa pantas dapat bantuan bisa daftarkan diri mereka  tapi apk ini masih kurang efisien saat masukan data semua valid tapi saat mau log in belum terdaftar terus tolong lebih di tingkatkan lagi performanya agar bisa benarmembantu masyarakat karena di daerah saya masih banyak bantuan yang salah sasaran terimakasih </v>
      </c>
      <c r="B558" s="21" t="str">
        <f>IFERROR(__xludf.DUMMYFUNCTION("REGEXREPLACE(A558,"" "","", "")"),"tolong, penjelasan, nya, yth, bapa, ibu, pengelola, apk, ini, , kan, apk, ini, tujuan, nya, untuk, membantu, masyarakat, agar, tidak, ada, bantuan, yang, salah, sasaran, dan, agar, yang, merasa, pantas, dapat, bantuan, bisa, daftarkan, diri, mereka, , tap"&amp;"i, apk, ini, masih, kurang, efisien, saat, masukan, data, semua, valid, tapi, saat, mau, log, in, belum, terdaftar, terus, tolong, lebih, di, tingkatkan, lagi, performanya, agar, bisa, benarmembantu, masyarakat, karena, di, daerah, saya, masih, banyak, ba"&amp;"ntuan, yang, salah, sasaran, terimakasih, ")</f>
        <v>tolong, penjelasan, nya, yth, bapa, ibu, pengelola, apk, ini, , kan, apk, ini, tujuan, nya, untuk, membantu, masyarakat, agar, tidak, ada, bantuan, yang, salah, sasaran, dan, agar, yang, merasa, pantas, dapat, bantuan, bisa, daftarkan, diri, mereka, , tapi, apk, ini, masih, kurang, efisien, saat, masukan, data, semua, valid, tapi, saat, mau, log, in, belum, terdaftar, terus, tolong, lebih, di, tingkatkan, lagi, performanya, agar, bisa, benarmembantu, masyarakat, karena, di, daerah, saya, masih, banyak, bantuan, yang, salah, sasaran, terimakasih, </v>
      </c>
    </row>
    <row r="559">
      <c r="A559" s="17" t="str">
        <f>Cleaning!H567</f>
        <v>mendaftar akun baru saja sudah errorsuruh hubungi admin</v>
      </c>
      <c r="B559" s="21" t="str">
        <f>IFERROR(__xludf.DUMMYFUNCTION("REGEXREPLACE(A559,"" "","", "")"),"mendaftar, akun, baru, saja, sudah, errorsuruh, hubungi, admin")</f>
        <v>mendaftar, akun, baru, saja, sudah, errorsuruh, hubungi, admin</v>
      </c>
    </row>
    <row r="560">
      <c r="A560" s="17" t="str">
        <f>Cleaning!H568</f>
        <v>tidak bisa di gunakan sama sekali</v>
      </c>
      <c r="B560" s="21" t="str">
        <f>IFERROR(__xludf.DUMMYFUNCTION("REGEXREPLACE(A560,"" "","", "")"),"tidak, bisa, di, gunakan, sama, sekali")</f>
        <v>tidak, bisa, di, gunakan, sama, sekali</v>
      </c>
    </row>
    <row r="561">
      <c r="A561" s="17" t="str">
        <f>Cleaning!H569</f>
        <v>bru mau login kok aplikasi eror terusknpa yh</v>
      </c>
      <c r="B561" s="21" t="str">
        <f>IFERROR(__xludf.DUMMYFUNCTION("REGEXREPLACE(A561,"" "","", "")"),"bru, mau, login, kok, aplikasi, eror, terusknpa, yh")</f>
        <v>bru, mau, login, kok, aplikasi, eror, terusknpa, yh</v>
      </c>
    </row>
    <row r="562">
      <c r="A562" s="17" t="str">
        <f>Cleaning!H570</f>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c r="B562" s="21" t="str">
        <f>IFERROR(__xludf.DUMMYFUNCTION("REGEXREPLACE(A562,"" "","", "")"),"aplikasi, gak, guna, memang, sudah, jadi, realita, x, yah, aplikasi, pemerintah, itu, seolaholah, gak, ada, biaya, maintenance, saat, ada, bugerror, capekcapek, buat, akun, diaplikasi, saat, mau, login, tapi, username&amp;, password, tidak, ditemukan, karena,"&amp;" belum, aktivasi, sudah, cek, email, kotak, masuk, &amp;, folder, spam, tidak, ada, link, untuk, aktivasi, parahhh")</f>
        <v>aplikasi, gak, guna, memang, sudah, jadi, realita, x, yah, aplikasi, pemerintah, itu, seolaholah, gak, ada, biaya, maintenance, saat, ada, bugerror, capekcapek, buat, akun, diaplikasi, saat, mau, login, tapi, username&amp;, password, tidak, ditemukan, karena, belum, aktivasi, sudah, cek, email, kotak, masuk, &amp;, folder, spam, tidak, ada, link, untuk, aktivasi, parahhh</v>
      </c>
    </row>
    <row r="563">
      <c r="A563" s="17" t="str">
        <f>Cleaning!H571</f>
        <v>g bisa terdaftar soalnya terjadi eror aplikasi trusmhon bantuannya</v>
      </c>
      <c r="B563" s="21" t="str">
        <f>IFERROR(__xludf.DUMMYFUNCTION("REGEXREPLACE(A563,"" "","", "")"),"g, bisa, terdaftar, soalnya, terjadi, eror, aplikasi, trusmhon, bantuannya")</f>
        <v>g, bisa, terdaftar, soalnya, terjadi, eror, aplikasi, trusmhon, bantuannya</v>
      </c>
    </row>
    <row r="564">
      <c r="A564" s="17" t="str">
        <f>Cleaning!H572</f>
        <v>saat daftar sudah sesuai ktp saat klik buat akun baru keterangannya  gagal melakukan registrasi pendaftaran wilayah tidak sesuai  aneh padahal ud sesuai ktp koq bisa wilayah tidak sesuai auto uninstall aj</v>
      </c>
      <c r="B564" s="21" t="str">
        <f>IFERROR(__xludf.DUMMYFUNCTION("REGEXREPLACE(A564,"" "","", "")"),"saat, daftar, sudah, sesuai, ktp, saat, klik, buat, akun, baru, keterangannya, , gagal, melakukan, registrasi, pendaftaran, wilayah, tidak, sesuai, , aneh, padahal, ud, sesuai, ktp, koq, bisa, wilayah, tidak, sesuai, auto, uninstall, aj")</f>
        <v>saat, daftar, sudah, sesuai, ktp, saat, klik, buat, akun, baru, keterangannya, , gagal, melakukan, registrasi, pendaftaran, wilayah, tidak, sesuai, , aneh, padahal, ud, sesuai, ktp, koq, bisa, wilayah, tidak, sesuai, auto, uninstall, aj</v>
      </c>
    </row>
    <row r="565">
      <c r="A565" s="17" t="str">
        <f>Cleaning!H573</f>
        <v>ga bisa daftar alamat udah sesuai bingung kurang di bagian mana lagi text box yang muncul masih kode javascript developer aplikasi dibayar ndak sih atau uang habis dikorupsi jadi ndak bisa buat mantenence aplikasi</v>
      </c>
      <c r="B565" s="21" t="str">
        <f>IFERROR(__xludf.DUMMYFUNCTION("REGEXREPLACE(A565,"" "","", "")"),"ga, bisa, daftar, alamat, udah, sesuai, bingung, kurang, di, bagian, mana, lagi, text, box, yang, muncul, masih, kode, javascript, developer, aplikasi, dibayar, ndak, sih, atau, uang, habis, dikorupsi, jadi, ndak, bisa, buat, mantenence, aplikasi")</f>
        <v>ga, bisa, daftar, alamat, udah, sesuai, bingung, kurang, di, bagian, mana, lagi, text, box, yang, muncul, masih, kode, javascript, developer, aplikasi, dibayar, ndak, sih, atau, uang, habis, dikorupsi, jadi, ndak, bisa, buat, mantenence, aplikasi</v>
      </c>
    </row>
    <row r="566">
      <c r="A566" s="17" t="str">
        <f>Cleaning!H574</f>
        <v>kenapa tidak bsa daftar  status eror </v>
      </c>
      <c r="B566" s="21" t="str">
        <f>IFERROR(__xludf.DUMMYFUNCTION("REGEXREPLACE(A566,"" "","", "")"),"kenapa, tidak, bsa, daftar, , status, eror, ")</f>
        <v>kenapa, tidak, bsa, daftar, , status, eror, </v>
      </c>
    </row>
    <row r="567">
      <c r="A567" s="17" t="str">
        <f>Cleaning!H575</f>
        <v>udah coba ber kalut tetap gak bisa login hmmmm</v>
      </c>
      <c r="B567" s="21" t="str">
        <f>IFERROR(__xludf.DUMMYFUNCTION("REGEXREPLACE(A567,"" "","", "")"),"udah, coba, ber, kalut, tetap, gak, bisa, login, hmmmm")</f>
        <v>udah, coba, ber, kalut, tetap, gak, bisa, login, hmmmm</v>
      </c>
    </row>
    <row r="568">
      <c r="A568" s="17" t="str">
        <f>Cleaning!H576</f>
        <v>sangat burukbanyak masyarakat miskin tidak tau aplikasi dan tidak memiliki hptolong jangan dipersulit</v>
      </c>
      <c r="B568" s="21" t="str">
        <f>IFERROR(__xludf.DUMMYFUNCTION("REGEXREPLACE(A568,"" "","", "")"),"sangat, burukbanyak, masyarakat, miskin, tidak, tau, aplikasi, dan, tidak, memiliki, hptolong, jangan, dipersulit")</f>
        <v>sangat, burukbanyak, masyarakat, miskin, tidak, tau, aplikasi, dan, tidak, memiliki, hptolong, jangan, dipersulit</v>
      </c>
    </row>
    <row r="569">
      <c r="A569" s="17" t="str">
        <f>Cleaning!H577</f>
        <v>tender aplikasi ratusan juta tapi kualitas gratisan aplikasi eror tidak ada pemeliharaan</v>
      </c>
      <c r="B569" s="21" t="str">
        <f>IFERROR(__xludf.DUMMYFUNCTION("REGEXREPLACE(A569,"" "","", "")"),"tender, aplikasi, ratusan, juta, tapi, kualitas, gratisan, aplikasi, eror, tidak, ada, pemeliharaan")</f>
        <v>tender, aplikasi, ratusan, juta, tapi, kualitas, gratisan, aplikasi, eror, tidak, ada, pemeliharaan</v>
      </c>
    </row>
    <row r="570">
      <c r="A570" s="17" t="str">
        <f>Cleaning!H578</f>
        <v>aplikasi gak ada guna nya udah d download gak ke pakegak bisa d pake</v>
      </c>
      <c r="B570" s="21" t="str">
        <f>IFERROR(__xludf.DUMMYFUNCTION("REGEXREPLACE(A570,"" "","", "")"),"aplikasi, gak, ada, guna, nya, udah, d, download, gak, ke, pakegak, bisa, d, pake")</f>
        <v>aplikasi, gak, ada, guna, nya, udah, d, download, gak, ke, pakegak, bisa, d, pake</v>
      </c>
    </row>
    <row r="571">
      <c r="A571" s="17" t="str">
        <f>Cleaning!H579</f>
        <v>aplikasinya bodoh lupa pasword mlah g bisa</v>
      </c>
      <c r="B571" s="21" t="str">
        <f>IFERROR(__xludf.DUMMYFUNCTION("REGEXREPLACE(A571,"" "","", "")"),"aplikasinya, bodoh, lupa, pasword, mlah, g, bisa")</f>
        <v>aplikasinya, bodoh, lupa, pasword, mlah, g, bisa</v>
      </c>
    </row>
    <row r="572">
      <c r="A572" s="17" t="str">
        <f>Cleaning!H580</f>
        <v>apk masih belum ada jaminan bahwa usulan akan di prosesmuncul belum cek terus</v>
      </c>
      <c r="B572" s="21" t="str">
        <f>IFERROR(__xludf.DUMMYFUNCTION("REGEXREPLACE(A572,"" "","", "")"),"apk, masih, belum, ada, jaminan, bahwa, usulan, akan, di, prosesmuncul, belum, cek, terus")</f>
        <v>apk, masih, belum, ada, jaminan, bahwa, usulan, akan, di, prosesmuncul, belum, cek, terus</v>
      </c>
    </row>
    <row r="573">
      <c r="A573" s="17" t="str">
        <f>Cleaning!H581</f>
        <v>gak ada aplikasi lain yang sejelek ini loding terus eror terus</v>
      </c>
      <c r="B573" s="21" t="str">
        <f>IFERROR(__xludf.DUMMYFUNCTION("REGEXREPLACE(A573,"" "","", "")"),"gak, ada, aplikasi, lain, yang, sejelek, ini, loding, terus, eror, terus")</f>
        <v>gak, ada, aplikasi, lain, yang, sejelek, ini, loding, terus, eror, terus</v>
      </c>
    </row>
    <row r="574">
      <c r="A574" s="17" t="str">
        <f>Cleaning!H582</f>
        <v>apaan ini udah daftar tapi gax bisa login</v>
      </c>
      <c r="B574" s="21" t="str">
        <f>IFERROR(__xludf.DUMMYFUNCTION("REGEXREPLACE(A574,"" "","", "")"),"apaan, ini, udah, daftar, tapi, gax, bisa, login")</f>
        <v>apaan, ini, udah, daftar, tapi, gax, bisa, login</v>
      </c>
    </row>
    <row r="575">
      <c r="A575" s="17" t="str">
        <f>Cleaning!H583</f>
        <v>tidak bisa membuat akun karena server eror terus</v>
      </c>
      <c r="B575" s="21" t="str">
        <f>IFERROR(__xludf.DUMMYFUNCTION("REGEXREPLACE(A575,"" "","", "")"),"tidak, bisa, membuat, akun, karena, server, eror, terus")</f>
        <v>tidak, bisa, membuat, akun, karena, server, eror, terus</v>
      </c>
    </row>
    <row r="576">
      <c r="A576" s="17" t="str">
        <f>Cleaning!H584</f>
        <v>kenapa ketika saya klik lupa sandi dan sudah memasukan no hp email dan user name tapi blum mndptkan kata sandi yg baru pdhal keterangannya sandi tlah di kirimkan ke email tapi ketika buka email yg ada bukan kata sandi melainkan alamat website</v>
      </c>
      <c r="B576" s="21" t="str">
        <f>IFERROR(__xludf.DUMMYFUNCTION("REGEXREPLACE(A576,"" "","", "")"),"kenapa, ketika, saya, klik, lupa, sandi, dan, sudah, memasukan, no, hp, email, dan, user, name, tapi, blum, mndptkan, kata, sandi, yg, baru, pdhal, keterangannya, sandi, tlah, di, kirimkan, ke, email, tapi, ketika, buka, email, yg, ada, bukan, kata, sandi"&amp;", melainkan, alamat, website")</f>
        <v>kenapa, ketika, saya, klik, lupa, sandi, dan, sudah, memasukan, no, hp, email, dan, user, name, tapi, blum, mndptkan, kata, sandi, yg, baru, pdhal, keterangannya, sandi, tlah, di, kirimkan, ke, email, tapi, ketika, buka, email, yg, ada, bukan, kata, sandi, melainkan, alamat, website</v>
      </c>
    </row>
    <row r="577">
      <c r="A577" s="17" t="str">
        <f>Cleaning!H585</f>
        <v>tolong untuk pihak playstor untuk menghapus app yang tidak berguna ini terima kasih</v>
      </c>
      <c r="B577" s="21" t="str">
        <f>IFERROR(__xludf.DUMMYFUNCTION("REGEXREPLACE(A577,"" "","", "")"),"tolong, untuk, pihak, playstor, untuk, menghapus, app, yang, tidak, berguna, ini, terima, kasih")</f>
        <v>tolong, untuk, pihak, playstor, untuk, menghapus, app, yang, tidak, berguna, ini, terima, kasih</v>
      </c>
    </row>
    <row r="578">
      <c r="A578" s="17" t="str">
        <f>Cleaning!H586</f>
        <v>saya udah usul sanggah dari  bulan kmren tapi ko blom di cek cek yabutuh waktu berpa lama biar data kita cepet diproses</v>
      </c>
      <c r="B578" s="21" t="str">
        <f>IFERROR(__xludf.DUMMYFUNCTION("REGEXREPLACE(A578,"" "","", "")"),"saya, udah, usul, sanggah, dari, , bulan, kmren, tapi, ko, blom, di, cek, cek, yabutuh, waktu, berpa, lama, biar, data, kita, cepet, diproses")</f>
        <v>saya, udah, usul, sanggah, dari, , bulan, kmren, tapi, ko, blom, di, cek, cek, yabutuh, waktu, berpa, lama, biar, data, kita, cepet, diproses</v>
      </c>
    </row>
    <row r="579">
      <c r="A579" s="17" t="str">
        <f>Cleaning!H587</f>
        <v>ada apa nih sy sdh berkalikali mendaftar tapi tidak pernah bisa login</v>
      </c>
      <c r="B579" s="21" t="str">
        <f>IFERROR(__xludf.DUMMYFUNCTION("REGEXREPLACE(A579,"" "","", "")"),"ada, apa, nih, sy, sdh, berkalikali, mendaftar, tapi, tidak, pernah, bisa, login")</f>
        <v>ada, apa, nih, sy, sdh, berkalikali, mendaftar, tapi, tidak, pernah, bisa, login</v>
      </c>
    </row>
    <row r="580">
      <c r="A580" s="17" t="str">
        <f>Cleaning!H588</f>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c r="B580" s="21" t="str">
        <f>IFERROR(__xludf.DUMMYFUNCTION("REGEXREPLACE(A580,"" "","", "")"),"aplikasi, ini, sangat, membegokan, buat, yang, niat, mau, dowloat, mendingan, gak, usa, keis, nya, sama, seperti, kawan², yg, sudah, komen, berkali², daftar, tapi, gak, bisa, login, katanya, username, dan, kata, sandi, gak, terdaftar, padahal, sudah, daft"&amp;"ar, berkalikali, buat, yg, baru, mau, dowloat, mendingan, gak, usa, sayang, kuotanya, aplikasi, gak, guna")</f>
        <v>aplikasi, ini, sangat, membegokan, buat, yang, niat, mau, dowloat, mendingan, gak, usa, keis, nya, sama, seperti, kawan², yg, sudah, komen, berkali², daftar, tapi, gak, bisa, login, katanya, username, dan, kata, sandi, gak, terdaftar, padahal, sudah, daftar, berkalikali, buat, yg, baru, mau, dowloat, mendingan, gak, usa, sayang, kuotanya, aplikasi, gak, guna</v>
      </c>
    </row>
    <row r="581">
      <c r="A581" s="17" t="str">
        <f>Cleaning!H589</f>
        <v>tidak bisa di buka setelah email masuk</v>
      </c>
      <c r="B581" s="21" t="str">
        <f>IFERROR(__xludf.DUMMYFUNCTION("REGEXREPLACE(A581,"" "","", "")"),"tidak, bisa, di, buka, setelah, email, masuk")</f>
        <v>tidak, bisa, di, buka, setelah, email, masuk</v>
      </c>
    </row>
    <row r="582">
      <c r="A582" s="17" t="str">
        <f>Cleaning!H590</f>
        <v>pengajuan kok lama sekali prosesnya  emang tidak dipantau ya aplikasi nya </v>
      </c>
      <c r="B582" s="21" t="str">
        <f>IFERROR(__xludf.DUMMYFUNCTION("REGEXREPLACE(A582,"" "","", "")"),"pengajuan, kok, lama, sekali, prosesnya, , emang, tidak, dipantau, ya, aplikasi, nya, ")</f>
        <v>pengajuan, kok, lama, sekali, prosesnya, , emang, tidak, dipantau, ya, aplikasi, nya, </v>
      </c>
    </row>
    <row r="583">
      <c r="A583" s="17" t="str">
        <f>Cleaning!H591</f>
        <v>aplikasi dari kemensos kenapa ke gini error mulu</v>
      </c>
      <c r="B583" s="21" t="str">
        <f>IFERROR(__xludf.DUMMYFUNCTION("REGEXREPLACE(A583,"" "","", "")"),"aplikasi, dari, kemensos, kenapa, ke, gini, error, mulu")</f>
        <v>aplikasi, dari, kemensos, kenapa, ke, gini, error, mulu</v>
      </c>
    </row>
    <row r="584">
      <c r="A584" s="17" t="str">
        <f>Cleaning!H592</f>
        <v>jaman sdh canggih tapi tdk d ikuti dgn kecanggihan sistem nya tolong d update dan d upgrade untuk afk ini rakyat indonesia jgn slalu d buat binggung</v>
      </c>
      <c r="B584" s="21" t="str">
        <f>IFERROR(__xludf.DUMMYFUNCTION("REGEXREPLACE(A584,"" "","", "")"),"jaman, sdh, canggih, tapi, tdk, d, ikuti, dgn, kecanggihan, sistem, nya, tolong, d, update, dan, d, upgrade, untuk, afk, ini, rakyat, indonesia, jgn, slalu, d, buat, binggung")</f>
        <v>jaman, sdh, canggih, tapi, tdk, d, ikuti, dgn, kecanggihan, sistem, nya, tolong, d, update, dan, d, upgrade, untuk, afk, ini, rakyat, indonesia, jgn, slalu, d, buat, binggung</v>
      </c>
    </row>
    <row r="585">
      <c r="A585" s="17" t="str">
        <f>Cleaning!H593</f>
        <v>aplikadsi gak jelasn daftar eror ada niat gak sih buat aplikasi</v>
      </c>
      <c r="B585" s="21" t="str">
        <f>IFERROR(__xludf.DUMMYFUNCTION("REGEXREPLACE(A585,"" "","", "")"),"aplikadsi, gak, jelasn, daftar, eror, ada, niat, gak, sih, buat, aplikasi")</f>
        <v>aplikadsi, gak, jelasn, daftar, eror, ada, niat, gak, sih, buat, aplikasi</v>
      </c>
    </row>
    <row r="586">
      <c r="A586" s="17" t="str">
        <f>Cleaning!H594</f>
        <v>sudah masuk dalam tahap usulan  dan tinggal tunggu pengecekan oleh pihak terkait  tapi sudah hampir  bulan belum ada pengecekan oleh pihak terkait waktu terus berjalan akan tetapi daftar usulan hanya sebagai mimpi karena terabaikan oleh kesibukan yang tak berbentuk </v>
      </c>
      <c r="B586" s="21" t="str">
        <f>IFERROR(__xludf.DUMMYFUNCTION("REGEXREPLACE(A586,"" "","", "")"),"sudah, masuk, dalam, tahap, usulan, , dan, tinggal, tunggu, pengecekan, oleh, pihak, terkait, , tapi, sudah, hampir, , bulan, belum, ada, pengecekan, oleh, pihak, terkait, waktu, terus, berjalan, akan, tetapi, daftar, usulan, hanya, sebagai, mimpi, karena"&amp;", terabaikan, oleh, kesibukan, yang, tak, berbentuk, ")</f>
        <v>sudah, masuk, dalam, tahap, usulan, , dan, tinggal, tunggu, pengecekan, oleh, pihak, terkait, , tapi, sudah, hampir, , bulan, belum, ada, pengecekan, oleh, pihak, terkait, waktu, terus, berjalan, akan, tetapi, daftar, usulan, hanya, sebagai, mimpi, karena, terabaikan, oleh, kesibukan, yang, tak, berbentuk, </v>
      </c>
    </row>
    <row r="587">
      <c r="A587" s="17" t="str">
        <f>Cleaning!H595</f>
        <v>aplikasi asalan tidak bisa daftar</v>
      </c>
      <c r="B587" s="21" t="str">
        <f>IFERROR(__xludf.DUMMYFUNCTION("REGEXREPLACE(A587,"" "","", "")"),"aplikasi, asalan, tidak, bisa, daftar")</f>
        <v>aplikasi, asalan, tidak, bisa, daftar</v>
      </c>
    </row>
    <row r="588">
      <c r="A588" s="17" t="str">
        <f>Cleaning!H596</f>
        <v>sudah mendaftar tapi gak bisa login ini gimana sih</v>
      </c>
      <c r="B588" s="21" t="str">
        <f>IFERROR(__xludf.DUMMYFUNCTION("REGEXREPLACE(A588,"" "","", "")"),"sudah, mendaftar, tapi, gak, bisa, login, ini, gimana, sih")</f>
        <v>sudah, mendaftar, tapi, gak, bisa, login, ini, gimana, sih</v>
      </c>
    </row>
    <row r="589">
      <c r="A589" s="17" t="str">
        <f>Cleaning!H597</f>
        <v>aplikasi gk berguna gak bisa d pakai percuma bikin aplikasi kementrian buat aplikasi kok setengah</v>
      </c>
      <c r="B589" s="21" t="str">
        <f>IFERROR(__xludf.DUMMYFUNCTION("REGEXREPLACE(A589,"" "","", "")"),"aplikasi, gk, berguna, gak, bisa, d, pakai, percuma, bikin, aplikasi, kementrian, buat, aplikasi, kok, setengah")</f>
        <v>aplikasi, gk, berguna, gak, bisa, d, pakai, percuma, bikin, aplikasi, kementrian, buat, aplikasi, kok, setengah</v>
      </c>
    </row>
    <row r="590">
      <c r="A590" s="17" t="str">
        <f>Cleaning!H598</f>
        <v>buat regis aja susah sering keluar sendiri setelah masukan foto</v>
      </c>
      <c r="B590" s="21" t="str">
        <f>IFERROR(__xludf.DUMMYFUNCTION("REGEXREPLACE(A590,"" "","", "")"),"buat, regis, aja, susah, sering, keluar, sendiri, setelah, masukan, foto")</f>
        <v>buat, regis, aja, susah, sering, keluar, sendiri, setelah, masukan, foto</v>
      </c>
    </row>
    <row r="591">
      <c r="A591" s="17" t="str">
        <f>Cleaning!H599</f>
        <v>mau daftar ajah susahnya minta ampun apa lagi buat login</v>
      </c>
      <c r="B591" s="21" t="str">
        <f>IFERROR(__xludf.DUMMYFUNCTION("REGEXREPLACE(A591,"" "","", "")"),"mau, daftar, ajah, susahnya, minta, ampun, apa, lagi, buat, login")</f>
        <v>mau, daftar, ajah, susahnya, minta, ampun, apa, lagi, buat, login</v>
      </c>
    </row>
    <row r="592">
      <c r="A592" s="17" t="str">
        <f>Cleaning!H600</f>
        <v>setia daftar error json parseapa itu solusinya apa bagaimana biar bisa masuk</v>
      </c>
      <c r="B592" s="21" t="str">
        <f>IFERROR(__xludf.DUMMYFUNCTION("REGEXREPLACE(A592,"" "","", "")"),"setia, daftar, error, json, parseapa, itu, solusinya, apa, bagaimana, biar, bisa, masuk")</f>
        <v>setia, daftar, error, json, parseapa, itu, solusinya, apa, bagaimana, biar, bisa, masuk</v>
      </c>
    </row>
    <row r="593">
      <c r="A593" s="17" t="str">
        <f>Cleaning!H601</f>
        <v>kenapa saya tidak bisa daftar diri saya sebagai penerima bantuan  saya udah coba berkali kali selalu eror tlong bantu saya</v>
      </c>
      <c r="B593" s="21" t="str">
        <f>IFERROR(__xludf.DUMMYFUNCTION("REGEXREPLACE(A593,"" "","", "")"),"kenapa, saya, tidak, bisa, daftar, diri, saya, sebagai, penerima, bantuan, , saya, udah, coba, berkali, kali, selalu, eror, tlong, bantu, saya")</f>
        <v>kenapa, saya, tidak, bisa, daftar, diri, saya, sebagai, penerima, bantuan, , saya, udah, coba, berkali, kali, selalu, eror, tlong, bantu, saya</v>
      </c>
    </row>
    <row r="594">
      <c r="A594" s="17" t="str">
        <f>Cleaning!H602</f>
        <v>masih suka error smoga kedepannya lebih baik</v>
      </c>
      <c r="B594" s="21" t="str">
        <f>IFERROR(__xludf.DUMMYFUNCTION("REGEXREPLACE(A594,"" "","", "")"),"masih, suka, error, smoga, kedepannya, lebih, baik")</f>
        <v>masih, suka, error, smoga, kedepannya, lebih, baik</v>
      </c>
    </row>
    <row r="595">
      <c r="A595" s="17" t="str">
        <f>Cleaning!H603</f>
        <v>aplikasi errorgak fungsi</v>
      </c>
      <c r="B595" s="21" t="str">
        <f>IFERROR(__xludf.DUMMYFUNCTION("REGEXREPLACE(A595,"" "","", "")"),"aplikasi, errorgak, fungsi")</f>
        <v>aplikasi, errorgak, fungsi</v>
      </c>
    </row>
    <row r="596">
      <c r="A596" s="17" t="str">
        <f>Cleaning!H604</f>
        <v>mau daftar aku lemott  baru pilih provinsi malah error loding lama</v>
      </c>
      <c r="B596" s="21" t="str">
        <f>IFERROR(__xludf.DUMMYFUNCTION("REGEXREPLACE(A596,"" "","", "")"),"mau, daftar, aku, lemott, , baru, pilih, provinsi, malah, error, loding, lama")</f>
        <v>mau, daftar, aku, lemott, , baru, pilih, provinsi, malah, error, loding, lama</v>
      </c>
    </row>
    <row r="597">
      <c r="A597" s="17" t="str">
        <f>Cleaning!H605</f>
        <v>aplikasi bloon kaga bisa dibuka dari kapan tau</v>
      </c>
      <c r="B597" s="21" t="str">
        <f>IFERROR(__xludf.DUMMYFUNCTION("REGEXREPLACE(A597,"" "","", "")"),"aplikasi, bloon, kaga, bisa, dibuka, dari, kapan, tau")</f>
        <v>aplikasi, bloon, kaga, bisa, dibuka, dari, kapan, tau</v>
      </c>
    </row>
    <row r="598">
      <c r="A598" s="17" t="str">
        <f>Cleaning!H606</f>
        <v>error json parse terus tolong diperbaiki</v>
      </c>
      <c r="B598" s="21" t="str">
        <f>IFERROR(__xludf.DUMMYFUNCTION("REGEXREPLACE(A598,"" "","", "")"),"error, json, parse, terus, tolong, diperbaiki")</f>
        <v>error, json, parse, terus, tolong, diperbaiki</v>
      </c>
    </row>
    <row r="599">
      <c r="A599" s="17" t="str">
        <f>Cleaning!H607</f>
        <v>aplikasi tidak jelasakun tidak bisa dibuat kecewa downloadnya</v>
      </c>
      <c r="B599" s="21" t="str">
        <f>IFERROR(__xludf.DUMMYFUNCTION("REGEXREPLACE(A599,"" "","", "")"),"aplikasi, tidak, jelasakun, tidak, bisa, dibuat, kecewa, downloadnya")</f>
        <v>aplikasi, tidak, jelasakun, tidak, bisa, dibuat, kecewa, downloadnya</v>
      </c>
    </row>
    <row r="600">
      <c r="A600" s="17" t="str">
        <f>Cleaning!H608</f>
        <v>tolong perbaiki aplikasi ini saya tidak bisa mendapatkankarna aplikasi eror</v>
      </c>
      <c r="B600" s="21" t="str">
        <f>IFERROR(__xludf.DUMMYFUNCTION("REGEXREPLACE(A600,"" "","", "")"),"tolong, perbaiki, aplikasi, ini, saya, tidak, bisa, mendapatkankarna, aplikasi, eror")</f>
        <v>tolong, perbaiki, aplikasi, ini, saya, tidak, bisa, mendapatkankarna, aplikasi, eror</v>
      </c>
    </row>
    <row r="601">
      <c r="A601" s="17" t="str">
        <f>Cleaning!H609</f>
        <v>nih aplikasi apa  tim it negara kemana  kaya gini masyarakat sangat susah tuk memenuhi persyaratan online tapi aplikasi nya kaya ginihadeuh indonesia oh indonesia</v>
      </c>
      <c r="B601" s="21" t="str">
        <f>IFERROR(__xludf.DUMMYFUNCTION("REGEXREPLACE(A601,"" "","", "")"),"nih, aplikasi, apa, , tim, it, negara, kemana, , kaya, gini, masyarakat, sangat, susah, tuk, memenuhi, persyaratan, online, tapi, aplikasi, nya, kaya, ginihadeuh, indonesia, oh, indonesia")</f>
        <v>nih, aplikasi, apa, , tim, it, negara, kemana, , kaya, gini, masyarakat, sangat, susah, tuk, memenuhi, persyaratan, online, tapi, aplikasi, nya, kaya, ginihadeuh, indonesia, oh, indonesia</v>
      </c>
    </row>
    <row r="602">
      <c r="A602" s="17" t="str">
        <f>Cleaning!H610</f>
        <v>gagal terus untuk mendaftar akun baru apakah sudah di setting ya wkwk</v>
      </c>
      <c r="B602" s="21" t="str">
        <f>IFERROR(__xludf.DUMMYFUNCTION("REGEXREPLACE(A602,"" "","", "")"),"gagal, terus, untuk, mendaftar, akun, baru, apakah, sudah, di, setting, ya, wkwk")</f>
        <v>gagal, terus, untuk, mendaftar, akun, baru, apakah, sudah, di, setting, ya, wkwk</v>
      </c>
    </row>
    <row r="603">
      <c r="A603" s="17" t="str">
        <f>Cleaning!H611</f>
        <v>bisa login cuman tulisannya anda tidak terdaftar sebagai peserta pm padahal dulu pernah dan tidak pernah mengundurkan diri</v>
      </c>
      <c r="B603" s="21" t="str">
        <f>IFERROR(__xludf.DUMMYFUNCTION("REGEXREPLACE(A603,"" "","", "")"),"bisa, login, cuman, tulisannya, anda, tidak, terdaftar, sebagai, peserta, pm, padahal, dulu, pernah, dan, tidak, pernah, mengundurkan, diri")</f>
        <v>bisa, login, cuman, tulisannya, anda, tidak, terdaftar, sebagai, peserta, pm, padahal, dulu, pernah, dan, tidak, pernah, mengundurkan, diri</v>
      </c>
    </row>
    <row r="604">
      <c r="A604" s="17" t="str">
        <f>Cleaning!H612</f>
        <v>tidak bisa terdaftar tolong di perbarui supaya bisa membantu ke hidupkan masyarakat yg sangat membutuhkan</v>
      </c>
      <c r="B604" s="21" t="str">
        <f>IFERROR(__xludf.DUMMYFUNCTION("REGEXREPLACE(A604,"" "","", "")"),"tidak, bisa, terdaftar, tolong, di, perbarui, supaya, bisa, membantu, ke, hidupkan, masyarakat, yg, sangat, membutuhkan")</f>
        <v>tidak, bisa, terdaftar, tolong, di, perbarui, supaya, bisa, membantu, ke, hidupkan, masyarakat, yg, sangat, membutuhkan</v>
      </c>
    </row>
    <row r="605">
      <c r="A605" s="17" t="str">
        <f>Cleaning!H613</f>
        <v>malah nyusahinapk gak bisa dibuka tuhaplikasi sampah php doang</v>
      </c>
      <c r="B605" s="21" t="str">
        <f>IFERROR(__xludf.DUMMYFUNCTION("REGEXREPLACE(A605,"" "","", "")"),"malah, nyusahinapk, gak, bisa, dibuka, tuhaplikasi, sampah, php, doang")</f>
        <v>malah, nyusahinapk, gak, bisa, dibuka, tuhaplikasi, sampah, php, doang</v>
      </c>
    </row>
    <row r="606">
      <c r="A606" s="17" t="str">
        <f>Cleaning!H614</f>
        <v>udah di update ga bisa di buka</v>
      </c>
      <c r="B606" s="21" t="str">
        <f>IFERROR(__xludf.DUMMYFUNCTION("REGEXREPLACE(A606,"" "","", "")"),"udah, di, update, ga, bisa, di, buka")</f>
        <v>udah, di, update, ga, bisa, di, buka</v>
      </c>
    </row>
    <row r="607">
      <c r="A607" s="17" t="str">
        <f>Cleaning!H615</f>
        <v>banyak keluhan tentang aplikasinya tapi gak ada yang di respon</v>
      </c>
      <c r="B607" s="21" t="str">
        <f>IFERROR(__xludf.DUMMYFUNCTION("REGEXREPLACE(A607,"" "","", "")"),"banyak, keluhan, tentang, aplikasinya, tapi, gak, ada, yang, di, respon")</f>
        <v>banyak, keluhan, tentang, aplikasinya, tapi, gak, ada, yang, di, respon</v>
      </c>
    </row>
    <row r="608">
      <c r="A608" s="17" t="str">
        <f>Cleaning!H616</f>
        <v>susah daftar error terus</v>
      </c>
      <c r="B608" s="21" t="str">
        <f>IFERROR(__xludf.DUMMYFUNCTION("REGEXREPLACE(A608,"" "","", "")"),"susah, daftar, error, terus")</f>
        <v>susah, daftar, error, terus</v>
      </c>
    </row>
    <row r="609">
      <c r="A609" s="17" t="str">
        <f>Cleaning!H617</f>
        <v>aplikasinya err terus ga bisa di buka</v>
      </c>
      <c r="B609" s="21" t="str">
        <f>IFERROR(__xludf.DUMMYFUNCTION("REGEXREPLACE(A609,"" "","", "")"),"aplikasinya, err, terus, ga, bisa, di, buka")</f>
        <v>aplikasinya, err, terus, ga, bisa, di, buka</v>
      </c>
    </row>
    <row r="610">
      <c r="A610" s="17" t="str">
        <f>Cleaning!H618</f>
        <v>buruk benar mau daftar tidak bisa eror terus</v>
      </c>
      <c r="B610" s="21" t="str">
        <f>IFERROR(__xludf.DUMMYFUNCTION("REGEXREPLACE(A610,"" "","", "")"),"buruk, benar, mau, daftar, tidak, bisa, eror, terus")</f>
        <v>buruk, benar, mau, daftar, tidak, bisa, eror, terus</v>
      </c>
    </row>
    <row r="611">
      <c r="A611" s="17" t="str">
        <f>Cleaning!H619</f>
        <v>apk ini sangat mengecewakan respon sangat lambat</v>
      </c>
      <c r="B611" s="21" t="str">
        <f>IFERROR(__xludf.DUMMYFUNCTION("REGEXREPLACE(A611,"" "","", "")"),"apk, ini, sangat, mengecewakan, respon, sangat, lambat")</f>
        <v>apk, ini, sangat, mengecewakan, respon, sangat, lambat</v>
      </c>
    </row>
    <row r="612">
      <c r="A612" s="17" t="str">
        <f>Cleaning!H620</f>
        <v>aplikasi modus sepertinya tidak pernah berhasil mendaftar d aplikasi</v>
      </c>
      <c r="B612" s="21" t="str">
        <f>IFERROR(__xludf.DUMMYFUNCTION("REGEXREPLACE(A612,"" "","", "")"),"aplikasi, modus, sepertinya, tidak, pernah, berhasil, mendaftar, d, aplikasi")</f>
        <v>aplikasi, modus, sepertinya, tidak, pernah, berhasil, mendaftar, d, aplikasi</v>
      </c>
    </row>
    <row r="613">
      <c r="A613" s="17" t="str">
        <f>Cleaning!H621</f>
        <v>aplikasi buruk kalau belum siap gak usah bikin aplikasi segera di perbaiki aplikasi nya jangan diem aja kalian di bayar pakai uang rakyat</v>
      </c>
      <c r="B613" s="21" t="str">
        <f>IFERROR(__xludf.DUMMYFUNCTION("REGEXREPLACE(A613,"" "","", "")"),"aplikasi, buruk, kalau, belum, siap, gak, usah, bikin, aplikasi, segera, di, perbaiki, aplikasi, nya, jangan, diem, aja, kalian, di, bayar, pakai, uang, rakyat")</f>
        <v>aplikasi, buruk, kalau, belum, siap, gak, usah, bikin, aplikasi, segera, di, perbaiki, aplikasi, nya, jangan, diem, aja, kalian, di, bayar, pakai, uang, rakyat</v>
      </c>
    </row>
    <row r="614">
      <c r="A614" s="17" t="str">
        <f>Cleaning!H622</f>
        <v>susah bgt klo mau masuk ke apk nya gagal terus kasi bgs dlu perlancar permudah jd di kasi  bintang ntr</v>
      </c>
      <c r="B614" s="21" t="str">
        <f>IFERROR(__xludf.DUMMYFUNCTION("REGEXREPLACE(A614,"" "","", "")"),"susah, bgt, klo, mau, masuk, ke, apk, nya, gagal, terus, kasi, bgs, dlu, perlancar, permudah, jd, di, kasi, , bintang, ntr")</f>
        <v>susah, bgt, klo, mau, masuk, ke, apk, nya, gagal, terus, kasi, bgs, dlu, perlancar, permudah, jd, di, kasi, , bintang, ntr</v>
      </c>
    </row>
    <row r="615">
      <c r="A615" s="17" t="str">
        <f>Cleaning!H623</f>
        <v>saya kok ga terdaftar bantuan saya juga kalangan menengah kebawah ga efektif</v>
      </c>
      <c r="B615" s="21" t="str">
        <f>IFERROR(__xludf.DUMMYFUNCTION("REGEXREPLACE(A615,"" "","", "")"),"saya, kok, ga, terdaftar, bantuan, saya, juga, kalangan, menengah, kebawah, ga, efektif")</f>
        <v>saya, kok, ga, terdaftar, bantuan, saya, juga, kalangan, menengah, kebawah, ga, efektif</v>
      </c>
    </row>
    <row r="616">
      <c r="A616" s="17" t="str">
        <f>Cleaning!H624</f>
        <v>tetap sabar kalau rezeki tidak kemana kasi bintang  biar senang aplikasinya</v>
      </c>
      <c r="B616" s="21" t="str">
        <f>IFERROR(__xludf.DUMMYFUNCTION("REGEXREPLACE(A616,"" "","", "")"),"tetap, sabar, kalau, rezeki, tidak, kemana, kasi, bintang, , biar, senang, aplikasinya")</f>
        <v>tetap, sabar, kalau, rezeki, tidak, kemana, kasi, bintang, , biar, senang, aplikasinya</v>
      </c>
    </row>
    <row r="617">
      <c r="A617" s="17" t="str">
        <f>Cleaning!H625</f>
        <v>aplikasi apa ini katnya buat rakyat hadeh tapi aplikasi malah gak bisa di pake</v>
      </c>
      <c r="B617" s="21" t="str">
        <f>IFERROR(__xludf.DUMMYFUNCTION("REGEXREPLACE(A617,"" "","", "")"),"aplikasi, apa, ini, katnya, buat, rakyat, hadeh, tapi, aplikasi, malah, gak, bisa, di, pake")</f>
        <v>aplikasi, apa, ini, katnya, buat, rakyat, hadeh, tapi, aplikasi, malah, gak, bisa, di, pake</v>
      </c>
    </row>
    <row r="618">
      <c r="A618" s="17" t="str">
        <f>Cleaning!H626</f>
        <v>minimal perbaiki lah apk nya</v>
      </c>
      <c r="B618" s="21" t="str">
        <f>IFERROR(__xludf.DUMMYFUNCTION("REGEXREPLACE(A618,"" "","", "")"),"minimal, perbaiki, lah, apk, nya")</f>
        <v>minimal, perbaiki, lah, apk, nya</v>
      </c>
    </row>
    <row r="619">
      <c r="A619" s="17" t="str">
        <f>Cleaning!H627</f>
        <v>klu tiap bukak aplikasi selalu louding trusgk bs ngecek</v>
      </c>
      <c r="B619" s="21" t="str">
        <f>IFERROR(__xludf.DUMMYFUNCTION("REGEXREPLACE(A619,"" "","", "")"),"klu, tiap, bukak, aplikasi, selalu, louding, trusgk, bs, ngecek")</f>
        <v>klu, tiap, bukak, aplikasi, selalu, louding, trusgk, bs, ngecek</v>
      </c>
    </row>
    <row r="620">
      <c r="A620" s="17" t="str">
        <f>Cleaning!H628</f>
        <v>dari semenjak download smpe sekarang gak bisa di buka app jelek amat padahal mau cek bansos</v>
      </c>
      <c r="B620" s="21" t="str">
        <f>IFERROR(__xludf.DUMMYFUNCTION("REGEXREPLACE(A620,"" "","", "")"),"dari, semenjak, download, smpe, sekarang, gak, bisa, di, buka, app, jelek, amat, padahal, mau, cek, bansos")</f>
        <v>dari, semenjak, download, smpe, sekarang, gak, bisa, di, buka, app, jelek, amat, padahal, mau, cek, bansos</v>
      </c>
    </row>
    <row r="621">
      <c r="A621" s="17" t="str">
        <f>Cleaning!H629</f>
        <v>sangat buruk susah buat masuk percuma di adain aplikasimkanya q ksih bintang  biar banggapdhl jelek sekali</v>
      </c>
      <c r="B621" s="21" t="str">
        <f>IFERROR(__xludf.DUMMYFUNCTION("REGEXREPLACE(A621,"" "","", "")"),"sangat, buruk, susah, buat, masuk, percuma, di, adain, aplikasimkanya, q, ksih, bintang, , biar, banggapdhl, jelek, sekali")</f>
        <v>sangat, buruk, susah, buat, masuk, percuma, di, adain, aplikasimkanya, q, ksih, bintang, , biar, banggapdhl, jelek, sekali</v>
      </c>
    </row>
    <row r="622">
      <c r="A622" s="17" t="str">
        <f>Cleaning!H630</f>
        <v>apk y eror mulu gak stabil</v>
      </c>
      <c r="B622" s="21" t="str">
        <f>IFERROR(__xludf.DUMMYFUNCTION("REGEXREPLACE(A622,"" "","", "")"),"apk, y, eror, mulu, gak, stabil")</f>
        <v>apk, y, eror, mulu, gak, stabil</v>
      </c>
    </row>
    <row r="623">
      <c r="A623" s="17" t="str">
        <f>Cleaning!H631</f>
        <v>gk bisa login apakah sengaja biar gk bisa daftar</v>
      </c>
      <c r="B623" s="21" t="str">
        <f>IFERROR(__xludf.DUMMYFUNCTION("REGEXREPLACE(A623,"" "","", "")"),"gk, bisa, login, apakah, sengaja, biar, gk, bisa, daftar")</f>
        <v>gk, bisa, login, apakah, sengaja, biar, gk, bisa, daftar</v>
      </c>
    </row>
    <row r="624">
      <c r="A624" s="17" t="str">
        <f>Cleaning!H632</f>
        <v>setidaknya uang yang buat pengembangan aplikasi jangan lah di korupsi mikir lah dikit klo punya otak</v>
      </c>
      <c r="B624" s="21" t="str">
        <f>IFERROR(__xludf.DUMMYFUNCTION("REGEXREPLACE(A624,"" "","", "")"),"setidaknya, uang, yang, buat, pengembangan, aplikasi, jangan, lah, di, korupsi, mikir, lah, dikit, klo, punya, otak")</f>
        <v>setidaknya, uang, yang, buat, pengembangan, aplikasi, jangan, lah, di, korupsi, mikir, lah, dikit, klo, punya, otak</v>
      </c>
    </row>
    <row r="625">
      <c r="A625" s="17" t="str">
        <f>Cleaning!H633</f>
        <v>programmer siapa ini  sekelas pemerintah masih bisa kesalahan syntax error json parse</v>
      </c>
      <c r="B625" s="21" t="str">
        <f>IFERROR(__xludf.DUMMYFUNCTION("REGEXREPLACE(A625,"" "","", "")"),"programmer, siapa, ini, , sekelas, pemerintah, masih, bisa, kesalahan, syntax, error, json, parse")</f>
        <v>programmer, siapa, ini, , sekelas, pemerintah, masih, bisa, kesalahan, syntax, error, json, parse</v>
      </c>
    </row>
    <row r="626">
      <c r="A626" s="17" t="str">
        <f>Cleaning!H634</f>
        <v>aplikasi apaan mau daftar eror trus apalagi sudah daftar</v>
      </c>
      <c r="B626" s="21" t="str">
        <f>IFERROR(__xludf.DUMMYFUNCTION("REGEXREPLACE(A626,"" "","", "")"),"aplikasi, apaan, mau, daftar, eror, trus, apalagi, sudah, daftar")</f>
        <v>aplikasi, apaan, mau, daftar, eror, trus, apalagi, sudah, daftar</v>
      </c>
    </row>
    <row r="627">
      <c r="A627" s="17" t="str">
        <f>Cleaning!H635</f>
        <v>udh daftar ga bisa login aplikasi taii emang</v>
      </c>
      <c r="B627" s="21" t="str">
        <f>IFERROR(__xludf.DUMMYFUNCTION("REGEXREPLACE(A627,"" "","", "")"),"udh, daftar, ga, bisa, login, aplikasi, taii, emang")</f>
        <v>udh, daftar, ga, bisa, login, aplikasi, taii, emang</v>
      </c>
    </row>
    <row r="628">
      <c r="A628" s="17" t="str">
        <f>Cleaning!H636</f>
        <v>sma sekali tidak bisa daftar  eror mulu</v>
      </c>
      <c r="B628" s="21" t="str">
        <f>IFERROR(__xludf.DUMMYFUNCTION("REGEXREPLACE(A628,"" "","", "")"),"sma, sekali, tidak, bisa, daftar, , eror, mulu")</f>
        <v>sma, sekali, tidak, bisa, daftar, , eror, mulu</v>
      </c>
    </row>
    <row r="629">
      <c r="A629" s="17" t="str">
        <f>Cleaning!H637</f>
        <v>sekelas pemerintahan buat aplikasi jelek banget ga bisa dipakai error kacaauu</v>
      </c>
      <c r="B629" s="21" t="str">
        <f>IFERROR(__xludf.DUMMYFUNCTION("REGEXREPLACE(A629,"" "","", "")"),"sekelas, pemerintahan, buat, aplikasi, jelek, banget, ga, bisa, dipakai, error, kacaauu")</f>
        <v>sekelas, pemerintahan, buat, aplikasi, jelek, banget, ga, bisa, dipakai, error, kacaauu</v>
      </c>
    </row>
    <row r="630">
      <c r="A630" s="17" t="str">
        <f>Cleaning!H638</f>
        <v>tidak bisa regestrasi error truss</v>
      </c>
      <c r="B630" s="21" t="str">
        <f>IFERROR(__xludf.DUMMYFUNCTION("REGEXREPLACE(A630,"" "","", "")"),"tidak, bisa, regestrasi, error, truss")</f>
        <v>tidak, bisa, regestrasi, error, truss</v>
      </c>
    </row>
    <row r="631">
      <c r="A631" s="17" t="str">
        <f>Cleaning!H639</f>
        <v>aplikasi gaada guna terus aja erorr gaada apa kata lain gimna mau masuk klo bginj teruss bngke</v>
      </c>
      <c r="B631" s="21" t="str">
        <f>IFERROR(__xludf.DUMMYFUNCTION("REGEXREPLACE(A631,"" "","", "")"),"aplikasi, gaada, guna, terus, aja, erorr, gaada, apa, kata, lain, gimna, mau, masuk, klo, bginj, teruss, bngke")</f>
        <v>aplikasi, gaada, guna, terus, aja, erorr, gaada, apa, kata, lain, gimna, mau, masuk, klo, bginj, teruss, bngke</v>
      </c>
    </row>
    <row r="632">
      <c r="A632" s="17" t="str">
        <f>Cleaning!H640</f>
        <v>aplikasi produk gagal lemot sama kayak mensos nya</v>
      </c>
      <c r="B632" s="21" t="str">
        <f>IFERROR(__xludf.DUMMYFUNCTION("REGEXREPLACE(A632,"" "","", "")"),"aplikasi, produk, gagal, lemot, sama, kayak, mensos, nya")</f>
        <v>aplikasi, produk, gagal, lemot, sama, kayak, mensos, nya</v>
      </c>
    </row>
    <row r="633">
      <c r="A633" s="17" t="str">
        <f>Cleaning!H641</f>
        <v>tiap mau buat akun selalu error</v>
      </c>
      <c r="B633" s="21" t="str">
        <f>IFERROR(__xludf.DUMMYFUNCTION("REGEXREPLACE(A633,"" "","", "")"),"tiap, mau, buat, akun, selalu, error")</f>
        <v>tiap, mau, buat, akun, selalu, error</v>
      </c>
    </row>
    <row r="634">
      <c r="A634" s="17" t="str">
        <f>Cleaning!H642</f>
        <v>kenapa tidak bisa login dan daftar ya</v>
      </c>
      <c r="B634" s="21" t="str">
        <f>IFERROR(__xludf.DUMMYFUNCTION("REGEXREPLACE(A634,"" "","", "")"),"kenapa, tidak, bisa, login, dan, daftar, ya")</f>
        <v>kenapa, tidak, bisa, login, dan, daftar, ya</v>
      </c>
    </row>
    <row r="635">
      <c r="A635" s="17" t="str">
        <f>Cleaning!H643</f>
        <v>sudah di verivikasi akun saya tp ko susah untuk melengkapi data nya</v>
      </c>
      <c r="B635" s="21" t="str">
        <f>IFERROR(__xludf.DUMMYFUNCTION("REGEXREPLACE(A635,"" "","", "")"),"sudah, di, verivikasi, akun, saya, tp, ko, susah, untuk, melengkapi, data, nya")</f>
        <v>sudah, di, verivikasi, akun, saya, tp, ko, susah, untuk, melengkapi, data, nya</v>
      </c>
    </row>
    <row r="636">
      <c r="A636" s="17" t="str">
        <f>Cleaning!H644</f>
        <v>hoax login pun tak bisa siapa it programer nya yg bikin ini aplikasi</v>
      </c>
      <c r="B636" s="21" t="str">
        <f>IFERROR(__xludf.DUMMYFUNCTION("REGEXREPLACE(A636,"" "","", "")"),"hoax, login, pun, tak, bisa, siapa, it, programer, nya, yg, bikin, ini, aplikasi")</f>
        <v>hoax, login, pun, tak, bisa, siapa, it, programer, nya, yg, bikin, ini, aplikasi</v>
      </c>
    </row>
    <row r="637">
      <c r="A637" s="17" t="str">
        <f>Cleaning!H645</f>
        <v>aplikasi buruk saat mengisi bagian provinsi eror terus</v>
      </c>
      <c r="B637" s="21" t="str">
        <f>IFERROR(__xludf.DUMMYFUNCTION("REGEXREPLACE(A637,"" "","", "")"),"aplikasi, buruk, saat, mengisi, bagian, provinsi, eror, terus")</f>
        <v>aplikasi, buruk, saat, mengisi, bagian, provinsi, eror, terus</v>
      </c>
    </row>
    <row r="638">
      <c r="A638" s="17" t="str">
        <f>Cleaning!H646</f>
        <v>tidak bisa daftar dengan keterangan error json parse</v>
      </c>
      <c r="B638" s="21" t="str">
        <f>IFERROR(__xludf.DUMMYFUNCTION("REGEXREPLACE(A638,"" "","", "")"),"tidak, bisa, daftar, dengan, keterangan, error, json, parse")</f>
        <v>tidak, bisa, daftar, dengan, keterangan, error, json, parse</v>
      </c>
    </row>
    <row r="639">
      <c r="A639" s="17" t="str">
        <f>Cleaning!H647</f>
        <v>aplikasi buruk error terus tidak bisa mengajukan usulan</v>
      </c>
      <c r="B639" s="21" t="str">
        <f>IFERROR(__xludf.DUMMYFUNCTION("REGEXREPLACE(A639,"" "","", "")"),"aplikasi, buruk, error, terus, tidak, bisa, mengajukan, usulan")</f>
        <v>aplikasi, buruk, error, terus, tidak, bisa, mengajukan, usulan</v>
      </c>
    </row>
    <row r="640">
      <c r="A640" s="17" t="str">
        <f>Cleaning!H648</f>
        <v>saya tidak bisa daftarmasalah isi provinsi dan foto tolong perbaiki</v>
      </c>
      <c r="B640" s="21" t="str">
        <f>IFERROR(__xludf.DUMMYFUNCTION("REGEXREPLACE(A640,"" "","", "")"),"saya, tidak, bisa, daftarmasalah, isi, provinsi, dan, foto, tolong, perbaiki")</f>
        <v>saya, tidak, bisa, daftarmasalah, isi, provinsi, dan, foto, tolong, perbaiki</v>
      </c>
    </row>
    <row r="641">
      <c r="A641" s="17" t="str">
        <f>Cleaning!H649</f>
        <v>tolong di perbaiki lagi aplikasinya supaya tidak erorr dalam pembuatan akunterimakasih</v>
      </c>
      <c r="B641" s="21" t="str">
        <f>IFERROR(__xludf.DUMMYFUNCTION("REGEXREPLACE(A641,"" "","", "")"),"tolong, di, perbaiki, lagi, aplikasinya, supaya, tidak, erorr, dalam, pembuatan, akunterimakasih")</f>
        <v>tolong, di, perbaiki, lagi, aplikasinya, supaya, tidak, erorr, dalam, pembuatan, akunterimakasih</v>
      </c>
    </row>
    <row r="642">
      <c r="A642" s="17" t="str">
        <f>Cleaning!H650</f>
        <v>g bisa daftar trs udah di coba berapa x jg apa udah di tutup utk pendaftarany</v>
      </c>
      <c r="B642" s="21" t="str">
        <f>IFERROR(__xludf.DUMMYFUNCTION("REGEXREPLACE(A642,"" "","", "")"),"g, bisa, daftar, trs, udah, di, coba, berapa, x, jg, apa, udah, di, tutup, utk, pendaftarany")</f>
        <v>g, bisa, daftar, trs, udah, di, coba, berapa, x, jg, apa, udah, di, tutup, utk, pendaftarany</v>
      </c>
    </row>
    <row r="643">
      <c r="A643" s="17" t="str">
        <f>Cleaning!H651</f>
        <v>saat daftat eror terus dan aplikasi nya tidak keluar di pintasan hp</v>
      </c>
      <c r="B643" s="21" t="str">
        <f>IFERROR(__xludf.DUMMYFUNCTION("REGEXREPLACE(A643,"" "","", "")"),"saat, daftat, eror, terus, dan, aplikasi, nya, tidak, keluar, di, pintasan, hp")</f>
        <v>saat, daftat, eror, terus, dan, aplikasi, nya, tidak, keluar, di, pintasan, hp</v>
      </c>
    </row>
    <row r="644">
      <c r="A644" s="17" t="str">
        <f>Cleaning!H652</f>
        <v>aplikasi apaan ini tidak bisa di gunakan tidak bisa membantu sama sekali</v>
      </c>
      <c r="B644" s="21" t="str">
        <f>IFERROR(__xludf.DUMMYFUNCTION("REGEXREPLACE(A644,"" "","", "")"),"aplikasi, apaan, ini, tidak, bisa, di, gunakan, tidak, bisa, membantu, sama, sekali")</f>
        <v>aplikasi, apaan, ini, tidak, bisa, di, gunakan, tidak, bisa, membantu, sama, sekali</v>
      </c>
    </row>
    <row r="645">
      <c r="A645" s="17" t="str">
        <f>Cleaning!H653</f>
        <v>heran sama pemerintah ini buat aplikasi aja kayak gini bisa di buka enggakgajih gede tapi cuma buat aplikasi begini aja gk bisaniat bantu rakyat gk kalian wahai pemerintah</v>
      </c>
      <c r="B645" s="21" t="str">
        <f>IFERROR(__xludf.DUMMYFUNCTION("REGEXREPLACE(A645,"" "","", "")"),"heran, sama, pemerintah, ini, buat, aplikasi, aja, kayak, gini, bisa, di, buka, enggakgajih, gede, tapi, cuma, buat, aplikasi, begini, aja, gk, bisaniat, bantu, rakyat, gk, kalian, wahai, pemerintah")</f>
        <v>heran, sama, pemerintah, ini, buat, aplikasi, aja, kayak, gini, bisa, di, buka, enggakgajih, gede, tapi, cuma, buat, aplikasi, begini, aja, gk, bisaniat, bantu, rakyat, gk, kalian, wahai, pemerintah</v>
      </c>
    </row>
    <row r="646">
      <c r="A646" s="17" t="str">
        <f>Cleaning!H654</f>
        <v>admin tolong diperbaiki kenapa kalo mau menambah usulan eror terus</v>
      </c>
      <c r="B646" s="21" t="str">
        <f>IFERROR(__xludf.DUMMYFUNCTION("REGEXREPLACE(A646,"" "","", "")"),"admin, tolong, diperbaiki, kenapa, kalo, mau, menambah, usulan, eror, terus")</f>
        <v>admin, tolong, diperbaiki, kenapa, kalo, mau, menambah, usulan, eror, terus</v>
      </c>
    </row>
    <row r="647">
      <c r="A647" s="17" t="str">
        <f>Cleaning!H655</f>
        <v>apikasi nya eror terus tolong di pebaiki agar kmi yg bisa cek ada ny dana untuk kmi yg mbutuhkan</v>
      </c>
      <c r="B647" s="21" t="str">
        <f>IFERROR(__xludf.DUMMYFUNCTION("REGEXREPLACE(A647,"" "","", "")"),"apikasi, nya, eror, terus, tolong, di, pebaiki, agar, kmi, yg, bisa, cek, ada, ny, dana, untuk, kmi, yg, mbutuhkan")</f>
        <v>apikasi, nya, eror, terus, tolong, di, pebaiki, agar, kmi, yg, bisa, cek, ada, ny, dana, untuk, kmi, yg, mbutuhkan</v>
      </c>
    </row>
    <row r="648">
      <c r="A648" s="17" t="str">
        <f>Cleaning!H656</f>
        <v>tolong dong ini aplikasinya sedang error</v>
      </c>
      <c r="B648" s="21" t="str">
        <f>IFERROR(__xludf.DUMMYFUNCTION("REGEXREPLACE(A648,"" "","", "")"),"tolong, dong, ini, aplikasinya, sedang, error")</f>
        <v>tolong, dong, ini, aplikasinya, sedang, error</v>
      </c>
    </row>
    <row r="649">
      <c r="A649" s="17" t="str">
        <f>Cleaning!H657</f>
        <v>error mulu setiap mau login </v>
      </c>
      <c r="B649" s="21" t="str">
        <f>IFERROR(__xludf.DUMMYFUNCTION("REGEXREPLACE(A649,"" "","", "")"),"error, mulu, setiap, mau, login, ")</f>
        <v>error, mulu, setiap, mau, login, </v>
      </c>
    </row>
    <row r="650">
      <c r="A650" s="17" t="str">
        <f>Cleaning!H658</f>
        <v>dana pemerintah triliunan rupiah tapi membuat aplikasi macam begini supaya bisa berjalan dengan lancar aja tidak becus sungguh memalukan</v>
      </c>
      <c r="B650" s="21" t="str">
        <f>IFERROR(__xludf.DUMMYFUNCTION("REGEXREPLACE(A650,"" "","", "")"),"dana, pemerintah, triliunan, rupiah, tapi, membuat, aplikasi, macam, begini, supaya, bisa, berjalan, dengan, lancar, aja, tidak, becus, sungguh, memalukan")</f>
        <v>dana, pemerintah, triliunan, rupiah, tapi, membuat, aplikasi, macam, begini, supaya, bisa, berjalan, dengan, lancar, aja, tidak, becus, sungguh, memalukan</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25"/>
    <col customWidth="1" min="2" max="2" width="37.88"/>
    <col customWidth="1" min="3" max="3" width="27.88"/>
  </cols>
  <sheetData>
    <row r="1">
      <c r="A1" s="22" t="s">
        <v>1427</v>
      </c>
    </row>
    <row r="2">
      <c r="A2" s="23" t="s">
        <v>1428</v>
      </c>
      <c r="B2" s="24" t="s">
        <v>1429</v>
      </c>
      <c r="C2" s="25" t="s">
        <v>1430</v>
      </c>
    </row>
    <row r="4">
      <c r="A4" s="26" t="s">
        <v>1431</v>
      </c>
    </row>
    <row r="5">
      <c r="A5" s="27" t="s">
        <v>1432</v>
      </c>
      <c r="B5" s="28" t="s">
        <v>1433</v>
      </c>
      <c r="C5" s="29" t="s">
        <v>1434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5" width="15.5"/>
  </cols>
  <sheetData>
    <row r="1">
      <c r="A1" s="30" t="s">
        <v>1435</v>
      </c>
      <c r="B1" s="31" t="str">
        <f>Stemming!A5</f>
        <v>teman, aplikasi, cek, bansos, jaringan, error, x, masuk, coba, coba, masuk, bulan, error, alhamdulillah, kemarin, masuk, pilih, selamat, coba, juang, bansos</v>
      </c>
      <c r="C1" s="32" t="str">
        <f>Stemming!B5</f>
        <v>app, fungsi, baik, bagus, masuk, data, nama, lihat, dasar, provinsi, kecamatan, kelurahan, lengkap, dusun, rt, nilai, layak, unggah, foto, orang, salah, orang, kelurahan, nama</v>
      </c>
      <c r="D1" s="33" t="str">
        <f>Stemming!C5</f>
        <v>aplikasi, buka, error,</v>
      </c>
      <c r="F1" s="34"/>
      <c r="G1" s="34"/>
      <c r="H1" s="34"/>
      <c r="I1" s="35"/>
      <c r="J1" s="34"/>
      <c r="K1" s="34"/>
      <c r="L1" s="34"/>
      <c r="M1" s="34"/>
      <c r="N1" s="34"/>
      <c r="O1" s="34"/>
      <c r="P1" s="34"/>
      <c r="Q1" s="34"/>
      <c r="R1" s="34"/>
      <c r="S1" s="34"/>
      <c r="T1" s="34"/>
      <c r="U1" s="34"/>
      <c r="V1" s="34"/>
      <c r="W1" s="34"/>
      <c r="X1" s="34"/>
      <c r="Y1" s="34"/>
    </row>
    <row r="2">
      <c r="A2" s="34"/>
      <c r="B2" s="34"/>
      <c r="C2" s="34"/>
      <c r="D2" s="34"/>
      <c r="E2" s="34"/>
      <c r="F2" s="34"/>
      <c r="G2" s="34"/>
      <c r="H2" s="34"/>
      <c r="I2" s="34">
        <f>3-COUNTIF(B7:D7, 0)</f>
        <v>2</v>
      </c>
    </row>
    <row r="3">
      <c r="A3" s="36" t="s">
        <v>1436</v>
      </c>
    </row>
    <row r="4">
      <c r="A4" s="37" t="s">
        <v>1437</v>
      </c>
      <c r="B4" s="38" t="s">
        <v>1438</v>
      </c>
      <c r="C4" s="39"/>
      <c r="D4" s="40"/>
      <c r="E4" s="38" t="s">
        <v>1439</v>
      </c>
      <c r="F4" s="39"/>
      <c r="G4" s="40"/>
      <c r="H4" s="41" t="s">
        <v>1440</v>
      </c>
      <c r="I4" s="38" t="s">
        <v>1441</v>
      </c>
      <c r="J4" s="39"/>
      <c r="K4" s="40"/>
    </row>
    <row r="5">
      <c r="A5" s="42"/>
      <c r="B5" s="43" t="s">
        <v>1442</v>
      </c>
      <c r="C5" s="43" t="s">
        <v>1443</v>
      </c>
      <c r="D5" s="43" t="s">
        <v>1444</v>
      </c>
      <c r="E5" s="43" t="s">
        <v>1442</v>
      </c>
      <c r="F5" s="43" t="s">
        <v>1443</v>
      </c>
      <c r="G5" s="43" t="s">
        <v>1444</v>
      </c>
      <c r="H5" s="42"/>
      <c r="I5" s="43" t="s">
        <v>1442</v>
      </c>
      <c r="J5" s="44" t="s">
        <v>1443</v>
      </c>
      <c r="K5" s="44" t="s">
        <v>1444</v>
      </c>
    </row>
    <row r="6">
      <c r="A6" s="45" t="s">
        <v>1445</v>
      </c>
      <c r="B6" s="46">
        <f t="shared" ref="B6:B41" si="1">(LEN($B$1)-LEN(SUBSTITUTE($B$1,A6,"")))/LEN(A6)</f>
        <v>1</v>
      </c>
      <c r="C6" s="47">
        <f t="shared" ref="C6:C41" si="2">(LEN($C$1)-LEN(SUBSTITUTE($C$1,A6,"")))/LEN(A6)</f>
        <v>0</v>
      </c>
      <c r="D6" s="46">
        <f t="shared" ref="D6:D41" si="3">(LEN($D$1)-LEN(SUBSTITUTE($D$1,A6,"")))/LEN(A6)</f>
        <v>0</v>
      </c>
      <c r="E6" s="46">
        <f t="shared" ref="E6:E41" si="4">B6/IF(LEN(TRIM($B$1))=0,0,LEN(TRIM($B$1))-LEN(SUBSTITUTE($B$1," ",""))+1)</f>
        <v>0.04761904762</v>
      </c>
      <c r="F6" s="46">
        <f t="shared" ref="F6:F41" si="5">C6/IF(LEN(TRIM($C$1))=0,0,LEN(TRIM($C$1))-LEN(SUBSTITUTE($C$1," ",""))+1)</f>
        <v>0</v>
      </c>
      <c r="G6" s="46">
        <f t="shared" ref="G6:G41" si="6">D6/IF(LEN(TRIM($D$1))=0,0,LEN(TRIM($D$1))-LEN(SUBSTITUTE($D$1," ",""))+1)</f>
        <v>0</v>
      </c>
      <c r="H6" s="46">
        <f t="shared" ref="H6:H41" si="7">LOG10(2/(3-COUNTIF(B6:D6,0)))</f>
        <v>0.3010299957</v>
      </c>
      <c r="I6" s="46">
        <f t="shared" ref="I6:I41" si="8">E6*H6</f>
        <v>0.0143347617</v>
      </c>
      <c r="J6" s="48">
        <f t="shared" ref="J6:J41" si="9">F6*H6</f>
        <v>0</v>
      </c>
      <c r="K6" s="48">
        <f t="shared" ref="K6:K41" si="10">G6*H6</f>
        <v>0</v>
      </c>
    </row>
    <row r="7">
      <c r="A7" s="45" t="s">
        <v>1446</v>
      </c>
      <c r="B7" s="46">
        <f t="shared" si="1"/>
        <v>1</v>
      </c>
      <c r="C7" s="47">
        <f t="shared" si="2"/>
        <v>0</v>
      </c>
      <c r="D7" s="46">
        <f t="shared" si="3"/>
        <v>1</v>
      </c>
      <c r="E7" s="46">
        <f t="shared" si="4"/>
        <v>0.04761904762</v>
      </c>
      <c r="F7" s="46">
        <f t="shared" si="5"/>
        <v>0</v>
      </c>
      <c r="G7" s="46">
        <f t="shared" si="6"/>
        <v>0.3333333333</v>
      </c>
      <c r="H7" s="46">
        <f t="shared" si="7"/>
        <v>0</v>
      </c>
      <c r="I7" s="46">
        <f t="shared" si="8"/>
        <v>0</v>
      </c>
      <c r="J7" s="48">
        <f t="shared" si="9"/>
        <v>0</v>
      </c>
      <c r="K7" s="48">
        <f t="shared" si="10"/>
        <v>0</v>
      </c>
    </row>
    <row r="8">
      <c r="A8" s="45" t="s">
        <v>1447</v>
      </c>
      <c r="B8" s="46">
        <f t="shared" si="1"/>
        <v>1</v>
      </c>
      <c r="C8" s="47">
        <f t="shared" si="2"/>
        <v>0</v>
      </c>
      <c r="D8" s="46">
        <f t="shared" si="3"/>
        <v>0</v>
      </c>
      <c r="E8" s="46">
        <f t="shared" si="4"/>
        <v>0.04761904762</v>
      </c>
      <c r="F8" s="46">
        <f t="shared" si="5"/>
        <v>0</v>
      </c>
      <c r="G8" s="46">
        <f t="shared" si="6"/>
        <v>0</v>
      </c>
      <c r="H8" s="46">
        <f t="shared" si="7"/>
        <v>0.3010299957</v>
      </c>
      <c r="I8" s="46">
        <f t="shared" si="8"/>
        <v>0.0143347617</v>
      </c>
      <c r="J8" s="48">
        <f t="shared" si="9"/>
        <v>0</v>
      </c>
      <c r="K8" s="48">
        <f t="shared" si="10"/>
        <v>0</v>
      </c>
    </row>
    <row r="9">
      <c r="A9" s="49" t="s">
        <v>1448</v>
      </c>
      <c r="B9" s="46">
        <f t="shared" si="1"/>
        <v>2</v>
      </c>
      <c r="C9" s="47">
        <f t="shared" si="2"/>
        <v>0</v>
      </c>
      <c r="D9" s="46">
        <f t="shared" si="3"/>
        <v>0</v>
      </c>
      <c r="E9" s="46">
        <f t="shared" si="4"/>
        <v>0.09523809524</v>
      </c>
      <c r="F9" s="46">
        <f t="shared" si="5"/>
        <v>0</v>
      </c>
      <c r="G9" s="46">
        <f t="shared" si="6"/>
        <v>0</v>
      </c>
      <c r="H9" s="46">
        <f t="shared" si="7"/>
        <v>0.3010299957</v>
      </c>
      <c r="I9" s="46">
        <f t="shared" si="8"/>
        <v>0.0286695234</v>
      </c>
      <c r="J9" s="48">
        <f t="shared" si="9"/>
        <v>0</v>
      </c>
      <c r="K9" s="48">
        <f t="shared" si="10"/>
        <v>0</v>
      </c>
    </row>
    <row r="10">
      <c r="A10" s="48" t="s">
        <v>1449</v>
      </c>
      <c r="B10" s="46">
        <f t="shared" si="1"/>
        <v>1</v>
      </c>
      <c r="C10" s="47">
        <f t="shared" si="2"/>
        <v>0</v>
      </c>
      <c r="D10" s="46">
        <f t="shared" si="3"/>
        <v>0</v>
      </c>
      <c r="E10" s="46">
        <f t="shared" si="4"/>
        <v>0.04761904762</v>
      </c>
      <c r="F10" s="46">
        <f t="shared" si="5"/>
        <v>0</v>
      </c>
      <c r="G10" s="46">
        <f t="shared" si="6"/>
        <v>0</v>
      </c>
      <c r="H10" s="46">
        <f t="shared" si="7"/>
        <v>0.3010299957</v>
      </c>
      <c r="I10" s="46">
        <f t="shared" si="8"/>
        <v>0.0143347617</v>
      </c>
      <c r="J10" s="48">
        <f t="shared" si="9"/>
        <v>0</v>
      </c>
      <c r="K10" s="48">
        <f t="shared" si="10"/>
        <v>0</v>
      </c>
    </row>
    <row r="11">
      <c r="A11" s="48" t="s">
        <v>1450</v>
      </c>
      <c r="B11" s="46">
        <f t="shared" si="1"/>
        <v>2</v>
      </c>
      <c r="C11" s="47">
        <f t="shared" si="2"/>
        <v>0</v>
      </c>
      <c r="D11" s="46">
        <f t="shared" si="3"/>
        <v>1</v>
      </c>
      <c r="E11" s="46">
        <f t="shared" si="4"/>
        <v>0.09523809524</v>
      </c>
      <c r="F11" s="46">
        <f t="shared" si="5"/>
        <v>0</v>
      </c>
      <c r="G11" s="46">
        <f t="shared" si="6"/>
        <v>0.3333333333</v>
      </c>
      <c r="H11" s="46">
        <f t="shared" si="7"/>
        <v>0</v>
      </c>
      <c r="I11" s="46">
        <f t="shared" si="8"/>
        <v>0</v>
      </c>
      <c r="J11" s="48">
        <f t="shared" si="9"/>
        <v>0</v>
      </c>
      <c r="K11" s="48">
        <f t="shared" si="10"/>
        <v>0</v>
      </c>
    </row>
    <row r="12">
      <c r="A12" s="48" t="s">
        <v>1451</v>
      </c>
      <c r="B12" s="46">
        <f t="shared" si="1"/>
        <v>1</v>
      </c>
      <c r="C12" s="47">
        <f t="shared" si="2"/>
        <v>0</v>
      </c>
      <c r="D12" s="46">
        <f t="shared" si="3"/>
        <v>0</v>
      </c>
      <c r="E12" s="46">
        <f t="shared" si="4"/>
        <v>0.04761904762</v>
      </c>
      <c r="F12" s="46">
        <f t="shared" si="5"/>
        <v>0</v>
      </c>
      <c r="G12" s="46">
        <f t="shared" si="6"/>
        <v>0</v>
      </c>
      <c r="H12" s="46">
        <f t="shared" si="7"/>
        <v>0.3010299957</v>
      </c>
      <c r="I12" s="46">
        <f t="shared" si="8"/>
        <v>0.0143347617</v>
      </c>
      <c r="J12" s="48">
        <f t="shared" si="9"/>
        <v>0</v>
      </c>
      <c r="K12" s="48">
        <f t="shared" si="10"/>
        <v>0</v>
      </c>
    </row>
    <row r="13">
      <c r="A13" s="48" t="s">
        <v>1452</v>
      </c>
      <c r="B13" s="46">
        <f t="shared" si="1"/>
        <v>3</v>
      </c>
      <c r="C13" s="47">
        <f t="shared" si="2"/>
        <v>1</v>
      </c>
      <c r="D13" s="46">
        <f t="shared" si="3"/>
        <v>0</v>
      </c>
      <c r="E13" s="46">
        <f t="shared" si="4"/>
        <v>0.1428571429</v>
      </c>
      <c r="F13" s="46">
        <f t="shared" si="5"/>
        <v>0.04166666667</v>
      </c>
      <c r="G13" s="46">
        <f t="shared" si="6"/>
        <v>0</v>
      </c>
      <c r="H13" s="46">
        <f t="shared" si="7"/>
        <v>0</v>
      </c>
      <c r="I13" s="46">
        <f t="shared" si="8"/>
        <v>0</v>
      </c>
      <c r="J13" s="48">
        <f t="shared" si="9"/>
        <v>0</v>
      </c>
      <c r="K13" s="48">
        <f t="shared" si="10"/>
        <v>0</v>
      </c>
    </row>
    <row r="14">
      <c r="A14" s="48" t="s">
        <v>1453</v>
      </c>
      <c r="B14" s="46">
        <f t="shared" si="1"/>
        <v>3</v>
      </c>
      <c r="C14" s="47">
        <f t="shared" si="2"/>
        <v>0</v>
      </c>
      <c r="D14" s="46">
        <f t="shared" si="3"/>
        <v>0</v>
      </c>
      <c r="E14" s="46">
        <f t="shared" si="4"/>
        <v>0.1428571429</v>
      </c>
      <c r="F14" s="46">
        <f t="shared" si="5"/>
        <v>0</v>
      </c>
      <c r="G14" s="46">
        <f t="shared" si="6"/>
        <v>0</v>
      </c>
      <c r="H14" s="46">
        <f t="shared" si="7"/>
        <v>0.3010299957</v>
      </c>
      <c r="I14" s="46">
        <f t="shared" si="8"/>
        <v>0.04300428509</v>
      </c>
      <c r="J14" s="48">
        <f t="shared" si="9"/>
        <v>0</v>
      </c>
      <c r="K14" s="48">
        <f t="shared" si="10"/>
        <v>0</v>
      </c>
    </row>
    <row r="15">
      <c r="A15" s="48" t="s">
        <v>797</v>
      </c>
      <c r="B15" s="46">
        <f t="shared" si="1"/>
        <v>1</v>
      </c>
      <c r="C15" s="47">
        <f t="shared" si="2"/>
        <v>0</v>
      </c>
      <c r="D15" s="46">
        <f t="shared" si="3"/>
        <v>0</v>
      </c>
      <c r="E15" s="46">
        <f t="shared" si="4"/>
        <v>0.04761904762</v>
      </c>
      <c r="F15" s="46">
        <f t="shared" si="5"/>
        <v>0</v>
      </c>
      <c r="G15" s="46">
        <f t="shared" si="6"/>
        <v>0</v>
      </c>
      <c r="H15" s="46">
        <f t="shared" si="7"/>
        <v>0.3010299957</v>
      </c>
      <c r="I15" s="46">
        <f t="shared" si="8"/>
        <v>0.0143347617</v>
      </c>
      <c r="J15" s="48">
        <f t="shared" si="9"/>
        <v>0</v>
      </c>
      <c r="K15" s="48">
        <f t="shared" si="10"/>
        <v>0</v>
      </c>
    </row>
    <row r="16">
      <c r="A16" s="48" t="s">
        <v>1454</v>
      </c>
      <c r="B16" s="46">
        <f t="shared" si="1"/>
        <v>1</v>
      </c>
      <c r="C16" s="47">
        <f t="shared" si="2"/>
        <v>0</v>
      </c>
      <c r="D16" s="46">
        <f t="shared" si="3"/>
        <v>0</v>
      </c>
      <c r="E16" s="46">
        <f t="shared" si="4"/>
        <v>0.04761904762</v>
      </c>
      <c r="F16" s="46">
        <f t="shared" si="5"/>
        <v>0</v>
      </c>
      <c r="G16" s="46">
        <f t="shared" si="6"/>
        <v>0</v>
      </c>
      <c r="H16" s="46">
        <f t="shared" si="7"/>
        <v>0.3010299957</v>
      </c>
      <c r="I16" s="46">
        <f t="shared" si="8"/>
        <v>0.0143347617</v>
      </c>
      <c r="J16" s="48">
        <f t="shared" si="9"/>
        <v>0</v>
      </c>
      <c r="K16" s="48">
        <f t="shared" si="10"/>
        <v>0</v>
      </c>
    </row>
    <row r="17">
      <c r="A17" s="48" t="s">
        <v>1455</v>
      </c>
      <c r="B17" s="46">
        <f t="shared" si="1"/>
        <v>1</v>
      </c>
      <c r="C17" s="47">
        <f t="shared" si="2"/>
        <v>0</v>
      </c>
      <c r="D17" s="46">
        <f t="shared" si="3"/>
        <v>0</v>
      </c>
      <c r="E17" s="46">
        <f t="shared" si="4"/>
        <v>0.04761904762</v>
      </c>
      <c r="F17" s="46">
        <f t="shared" si="5"/>
        <v>0</v>
      </c>
      <c r="G17" s="46">
        <f t="shared" si="6"/>
        <v>0</v>
      </c>
      <c r="H17" s="46">
        <f t="shared" si="7"/>
        <v>0.3010299957</v>
      </c>
      <c r="I17" s="46">
        <f t="shared" si="8"/>
        <v>0.0143347617</v>
      </c>
      <c r="J17" s="48">
        <f t="shared" si="9"/>
        <v>0</v>
      </c>
      <c r="K17" s="48">
        <f t="shared" si="10"/>
        <v>0</v>
      </c>
    </row>
    <row r="18">
      <c r="A18" s="48" t="s">
        <v>1456</v>
      </c>
      <c r="B18" s="46">
        <f t="shared" si="1"/>
        <v>1</v>
      </c>
      <c r="C18" s="47">
        <f t="shared" si="2"/>
        <v>0</v>
      </c>
      <c r="D18" s="46">
        <f t="shared" si="3"/>
        <v>0</v>
      </c>
      <c r="E18" s="46">
        <f t="shared" si="4"/>
        <v>0.04761904762</v>
      </c>
      <c r="F18" s="46">
        <f t="shared" si="5"/>
        <v>0</v>
      </c>
      <c r="G18" s="46">
        <f t="shared" si="6"/>
        <v>0</v>
      </c>
      <c r="H18" s="46">
        <f t="shared" si="7"/>
        <v>0.3010299957</v>
      </c>
      <c r="I18" s="46">
        <f t="shared" si="8"/>
        <v>0.0143347617</v>
      </c>
      <c r="J18" s="48">
        <f t="shared" si="9"/>
        <v>0</v>
      </c>
      <c r="K18" s="48">
        <f t="shared" si="10"/>
        <v>0</v>
      </c>
    </row>
    <row r="19">
      <c r="A19" s="48" t="s">
        <v>1457</v>
      </c>
      <c r="B19" s="46">
        <f t="shared" si="1"/>
        <v>1</v>
      </c>
      <c r="C19" s="47">
        <f t="shared" si="2"/>
        <v>0</v>
      </c>
      <c r="D19" s="46">
        <f t="shared" si="3"/>
        <v>0</v>
      </c>
      <c r="E19" s="46">
        <f t="shared" si="4"/>
        <v>0.04761904762</v>
      </c>
      <c r="F19" s="46">
        <f t="shared" si="5"/>
        <v>0</v>
      </c>
      <c r="G19" s="46">
        <f t="shared" si="6"/>
        <v>0</v>
      </c>
      <c r="H19" s="46">
        <f t="shared" si="7"/>
        <v>0.3010299957</v>
      </c>
      <c r="I19" s="46">
        <f t="shared" si="8"/>
        <v>0.0143347617</v>
      </c>
      <c r="J19" s="48">
        <f t="shared" si="9"/>
        <v>0</v>
      </c>
      <c r="K19" s="48">
        <f t="shared" si="10"/>
        <v>0</v>
      </c>
    </row>
    <row r="20">
      <c r="A20" s="48" t="s">
        <v>1458</v>
      </c>
      <c r="B20" s="46">
        <f t="shared" si="1"/>
        <v>1</v>
      </c>
      <c r="C20" s="47">
        <f t="shared" si="2"/>
        <v>0</v>
      </c>
      <c r="D20" s="46">
        <f t="shared" si="3"/>
        <v>0</v>
      </c>
      <c r="E20" s="46">
        <f t="shared" si="4"/>
        <v>0.04761904762</v>
      </c>
      <c r="F20" s="46">
        <f t="shared" si="5"/>
        <v>0</v>
      </c>
      <c r="G20" s="46">
        <f t="shared" si="6"/>
        <v>0</v>
      </c>
      <c r="H20" s="46">
        <f t="shared" si="7"/>
        <v>0.3010299957</v>
      </c>
      <c r="I20" s="46">
        <f t="shared" si="8"/>
        <v>0.0143347617</v>
      </c>
      <c r="J20" s="48">
        <f t="shared" si="9"/>
        <v>0</v>
      </c>
      <c r="K20" s="48">
        <f t="shared" si="10"/>
        <v>0</v>
      </c>
    </row>
    <row r="21">
      <c r="A21" s="44" t="s">
        <v>1459</v>
      </c>
      <c r="B21" s="46">
        <f t="shared" si="1"/>
        <v>0</v>
      </c>
      <c r="C21" s="47">
        <f t="shared" si="2"/>
        <v>1</v>
      </c>
      <c r="D21" s="46">
        <f t="shared" si="3"/>
        <v>0</v>
      </c>
      <c r="E21" s="46">
        <f t="shared" si="4"/>
        <v>0</v>
      </c>
      <c r="F21" s="46">
        <f t="shared" si="5"/>
        <v>0.04166666667</v>
      </c>
      <c r="G21" s="46">
        <f t="shared" si="6"/>
        <v>0</v>
      </c>
      <c r="H21" s="46">
        <f t="shared" si="7"/>
        <v>0.3010299957</v>
      </c>
      <c r="I21" s="46">
        <f t="shared" si="8"/>
        <v>0</v>
      </c>
      <c r="J21" s="48">
        <f t="shared" si="9"/>
        <v>0.01254291649</v>
      </c>
      <c r="K21" s="48">
        <f t="shared" si="10"/>
        <v>0</v>
      </c>
    </row>
    <row r="22">
      <c r="A22" s="44" t="s">
        <v>1460</v>
      </c>
      <c r="B22" s="46">
        <f t="shared" si="1"/>
        <v>0</v>
      </c>
      <c r="C22" s="47">
        <f t="shared" si="2"/>
        <v>1</v>
      </c>
      <c r="D22" s="46">
        <f t="shared" si="3"/>
        <v>0</v>
      </c>
      <c r="E22" s="46">
        <f t="shared" si="4"/>
        <v>0</v>
      </c>
      <c r="F22" s="46">
        <f t="shared" si="5"/>
        <v>0.04166666667</v>
      </c>
      <c r="G22" s="46">
        <f t="shared" si="6"/>
        <v>0</v>
      </c>
      <c r="H22" s="46">
        <f t="shared" si="7"/>
        <v>0.3010299957</v>
      </c>
      <c r="I22" s="46">
        <f t="shared" si="8"/>
        <v>0</v>
      </c>
      <c r="J22" s="48">
        <f t="shared" si="9"/>
        <v>0.01254291649</v>
      </c>
      <c r="K22" s="48">
        <f t="shared" si="10"/>
        <v>0</v>
      </c>
    </row>
    <row r="23">
      <c r="A23" s="44" t="s">
        <v>714</v>
      </c>
      <c r="B23" s="46">
        <f t="shared" si="1"/>
        <v>0</v>
      </c>
      <c r="C23" s="47">
        <f t="shared" si="2"/>
        <v>1</v>
      </c>
      <c r="D23" s="46">
        <f t="shared" si="3"/>
        <v>0</v>
      </c>
      <c r="E23" s="46">
        <f t="shared" si="4"/>
        <v>0</v>
      </c>
      <c r="F23" s="46">
        <f t="shared" si="5"/>
        <v>0.04166666667</v>
      </c>
      <c r="G23" s="46">
        <f t="shared" si="6"/>
        <v>0</v>
      </c>
      <c r="H23" s="46">
        <f t="shared" si="7"/>
        <v>0.3010299957</v>
      </c>
      <c r="I23" s="46">
        <f t="shared" si="8"/>
        <v>0</v>
      </c>
      <c r="J23" s="48">
        <f t="shared" si="9"/>
        <v>0.01254291649</v>
      </c>
      <c r="K23" s="48">
        <f t="shared" si="10"/>
        <v>0</v>
      </c>
    </row>
    <row r="24">
      <c r="A24" s="44" t="s">
        <v>1461</v>
      </c>
      <c r="B24" s="46">
        <f t="shared" si="1"/>
        <v>0</v>
      </c>
      <c r="C24" s="47">
        <f t="shared" si="2"/>
        <v>1</v>
      </c>
      <c r="D24" s="46">
        <f t="shared" si="3"/>
        <v>0</v>
      </c>
      <c r="E24" s="46">
        <f t="shared" si="4"/>
        <v>0</v>
      </c>
      <c r="F24" s="46">
        <f t="shared" si="5"/>
        <v>0.04166666667</v>
      </c>
      <c r="G24" s="46">
        <f t="shared" si="6"/>
        <v>0</v>
      </c>
      <c r="H24" s="46">
        <f t="shared" si="7"/>
        <v>0.3010299957</v>
      </c>
      <c r="I24" s="46">
        <f t="shared" si="8"/>
        <v>0</v>
      </c>
      <c r="J24" s="48">
        <f t="shared" si="9"/>
        <v>0.01254291649</v>
      </c>
      <c r="K24" s="48">
        <f t="shared" si="10"/>
        <v>0</v>
      </c>
    </row>
    <row r="25">
      <c r="A25" s="44" t="s">
        <v>1462</v>
      </c>
      <c r="B25" s="46">
        <f t="shared" si="1"/>
        <v>0</v>
      </c>
      <c r="C25" s="47">
        <f t="shared" si="2"/>
        <v>1</v>
      </c>
      <c r="D25" s="46">
        <f t="shared" si="3"/>
        <v>0</v>
      </c>
      <c r="E25" s="46">
        <f t="shared" si="4"/>
        <v>0</v>
      </c>
      <c r="F25" s="46">
        <f t="shared" si="5"/>
        <v>0.04166666667</v>
      </c>
      <c r="G25" s="46">
        <f t="shared" si="6"/>
        <v>0</v>
      </c>
      <c r="H25" s="46">
        <f t="shared" si="7"/>
        <v>0.3010299957</v>
      </c>
      <c r="I25" s="46">
        <f t="shared" si="8"/>
        <v>0</v>
      </c>
      <c r="J25" s="48">
        <f t="shared" si="9"/>
        <v>0.01254291649</v>
      </c>
      <c r="K25" s="48">
        <f t="shared" si="10"/>
        <v>0</v>
      </c>
    </row>
    <row r="26">
      <c r="A26" s="44" t="s">
        <v>1463</v>
      </c>
      <c r="B26" s="46">
        <f t="shared" si="1"/>
        <v>0</v>
      </c>
      <c r="C26" s="47">
        <f t="shared" si="2"/>
        <v>2</v>
      </c>
      <c r="D26" s="46">
        <f t="shared" si="3"/>
        <v>0</v>
      </c>
      <c r="E26" s="46">
        <f t="shared" si="4"/>
        <v>0</v>
      </c>
      <c r="F26" s="46">
        <f t="shared" si="5"/>
        <v>0.08333333333</v>
      </c>
      <c r="G26" s="46">
        <f t="shared" si="6"/>
        <v>0</v>
      </c>
      <c r="H26" s="46">
        <f t="shared" si="7"/>
        <v>0.3010299957</v>
      </c>
      <c r="I26" s="46">
        <f t="shared" si="8"/>
        <v>0</v>
      </c>
      <c r="J26" s="48">
        <f t="shared" si="9"/>
        <v>0.02508583297</v>
      </c>
      <c r="K26" s="48">
        <f t="shared" si="10"/>
        <v>0</v>
      </c>
    </row>
    <row r="27">
      <c r="A27" s="44" t="s">
        <v>1464</v>
      </c>
      <c r="B27" s="46">
        <f t="shared" si="1"/>
        <v>0</v>
      </c>
      <c r="C27" s="47">
        <f t="shared" si="2"/>
        <v>1</v>
      </c>
      <c r="D27" s="46">
        <f t="shared" si="3"/>
        <v>0</v>
      </c>
      <c r="E27" s="46">
        <f t="shared" si="4"/>
        <v>0</v>
      </c>
      <c r="F27" s="46">
        <f t="shared" si="5"/>
        <v>0.04166666667</v>
      </c>
      <c r="G27" s="46">
        <f t="shared" si="6"/>
        <v>0</v>
      </c>
      <c r="H27" s="46">
        <f t="shared" si="7"/>
        <v>0.3010299957</v>
      </c>
      <c r="I27" s="46">
        <f t="shared" si="8"/>
        <v>0</v>
      </c>
      <c r="J27" s="48">
        <f t="shared" si="9"/>
        <v>0.01254291649</v>
      </c>
      <c r="K27" s="48">
        <f t="shared" si="10"/>
        <v>0</v>
      </c>
    </row>
    <row r="28">
      <c r="A28" s="44" t="s">
        <v>1465</v>
      </c>
      <c r="B28" s="46">
        <f t="shared" si="1"/>
        <v>0</v>
      </c>
      <c r="C28" s="47">
        <f t="shared" si="2"/>
        <v>1</v>
      </c>
      <c r="D28" s="46">
        <f t="shared" si="3"/>
        <v>0</v>
      </c>
      <c r="E28" s="46">
        <f t="shared" si="4"/>
        <v>0</v>
      </c>
      <c r="F28" s="46">
        <f t="shared" si="5"/>
        <v>0.04166666667</v>
      </c>
      <c r="G28" s="46">
        <f t="shared" si="6"/>
        <v>0</v>
      </c>
      <c r="H28" s="46">
        <f t="shared" si="7"/>
        <v>0.3010299957</v>
      </c>
      <c r="I28" s="46">
        <f t="shared" si="8"/>
        <v>0</v>
      </c>
      <c r="J28" s="48">
        <f t="shared" si="9"/>
        <v>0.01254291649</v>
      </c>
      <c r="K28" s="48">
        <f t="shared" si="10"/>
        <v>0</v>
      </c>
    </row>
    <row r="29">
      <c r="A29" s="44" t="s">
        <v>1466</v>
      </c>
      <c r="B29" s="46">
        <f t="shared" si="1"/>
        <v>0</v>
      </c>
      <c r="C29" s="47">
        <f t="shared" si="2"/>
        <v>1</v>
      </c>
      <c r="D29" s="46">
        <f t="shared" si="3"/>
        <v>0</v>
      </c>
      <c r="E29" s="46">
        <f t="shared" si="4"/>
        <v>0</v>
      </c>
      <c r="F29" s="46">
        <f t="shared" si="5"/>
        <v>0.04166666667</v>
      </c>
      <c r="G29" s="46">
        <f t="shared" si="6"/>
        <v>0</v>
      </c>
      <c r="H29" s="46">
        <f t="shared" si="7"/>
        <v>0.3010299957</v>
      </c>
      <c r="I29" s="46">
        <f t="shared" si="8"/>
        <v>0</v>
      </c>
      <c r="J29" s="48">
        <f t="shared" si="9"/>
        <v>0.01254291649</v>
      </c>
      <c r="K29" s="48">
        <f t="shared" si="10"/>
        <v>0</v>
      </c>
    </row>
    <row r="30">
      <c r="A30" s="44" t="s">
        <v>1467</v>
      </c>
      <c r="B30" s="46">
        <f t="shared" si="1"/>
        <v>0</v>
      </c>
      <c r="C30" s="47">
        <f t="shared" si="2"/>
        <v>1</v>
      </c>
      <c r="D30" s="46">
        <f t="shared" si="3"/>
        <v>0</v>
      </c>
      <c r="E30" s="46">
        <f t="shared" si="4"/>
        <v>0</v>
      </c>
      <c r="F30" s="46">
        <f t="shared" si="5"/>
        <v>0.04166666667</v>
      </c>
      <c r="G30" s="46">
        <f t="shared" si="6"/>
        <v>0</v>
      </c>
      <c r="H30" s="46">
        <f t="shared" si="7"/>
        <v>0.3010299957</v>
      </c>
      <c r="I30" s="46">
        <f t="shared" si="8"/>
        <v>0</v>
      </c>
      <c r="J30" s="48">
        <f t="shared" si="9"/>
        <v>0.01254291649</v>
      </c>
      <c r="K30" s="48">
        <f t="shared" si="10"/>
        <v>0</v>
      </c>
    </row>
    <row r="31">
      <c r="A31" s="44" t="s">
        <v>1468</v>
      </c>
      <c r="B31" s="46">
        <f t="shared" si="1"/>
        <v>0</v>
      </c>
      <c r="C31" s="47">
        <f t="shared" si="2"/>
        <v>2</v>
      </c>
      <c r="D31" s="46">
        <f t="shared" si="3"/>
        <v>0</v>
      </c>
      <c r="E31" s="46">
        <f t="shared" si="4"/>
        <v>0</v>
      </c>
      <c r="F31" s="46">
        <f t="shared" si="5"/>
        <v>0.08333333333</v>
      </c>
      <c r="G31" s="46">
        <f t="shared" si="6"/>
        <v>0</v>
      </c>
      <c r="H31" s="46">
        <f t="shared" si="7"/>
        <v>0.3010299957</v>
      </c>
      <c r="I31" s="46">
        <f t="shared" si="8"/>
        <v>0</v>
      </c>
      <c r="J31" s="48">
        <f t="shared" si="9"/>
        <v>0.02508583297</v>
      </c>
      <c r="K31" s="48">
        <f t="shared" si="10"/>
        <v>0</v>
      </c>
    </row>
    <row r="32">
      <c r="A32" s="44" t="s">
        <v>1469</v>
      </c>
      <c r="B32" s="46">
        <f t="shared" si="1"/>
        <v>0</v>
      </c>
      <c r="C32" s="47">
        <f t="shared" si="2"/>
        <v>1</v>
      </c>
      <c r="D32" s="46">
        <f t="shared" si="3"/>
        <v>0</v>
      </c>
      <c r="E32" s="46">
        <f t="shared" si="4"/>
        <v>0</v>
      </c>
      <c r="F32" s="46">
        <f t="shared" si="5"/>
        <v>0.04166666667</v>
      </c>
      <c r="G32" s="46">
        <f t="shared" si="6"/>
        <v>0</v>
      </c>
      <c r="H32" s="46">
        <f t="shared" si="7"/>
        <v>0.3010299957</v>
      </c>
      <c r="I32" s="46">
        <f t="shared" si="8"/>
        <v>0</v>
      </c>
      <c r="J32" s="48">
        <f t="shared" si="9"/>
        <v>0.01254291649</v>
      </c>
      <c r="K32" s="48">
        <f t="shared" si="10"/>
        <v>0</v>
      </c>
    </row>
    <row r="33">
      <c r="A33" s="44" t="s">
        <v>1470</v>
      </c>
      <c r="B33" s="46">
        <f t="shared" si="1"/>
        <v>0</v>
      </c>
      <c r="C33" s="47">
        <f t="shared" si="2"/>
        <v>1</v>
      </c>
      <c r="D33" s="46">
        <f t="shared" si="3"/>
        <v>0</v>
      </c>
      <c r="E33" s="46">
        <f t="shared" si="4"/>
        <v>0</v>
      </c>
      <c r="F33" s="46">
        <f t="shared" si="5"/>
        <v>0.04166666667</v>
      </c>
      <c r="G33" s="46">
        <f t="shared" si="6"/>
        <v>0</v>
      </c>
      <c r="H33" s="46">
        <f t="shared" si="7"/>
        <v>0.3010299957</v>
      </c>
      <c r="I33" s="46">
        <f t="shared" si="8"/>
        <v>0</v>
      </c>
      <c r="J33" s="48">
        <f t="shared" si="9"/>
        <v>0.01254291649</v>
      </c>
      <c r="K33" s="48">
        <f t="shared" si="10"/>
        <v>0</v>
      </c>
    </row>
    <row r="34">
      <c r="A34" s="44" t="s">
        <v>1471</v>
      </c>
      <c r="B34" s="46">
        <f t="shared" si="1"/>
        <v>0</v>
      </c>
      <c r="C34" s="47">
        <f t="shared" si="2"/>
        <v>1</v>
      </c>
      <c r="D34" s="46">
        <f t="shared" si="3"/>
        <v>0</v>
      </c>
      <c r="E34" s="46">
        <f t="shared" si="4"/>
        <v>0</v>
      </c>
      <c r="F34" s="46">
        <f t="shared" si="5"/>
        <v>0.04166666667</v>
      </c>
      <c r="G34" s="46">
        <f t="shared" si="6"/>
        <v>0</v>
      </c>
      <c r="H34" s="46">
        <f t="shared" si="7"/>
        <v>0.3010299957</v>
      </c>
      <c r="I34" s="46">
        <f t="shared" si="8"/>
        <v>0</v>
      </c>
      <c r="J34" s="48">
        <f t="shared" si="9"/>
        <v>0.01254291649</v>
      </c>
      <c r="K34" s="48">
        <f t="shared" si="10"/>
        <v>0</v>
      </c>
    </row>
    <row r="35">
      <c r="A35" s="44" t="s">
        <v>1472</v>
      </c>
      <c r="B35" s="46">
        <f t="shared" si="1"/>
        <v>0</v>
      </c>
      <c r="C35" s="47">
        <f t="shared" si="2"/>
        <v>1</v>
      </c>
      <c r="D35" s="46">
        <f t="shared" si="3"/>
        <v>0</v>
      </c>
      <c r="E35" s="46">
        <f t="shared" si="4"/>
        <v>0</v>
      </c>
      <c r="F35" s="46">
        <f t="shared" si="5"/>
        <v>0.04166666667</v>
      </c>
      <c r="G35" s="46">
        <f t="shared" si="6"/>
        <v>0</v>
      </c>
      <c r="H35" s="46">
        <f t="shared" si="7"/>
        <v>0.3010299957</v>
      </c>
      <c r="I35" s="46">
        <f t="shared" si="8"/>
        <v>0</v>
      </c>
      <c r="J35" s="48">
        <f t="shared" si="9"/>
        <v>0.01254291649</v>
      </c>
      <c r="K35" s="48">
        <f t="shared" si="10"/>
        <v>0</v>
      </c>
    </row>
    <row r="36">
      <c r="A36" s="44" t="s">
        <v>1473</v>
      </c>
      <c r="B36" s="46">
        <f t="shared" si="1"/>
        <v>0</v>
      </c>
      <c r="C36" s="47">
        <f t="shared" si="2"/>
        <v>1</v>
      </c>
      <c r="D36" s="46">
        <f t="shared" si="3"/>
        <v>0</v>
      </c>
      <c r="E36" s="46">
        <f t="shared" si="4"/>
        <v>0</v>
      </c>
      <c r="F36" s="46">
        <f t="shared" si="5"/>
        <v>0.04166666667</v>
      </c>
      <c r="G36" s="46">
        <f t="shared" si="6"/>
        <v>0</v>
      </c>
      <c r="H36" s="46">
        <f t="shared" si="7"/>
        <v>0.3010299957</v>
      </c>
      <c r="I36" s="46">
        <f t="shared" si="8"/>
        <v>0</v>
      </c>
      <c r="J36" s="48">
        <f t="shared" si="9"/>
        <v>0.01254291649</v>
      </c>
      <c r="K36" s="48">
        <f t="shared" si="10"/>
        <v>0</v>
      </c>
    </row>
    <row r="37">
      <c r="A37" s="44" t="s">
        <v>1474</v>
      </c>
      <c r="B37" s="46">
        <f t="shared" si="1"/>
        <v>0</v>
      </c>
      <c r="C37" s="47">
        <f t="shared" si="2"/>
        <v>1</v>
      </c>
      <c r="D37" s="46">
        <f t="shared" si="3"/>
        <v>0</v>
      </c>
      <c r="E37" s="46">
        <f t="shared" si="4"/>
        <v>0</v>
      </c>
      <c r="F37" s="46">
        <f t="shared" si="5"/>
        <v>0.04166666667</v>
      </c>
      <c r="G37" s="46">
        <f t="shared" si="6"/>
        <v>0</v>
      </c>
      <c r="H37" s="46">
        <f t="shared" si="7"/>
        <v>0.3010299957</v>
      </c>
      <c r="I37" s="46">
        <f t="shared" si="8"/>
        <v>0</v>
      </c>
      <c r="J37" s="48">
        <f t="shared" si="9"/>
        <v>0.01254291649</v>
      </c>
      <c r="K37" s="48">
        <f t="shared" si="10"/>
        <v>0</v>
      </c>
    </row>
    <row r="38">
      <c r="A38" s="44" t="s">
        <v>1475</v>
      </c>
      <c r="B38" s="46">
        <f t="shared" si="1"/>
        <v>0</v>
      </c>
      <c r="C38" s="47">
        <f t="shared" si="2"/>
        <v>1</v>
      </c>
      <c r="D38" s="46">
        <f t="shared" si="3"/>
        <v>0</v>
      </c>
      <c r="E38" s="46">
        <f t="shared" si="4"/>
        <v>0</v>
      </c>
      <c r="F38" s="46">
        <f t="shared" si="5"/>
        <v>0.04166666667</v>
      </c>
      <c r="G38" s="46">
        <f t="shared" si="6"/>
        <v>0</v>
      </c>
      <c r="H38" s="46">
        <f t="shared" si="7"/>
        <v>0.3010299957</v>
      </c>
      <c r="I38" s="46">
        <f t="shared" si="8"/>
        <v>0</v>
      </c>
      <c r="J38" s="48">
        <f t="shared" si="9"/>
        <v>0.01254291649</v>
      </c>
      <c r="K38" s="48">
        <f t="shared" si="10"/>
        <v>0</v>
      </c>
    </row>
    <row r="39">
      <c r="A39" s="44" t="s">
        <v>1476</v>
      </c>
      <c r="B39" s="46">
        <f t="shared" si="1"/>
        <v>0</v>
      </c>
      <c r="C39" s="47">
        <f t="shared" si="2"/>
        <v>2</v>
      </c>
      <c r="D39" s="46">
        <f t="shared" si="3"/>
        <v>0</v>
      </c>
      <c r="E39" s="46">
        <f t="shared" si="4"/>
        <v>0</v>
      </c>
      <c r="F39" s="46">
        <f t="shared" si="5"/>
        <v>0.08333333333</v>
      </c>
      <c r="G39" s="46">
        <f t="shared" si="6"/>
        <v>0</v>
      </c>
      <c r="H39" s="46">
        <f t="shared" si="7"/>
        <v>0.3010299957</v>
      </c>
      <c r="I39" s="46">
        <f t="shared" si="8"/>
        <v>0</v>
      </c>
      <c r="J39" s="48">
        <f t="shared" si="9"/>
        <v>0.02508583297</v>
      </c>
      <c r="K39" s="48">
        <f t="shared" si="10"/>
        <v>0</v>
      </c>
    </row>
    <row r="40">
      <c r="A40" s="44" t="s">
        <v>1477</v>
      </c>
      <c r="B40" s="46">
        <f t="shared" si="1"/>
        <v>0</v>
      </c>
      <c r="C40" s="47">
        <f t="shared" si="2"/>
        <v>1</v>
      </c>
      <c r="D40" s="46">
        <f t="shared" si="3"/>
        <v>0</v>
      </c>
      <c r="E40" s="46">
        <f t="shared" si="4"/>
        <v>0</v>
      </c>
      <c r="F40" s="46">
        <f t="shared" si="5"/>
        <v>0.04166666667</v>
      </c>
      <c r="G40" s="46">
        <f t="shared" si="6"/>
        <v>0</v>
      </c>
      <c r="H40" s="46">
        <f t="shared" si="7"/>
        <v>0.3010299957</v>
      </c>
      <c r="I40" s="46">
        <f t="shared" si="8"/>
        <v>0</v>
      </c>
      <c r="J40" s="48">
        <f t="shared" si="9"/>
        <v>0.01254291649</v>
      </c>
      <c r="K40" s="48">
        <f t="shared" si="10"/>
        <v>0</v>
      </c>
    </row>
    <row r="41">
      <c r="A41" s="44" t="s">
        <v>1478</v>
      </c>
      <c r="B41" s="46">
        <f t="shared" si="1"/>
        <v>0</v>
      </c>
      <c r="C41" s="47">
        <f t="shared" si="2"/>
        <v>0</v>
      </c>
      <c r="D41" s="46">
        <f t="shared" si="3"/>
        <v>1</v>
      </c>
      <c r="E41" s="46">
        <f t="shared" si="4"/>
        <v>0</v>
      </c>
      <c r="F41" s="46">
        <f t="shared" si="5"/>
        <v>0</v>
      </c>
      <c r="G41" s="46">
        <f t="shared" si="6"/>
        <v>0.3333333333</v>
      </c>
      <c r="H41" s="46">
        <f t="shared" si="7"/>
        <v>0.3010299957</v>
      </c>
      <c r="I41" s="46">
        <f t="shared" si="8"/>
        <v>0</v>
      </c>
      <c r="J41" s="48">
        <f t="shared" si="9"/>
        <v>0</v>
      </c>
      <c r="K41" s="48">
        <f t="shared" si="10"/>
        <v>0.1003433319</v>
      </c>
    </row>
    <row r="43">
      <c r="I43" s="48">
        <f t="shared" ref="I43:K43" si="11">SUM(I6:I41)</f>
        <v>0.2150214255</v>
      </c>
      <c r="J43" s="48">
        <f t="shared" si="11"/>
        <v>0.2884870792</v>
      </c>
      <c r="K43" s="48">
        <f t="shared" si="11"/>
        <v>0.1003433319</v>
      </c>
    </row>
    <row r="44">
      <c r="I44" s="50" t="s">
        <v>1479</v>
      </c>
      <c r="J44" s="50" t="s">
        <v>1480</v>
      </c>
      <c r="K44" s="50" t="s">
        <v>1481</v>
      </c>
    </row>
    <row r="45">
      <c r="I45" s="51" t="s">
        <v>1482</v>
      </c>
      <c r="J45" s="52"/>
      <c r="K45" s="53"/>
    </row>
    <row r="46">
      <c r="I46" s="54"/>
      <c r="K46" s="55"/>
    </row>
    <row r="47">
      <c r="I47" s="56"/>
      <c r="J47" s="57"/>
      <c r="K47" s="58"/>
    </row>
    <row r="48">
      <c r="I48" s="44" t="s">
        <v>1483</v>
      </c>
      <c r="J48" s="48">
        <f>SUM(I43:K43)</f>
        <v>0.6038518365</v>
      </c>
      <c r="K48" s="59" t="s">
        <v>1484</v>
      </c>
    </row>
  </sheetData>
  <mergeCells count="7">
    <mergeCell ref="A3:J3"/>
    <mergeCell ref="A4:A5"/>
    <mergeCell ref="B4:D4"/>
    <mergeCell ref="E4:G4"/>
    <mergeCell ref="H4:H5"/>
    <mergeCell ref="I4:K4"/>
    <mergeCell ref="I45:K4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33.63"/>
  </cols>
  <sheetData>
    <row r="1">
      <c r="A1" s="41" t="s">
        <v>1485</v>
      </c>
      <c r="B1" s="38" t="s">
        <v>1486</v>
      </c>
      <c r="C1" s="39"/>
      <c r="D1" s="40"/>
    </row>
    <row r="2">
      <c r="A2" s="42"/>
      <c r="B2" s="50" t="s">
        <v>191</v>
      </c>
      <c r="C2" s="50" t="s">
        <v>4</v>
      </c>
      <c r="D2" s="50" t="s">
        <v>1487</v>
      </c>
      <c r="F2" s="15" t="s">
        <v>1488</v>
      </c>
      <c r="G2" s="15" t="s">
        <v>1489</v>
      </c>
      <c r="H2" s="15" t="s">
        <v>1490</v>
      </c>
      <c r="J2" s="60" t="s">
        <v>246</v>
      </c>
    </row>
    <row r="3">
      <c r="A3" s="45" t="s">
        <v>1445</v>
      </c>
      <c r="B3" s="48">
        <f>TFIDF!I6</f>
        <v>0.0143347617</v>
      </c>
      <c r="C3" s="48">
        <f>TFIDF!J6</f>
        <v>0</v>
      </c>
      <c r="D3" s="48">
        <f>TFIDF!K6</f>
        <v>0</v>
      </c>
      <c r="F3" s="61">
        <f t="shared" ref="F3:F38" si="1">(B3+1)/($D$42+$C$47)</f>
        <v>1.440417099</v>
      </c>
      <c r="G3" s="61">
        <f t="shared" ref="G3:G38" si="2">(C3+1)/($C$42+$C$47)</f>
        <v>1.120650442</v>
      </c>
      <c r="H3" s="61">
        <f t="shared" ref="H3:H38" si="3">(D3+1)/($B$42+$C$47)</f>
        <v>1.221190197</v>
      </c>
      <c r="K3" s="15" t="s">
        <v>1491</v>
      </c>
      <c r="L3" s="15" t="s">
        <v>1492</v>
      </c>
      <c r="M3" s="15" t="s">
        <v>1487</v>
      </c>
    </row>
    <row r="4">
      <c r="A4" s="45" t="s">
        <v>1446</v>
      </c>
      <c r="B4" s="48">
        <f>TFIDF!I7</f>
        <v>0</v>
      </c>
      <c r="C4" s="48">
        <f>TFIDF!J7</f>
        <v>0</v>
      </c>
      <c r="D4" s="48">
        <f>TFIDF!K7</f>
        <v>0</v>
      </c>
      <c r="F4" s="61">
        <f t="shared" si="1"/>
        <v>1.420060865</v>
      </c>
      <c r="G4" s="61">
        <f t="shared" si="2"/>
        <v>1.120650442</v>
      </c>
      <c r="H4" s="61">
        <f t="shared" si="3"/>
        <v>1.221190197</v>
      </c>
      <c r="J4" s="15" t="s">
        <v>1446</v>
      </c>
      <c r="K4" s="62">
        <f>G4*G38*G8</f>
        <v>1.407377164</v>
      </c>
      <c r="L4" s="63">
        <f>F4*F38*F8</f>
        <v>2.8636562</v>
      </c>
      <c r="M4" s="62">
        <f>H4*H38*H8</f>
        <v>2.003909683</v>
      </c>
    </row>
    <row r="5">
      <c r="A5" s="45" t="s">
        <v>1447</v>
      </c>
      <c r="B5" s="48">
        <f>TFIDF!I8</f>
        <v>0.0143347617</v>
      </c>
      <c r="C5" s="48">
        <f>TFIDF!J8</f>
        <v>0</v>
      </c>
      <c r="D5" s="48">
        <f>TFIDF!K8</f>
        <v>0</v>
      </c>
      <c r="F5" s="61">
        <f t="shared" si="1"/>
        <v>1.440417099</v>
      </c>
      <c r="G5" s="61">
        <f t="shared" si="2"/>
        <v>1.120650442</v>
      </c>
      <c r="H5" s="61">
        <f t="shared" si="3"/>
        <v>1.221190197</v>
      </c>
      <c r="J5" s="15" t="s">
        <v>1478</v>
      </c>
    </row>
    <row r="6">
      <c r="A6" s="49" t="s">
        <v>1448</v>
      </c>
      <c r="B6" s="48">
        <f>TFIDF!I9</f>
        <v>0.0286695234</v>
      </c>
      <c r="C6" s="48">
        <f>TFIDF!J9</f>
        <v>0</v>
      </c>
      <c r="D6" s="48">
        <f>TFIDF!K9</f>
        <v>0</v>
      </c>
      <c r="F6" s="61">
        <f t="shared" si="1"/>
        <v>1.460773333</v>
      </c>
      <c r="G6" s="61">
        <f t="shared" si="2"/>
        <v>1.120650442</v>
      </c>
      <c r="H6" s="61">
        <f t="shared" si="3"/>
        <v>1.221190197</v>
      </c>
      <c r="J6" s="15" t="s">
        <v>1450</v>
      </c>
    </row>
    <row r="7">
      <c r="A7" s="48" t="s">
        <v>1449</v>
      </c>
      <c r="B7" s="48">
        <f>TFIDF!I10</f>
        <v>0.0143347617</v>
      </c>
      <c r="C7" s="48">
        <f>TFIDF!J10</f>
        <v>0</v>
      </c>
      <c r="D7" s="48">
        <f>TFIDF!K10</f>
        <v>0</v>
      </c>
      <c r="F7" s="61">
        <f t="shared" si="1"/>
        <v>1.440417099</v>
      </c>
      <c r="G7" s="61">
        <f t="shared" si="2"/>
        <v>1.120650442</v>
      </c>
      <c r="H7" s="61">
        <f t="shared" si="3"/>
        <v>1.221190197</v>
      </c>
    </row>
    <row r="8">
      <c r="A8" s="48" t="s">
        <v>1450</v>
      </c>
      <c r="B8" s="48">
        <f>TFIDF!I11</f>
        <v>0</v>
      </c>
      <c r="C8" s="48">
        <f>TFIDF!J11</f>
        <v>0</v>
      </c>
      <c r="D8" s="48">
        <f>TFIDF!K11</f>
        <v>0</v>
      </c>
      <c r="F8" s="61">
        <f t="shared" si="1"/>
        <v>1.420060865</v>
      </c>
      <c r="G8" s="61">
        <f t="shared" si="2"/>
        <v>1.120650442</v>
      </c>
      <c r="H8" s="61">
        <f t="shared" si="3"/>
        <v>1.221190197</v>
      </c>
      <c r="J8" s="64" t="s">
        <v>1493</v>
      </c>
    </row>
    <row r="9">
      <c r="A9" s="48" t="s">
        <v>1451</v>
      </c>
      <c r="B9" s="48">
        <f>TFIDF!I12</f>
        <v>0.0143347617</v>
      </c>
      <c r="C9" s="48">
        <f>TFIDF!J12</f>
        <v>0</v>
      </c>
      <c r="D9" s="48">
        <f>TFIDF!K12</f>
        <v>0</v>
      </c>
      <c r="F9" s="61">
        <f t="shared" si="1"/>
        <v>1.440417099</v>
      </c>
      <c r="G9" s="61">
        <f t="shared" si="2"/>
        <v>1.120650442</v>
      </c>
      <c r="H9" s="61">
        <f t="shared" si="3"/>
        <v>1.221190197</v>
      </c>
    </row>
    <row r="10">
      <c r="A10" s="48" t="s">
        <v>1452</v>
      </c>
      <c r="B10" s="48">
        <f>TFIDF!I13</f>
        <v>0</v>
      </c>
      <c r="C10" s="48">
        <f>TFIDF!J13</f>
        <v>0</v>
      </c>
      <c r="D10" s="48">
        <f>TFIDF!K13</f>
        <v>0</v>
      </c>
      <c r="F10" s="61">
        <f t="shared" si="1"/>
        <v>1.420060865</v>
      </c>
      <c r="G10" s="61">
        <f t="shared" si="2"/>
        <v>1.120650442</v>
      </c>
      <c r="H10" s="61">
        <f t="shared" si="3"/>
        <v>1.221190197</v>
      </c>
    </row>
    <row r="11">
      <c r="A11" s="48" t="s">
        <v>1453</v>
      </c>
      <c r="B11" s="48">
        <f>TFIDF!I14</f>
        <v>0.04300428509</v>
      </c>
      <c r="C11" s="48">
        <f>TFIDF!J14</f>
        <v>0</v>
      </c>
      <c r="D11" s="48">
        <f>TFIDF!K14</f>
        <v>0</v>
      </c>
      <c r="F11" s="61">
        <f t="shared" si="1"/>
        <v>1.481129567</v>
      </c>
      <c r="G11" s="61">
        <f t="shared" si="2"/>
        <v>1.120650442</v>
      </c>
      <c r="H11" s="61">
        <f t="shared" si="3"/>
        <v>1.221190197</v>
      </c>
    </row>
    <row r="12">
      <c r="A12" s="48" t="s">
        <v>797</v>
      </c>
      <c r="B12" s="48">
        <f>TFIDF!I15</f>
        <v>0.0143347617</v>
      </c>
      <c r="C12" s="48">
        <f>TFIDF!J15</f>
        <v>0</v>
      </c>
      <c r="D12" s="48">
        <f>TFIDF!K15</f>
        <v>0</v>
      </c>
      <c r="F12" s="61">
        <f t="shared" si="1"/>
        <v>1.440417099</v>
      </c>
      <c r="G12" s="61">
        <f t="shared" si="2"/>
        <v>1.120650442</v>
      </c>
      <c r="H12" s="61">
        <f t="shared" si="3"/>
        <v>1.221190197</v>
      </c>
    </row>
    <row r="13">
      <c r="A13" s="48" t="s">
        <v>1454</v>
      </c>
      <c r="B13" s="48">
        <f>TFIDF!I16</f>
        <v>0.0143347617</v>
      </c>
      <c r="C13" s="48">
        <f>TFIDF!J16</f>
        <v>0</v>
      </c>
      <c r="D13" s="48">
        <f>TFIDF!K16</f>
        <v>0</v>
      </c>
      <c r="F13" s="61">
        <f t="shared" si="1"/>
        <v>1.440417099</v>
      </c>
      <c r="G13" s="61">
        <f t="shared" si="2"/>
        <v>1.120650442</v>
      </c>
      <c r="H13" s="61">
        <f t="shared" si="3"/>
        <v>1.221190197</v>
      </c>
    </row>
    <row r="14">
      <c r="A14" s="48" t="s">
        <v>1455</v>
      </c>
      <c r="B14" s="48">
        <f>TFIDF!I17</f>
        <v>0.0143347617</v>
      </c>
      <c r="C14" s="48">
        <f>TFIDF!J17</f>
        <v>0</v>
      </c>
      <c r="D14" s="48">
        <f>TFIDF!K17</f>
        <v>0</v>
      </c>
      <c r="F14" s="61">
        <f t="shared" si="1"/>
        <v>1.440417099</v>
      </c>
      <c r="G14" s="61">
        <f t="shared" si="2"/>
        <v>1.120650442</v>
      </c>
      <c r="H14" s="61">
        <f t="shared" si="3"/>
        <v>1.221190197</v>
      </c>
    </row>
    <row r="15">
      <c r="A15" s="48" t="s">
        <v>1456</v>
      </c>
      <c r="B15" s="48">
        <f>TFIDF!I18</f>
        <v>0.0143347617</v>
      </c>
      <c r="C15" s="48">
        <f>TFIDF!J18</f>
        <v>0</v>
      </c>
      <c r="D15" s="48">
        <f>TFIDF!K18</f>
        <v>0</v>
      </c>
      <c r="F15" s="61">
        <f t="shared" si="1"/>
        <v>1.440417099</v>
      </c>
      <c r="G15" s="61">
        <f t="shared" si="2"/>
        <v>1.120650442</v>
      </c>
      <c r="H15" s="61">
        <f t="shared" si="3"/>
        <v>1.221190197</v>
      </c>
    </row>
    <row r="16">
      <c r="A16" s="48" t="s">
        <v>1457</v>
      </c>
      <c r="B16" s="48">
        <f>TFIDF!I19</f>
        <v>0.0143347617</v>
      </c>
      <c r="C16" s="48">
        <f>TFIDF!J19</f>
        <v>0</v>
      </c>
      <c r="D16" s="48">
        <f>TFIDF!K19</f>
        <v>0</v>
      </c>
      <c r="F16" s="61">
        <f t="shared" si="1"/>
        <v>1.440417099</v>
      </c>
      <c r="G16" s="61">
        <f t="shared" si="2"/>
        <v>1.120650442</v>
      </c>
      <c r="H16" s="61">
        <f t="shared" si="3"/>
        <v>1.221190197</v>
      </c>
    </row>
    <row r="17">
      <c r="A17" s="48" t="s">
        <v>1458</v>
      </c>
      <c r="B17" s="48">
        <f>TFIDF!I20</f>
        <v>0.0143347617</v>
      </c>
      <c r="C17" s="48">
        <f>TFIDF!J20</f>
        <v>0</v>
      </c>
      <c r="D17" s="48">
        <f>TFIDF!K20</f>
        <v>0</v>
      </c>
      <c r="F17" s="61">
        <f t="shared" si="1"/>
        <v>1.440417099</v>
      </c>
      <c r="G17" s="61">
        <f t="shared" si="2"/>
        <v>1.120650442</v>
      </c>
      <c r="H17" s="61">
        <f t="shared" si="3"/>
        <v>1.221190197</v>
      </c>
    </row>
    <row r="18">
      <c r="A18" s="44" t="s">
        <v>1459</v>
      </c>
      <c r="B18" s="48">
        <f>TFIDF!I21</f>
        <v>0</v>
      </c>
      <c r="C18" s="48">
        <f>TFIDF!J21</f>
        <v>0.01254291649</v>
      </c>
      <c r="D18" s="48">
        <f>TFIDF!K21</f>
        <v>0</v>
      </c>
      <c r="F18" s="61">
        <f t="shared" si="1"/>
        <v>1.420060865</v>
      </c>
      <c r="G18" s="61">
        <f t="shared" si="2"/>
        <v>1.134706667</v>
      </c>
      <c r="H18" s="61">
        <f t="shared" si="3"/>
        <v>1.221190197</v>
      </c>
    </row>
    <row r="19">
      <c r="A19" s="44" t="s">
        <v>1460</v>
      </c>
      <c r="B19" s="48">
        <f>TFIDF!I22</f>
        <v>0</v>
      </c>
      <c r="C19" s="48">
        <f>TFIDF!J22</f>
        <v>0.01254291649</v>
      </c>
      <c r="D19" s="48">
        <f>TFIDF!K22</f>
        <v>0</v>
      </c>
      <c r="F19" s="61">
        <f t="shared" si="1"/>
        <v>1.420060865</v>
      </c>
      <c r="G19" s="61">
        <f t="shared" si="2"/>
        <v>1.134706667</v>
      </c>
      <c r="H19" s="61">
        <f t="shared" si="3"/>
        <v>1.221190197</v>
      </c>
    </row>
    <row r="20">
      <c r="A20" s="44" t="s">
        <v>714</v>
      </c>
      <c r="B20" s="48">
        <f>TFIDF!I23</f>
        <v>0</v>
      </c>
      <c r="C20" s="48">
        <f>TFIDF!J23</f>
        <v>0.01254291649</v>
      </c>
      <c r="D20" s="48">
        <f>TFIDF!K23</f>
        <v>0</v>
      </c>
      <c r="F20" s="61">
        <f t="shared" si="1"/>
        <v>1.420060865</v>
      </c>
      <c r="G20" s="61">
        <f t="shared" si="2"/>
        <v>1.134706667</v>
      </c>
      <c r="H20" s="61">
        <f t="shared" si="3"/>
        <v>1.221190197</v>
      </c>
    </row>
    <row r="21">
      <c r="A21" s="44" t="s">
        <v>1461</v>
      </c>
      <c r="B21" s="48">
        <f>TFIDF!I24</f>
        <v>0</v>
      </c>
      <c r="C21" s="48">
        <f>TFIDF!J24</f>
        <v>0.01254291649</v>
      </c>
      <c r="D21" s="48">
        <f>TFIDF!K24</f>
        <v>0</v>
      </c>
      <c r="F21" s="61">
        <f t="shared" si="1"/>
        <v>1.420060865</v>
      </c>
      <c r="G21" s="61">
        <f t="shared" si="2"/>
        <v>1.134706667</v>
      </c>
      <c r="H21" s="61">
        <f t="shared" si="3"/>
        <v>1.221190197</v>
      </c>
    </row>
    <row r="22">
      <c r="A22" s="44" t="s">
        <v>1462</v>
      </c>
      <c r="B22" s="48">
        <f>TFIDF!I25</f>
        <v>0</v>
      </c>
      <c r="C22" s="48">
        <f>TFIDF!J25</f>
        <v>0.01254291649</v>
      </c>
      <c r="D22" s="48">
        <f>TFIDF!K25</f>
        <v>0</v>
      </c>
      <c r="F22" s="61">
        <f t="shared" si="1"/>
        <v>1.420060865</v>
      </c>
      <c r="G22" s="61">
        <f t="shared" si="2"/>
        <v>1.134706667</v>
      </c>
      <c r="H22" s="61">
        <f t="shared" si="3"/>
        <v>1.221190197</v>
      </c>
    </row>
    <row r="23">
      <c r="A23" s="44" t="s">
        <v>1463</v>
      </c>
      <c r="B23" s="48">
        <f>TFIDF!I26</f>
        <v>0</v>
      </c>
      <c r="C23" s="48">
        <f>TFIDF!J26</f>
        <v>0.02508583297</v>
      </c>
      <c r="D23" s="48">
        <f>TFIDF!K26</f>
        <v>0</v>
      </c>
      <c r="F23" s="61">
        <f t="shared" si="1"/>
        <v>1.420060865</v>
      </c>
      <c r="G23" s="61">
        <f t="shared" si="2"/>
        <v>1.148762891</v>
      </c>
      <c r="H23" s="61">
        <f t="shared" si="3"/>
        <v>1.221190197</v>
      </c>
    </row>
    <row r="24">
      <c r="A24" s="44" t="s">
        <v>1464</v>
      </c>
      <c r="B24" s="48">
        <f>TFIDF!I27</f>
        <v>0</v>
      </c>
      <c r="C24" s="48">
        <f>TFIDF!J27</f>
        <v>0.01254291649</v>
      </c>
      <c r="D24" s="48">
        <f>TFIDF!K27</f>
        <v>0</v>
      </c>
      <c r="F24" s="61">
        <f t="shared" si="1"/>
        <v>1.420060865</v>
      </c>
      <c r="G24" s="61">
        <f t="shared" si="2"/>
        <v>1.134706667</v>
      </c>
      <c r="H24" s="61">
        <f t="shared" si="3"/>
        <v>1.221190197</v>
      </c>
    </row>
    <row r="25">
      <c r="A25" s="44" t="s">
        <v>1465</v>
      </c>
      <c r="B25" s="48">
        <f>TFIDF!I28</f>
        <v>0</v>
      </c>
      <c r="C25" s="48">
        <f>TFIDF!J28</f>
        <v>0.01254291649</v>
      </c>
      <c r="D25" s="48">
        <f>TFIDF!K28</f>
        <v>0</v>
      </c>
      <c r="F25" s="61">
        <f t="shared" si="1"/>
        <v>1.420060865</v>
      </c>
      <c r="G25" s="61">
        <f t="shared" si="2"/>
        <v>1.134706667</v>
      </c>
      <c r="H25" s="61">
        <f t="shared" si="3"/>
        <v>1.221190197</v>
      </c>
    </row>
    <row r="26">
      <c r="A26" s="44" t="s">
        <v>1466</v>
      </c>
      <c r="B26" s="48">
        <f>TFIDF!I29</f>
        <v>0</v>
      </c>
      <c r="C26" s="48">
        <f>TFIDF!J29</f>
        <v>0.01254291649</v>
      </c>
      <c r="D26" s="48">
        <f>TFIDF!K29</f>
        <v>0</v>
      </c>
      <c r="F26" s="61">
        <f t="shared" si="1"/>
        <v>1.420060865</v>
      </c>
      <c r="G26" s="61">
        <f t="shared" si="2"/>
        <v>1.134706667</v>
      </c>
      <c r="H26" s="61">
        <f t="shared" si="3"/>
        <v>1.221190197</v>
      </c>
    </row>
    <row r="27">
      <c r="A27" s="44" t="s">
        <v>1467</v>
      </c>
      <c r="B27" s="48">
        <f>TFIDF!I30</f>
        <v>0</v>
      </c>
      <c r="C27" s="48">
        <f>TFIDF!J30</f>
        <v>0.01254291649</v>
      </c>
      <c r="D27" s="48">
        <f>TFIDF!K30</f>
        <v>0</v>
      </c>
      <c r="F27" s="61">
        <f t="shared" si="1"/>
        <v>1.420060865</v>
      </c>
      <c r="G27" s="61">
        <f t="shared" si="2"/>
        <v>1.134706667</v>
      </c>
      <c r="H27" s="61">
        <f t="shared" si="3"/>
        <v>1.221190197</v>
      </c>
    </row>
    <row r="28">
      <c r="A28" s="44" t="s">
        <v>1468</v>
      </c>
      <c r="B28" s="48">
        <f>TFIDF!I31</f>
        <v>0</v>
      </c>
      <c r="C28" s="48">
        <f>TFIDF!J31</f>
        <v>0.02508583297</v>
      </c>
      <c r="D28" s="48">
        <f>TFIDF!K31</f>
        <v>0</v>
      </c>
      <c r="F28" s="61">
        <f t="shared" si="1"/>
        <v>1.420060865</v>
      </c>
      <c r="G28" s="61">
        <f t="shared" si="2"/>
        <v>1.148762891</v>
      </c>
      <c r="H28" s="61">
        <f t="shared" si="3"/>
        <v>1.221190197</v>
      </c>
    </row>
    <row r="29">
      <c r="A29" s="44" t="s">
        <v>1469</v>
      </c>
      <c r="B29" s="48">
        <f>TFIDF!I32</f>
        <v>0</v>
      </c>
      <c r="C29" s="48">
        <f>TFIDF!J32</f>
        <v>0.01254291649</v>
      </c>
      <c r="D29" s="48">
        <f>TFIDF!K32</f>
        <v>0</v>
      </c>
      <c r="F29" s="61">
        <f t="shared" si="1"/>
        <v>1.420060865</v>
      </c>
      <c r="G29" s="61">
        <f t="shared" si="2"/>
        <v>1.134706667</v>
      </c>
      <c r="H29" s="61">
        <f t="shared" si="3"/>
        <v>1.221190197</v>
      </c>
    </row>
    <row r="30">
      <c r="A30" s="44" t="s">
        <v>1470</v>
      </c>
      <c r="B30" s="48">
        <f>TFIDF!I33</f>
        <v>0</v>
      </c>
      <c r="C30" s="48">
        <f>TFIDF!J33</f>
        <v>0.01254291649</v>
      </c>
      <c r="D30" s="48">
        <f>TFIDF!K33</f>
        <v>0</v>
      </c>
      <c r="F30" s="61">
        <f t="shared" si="1"/>
        <v>1.420060865</v>
      </c>
      <c r="G30" s="61">
        <f t="shared" si="2"/>
        <v>1.134706667</v>
      </c>
      <c r="H30" s="61">
        <f t="shared" si="3"/>
        <v>1.221190197</v>
      </c>
    </row>
    <row r="31">
      <c r="A31" s="44" t="s">
        <v>1471</v>
      </c>
      <c r="B31" s="48">
        <f>TFIDF!I34</f>
        <v>0</v>
      </c>
      <c r="C31" s="48">
        <f>TFIDF!J34</f>
        <v>0.01254291649</v>
      </c>
      <c r="D31" s="48">
        <f>TFIDF!K34</f>
        <v>0</v>
      </c>
      <c r="F31" s="61">
        <f t="shared" si="1"/>
        <v>1.420060865</v>
      </c>
      <c r="G31" s="61">
        <f t="shared" si="2"/>
        <v>1.134706667</v>
      </c>
      <c r="H31" s="61">
        <f t="shared" si="3"/>
        <v>1.221190197</v>
      </c>
    </row>
    <row r="32">
      <c r="A32" s="44" t="s">
        <v>1472</v>
      </c>
      <c r="B32" s="48">
        <f>TFIDF!I35</f>
        <v>0</v>
      </c>
      <c r="C32" s="48">
        <f>TFIDF!J35</f>
        <v>0.01254291649</v>
      </c>
      <c r="D32" s="48">
        <f>TFIDF!K35</f>
        <v>0</v>
      </c>
      <c r="F32" s="61">
        <f t="shared" si="1"/>
        <v>1.420060865</v>
      </c>
      <c r="G32" s="61">
        <f t="shared" si="2"/>
        <v>1.134706667</v>
      </c>
      <c r="H32" s="61">
        <f t="shared" si="3"/>
        <v>1.221190197</v>
      </c>
    </row>
    <row r="33">
      <c r="A33" s="44" t="s">
        <v>1473</v>
      </c>
      <c r="B33" s="48">
        <f>TFIDF!I36</f>
        <v>0</v>
      </c>
      <c r="C33" s="48">
        <f>TFIDF!J36</f>
        <v>0.01254291649</v>
      </c>
      <c r="D33" s="48">
        <f>TFIDF!K36</f>
        <v>0</v>
      </c>
      <c r="F33" s="61">
        <f t="shared" si="1"/>
        <v>1.420060865</v>
      </c>
      <c r="G33" s="61">
        <f t="shared" si="2"/>
        <v>1.134706667</v>
      </c>
      <c r="H33" s="61">
        <f t="shared" si="3"/>
        <v>1.221190197</v>
      </c>
    </row>
    <row r="34">
      <c r="A34" s="44" t="s">
        <v>1474</v>
      </c>
      <c r="B34" s="48">
        <f>TFIDF!I37</f>
        <v>0</v>
      </c>
      <c r="C34" s="48">
        <f>TFIDF!J37</f>
        <v>0.01254291649</v>
      </c>
      <c r="D34" s="48">
        <f>TFIDF!K37</f>
        <v>0</v>
      </c>
      <c r="F34" s="61">
        <f t="shared" si="1"/>
        <v>1.420060865</v>
      </c>
      <c r="G34" s="61">
        <f t="shared" si="2"/>
        <v>1.134706667</v>
      </c>
      <c r="H34" s="61">
        <f t="shared" si="3"/>
        <v>1.221190197</v>
      </c>
    </row>
    <row r="35">
      <c r="A35" s="44" t="s">
        <v>1475</v>
      </c>
      <c r="B35" s="48">
        <f>TFIDF!I38</f>
        <v>0</v>
      </c>
      <c r="C35" s="48">
        <f>TFIDF!J38</f>
        <v>0.01254291649</v>
      </c>
      <c r="D35" s="48">
        <f>TFIDF!K38</f>
        <v>0</v>
      </c>
      <c r="F35" s="61">
        <f t="shared" si="1"/>
        <v>1.420060865</v>
      </c>
      <c r="G35" s="61">
        <f t="shared" si="2"/>
        <v>1.134706667</v>
      </c>
      <c r="H35" s="61">
        <f t="shared" si="3"/>
        <v>1.221190197</v>
      </c>
    </row>
    <row r="36">
      <c r="A36" s="44" t="s">
        <v>1476</v>
      </c>
      <c r="B36" s="48">
        <f>TFIDF!I39</f>
        <v>0</v>
      </c>
      <c r="C36" s="48">
        <f>TFIDF!J39</f>
        <v>0.02508583297</v>
      </c>
      <c r="D36" s="48">
        <f>TFIDF!K39</f>
        <v>0</v>
      </c>
      <c r="F36" s="61">
        <f t="shared" si="1"/>
        <v>1.420060865</v>
      </c>
      <c r="G36" s="61">
        <f t="shared" si="2"/>
        <v>1.148762891</v>
      </c>
      <c r="H36" s="61">
        <f t="shared" si="3"/>
        <v>1.221190197</v>
      </c>
    </row>
    <row r="37">
      <c r="A37" s="44" t="s">
        <v>1477</v>
      </c>
      <c r="B37" s="48">
        <f>TFIDF!I40</f>
        <v>0</v>
      </c>
      <c r="C37" s="48">
        <f>TFIDF!J40</f>
        <v>0.01254291649</v>
      </c>
      <c r="D37" s="48">
        <f>TFIDF!K40</f>
        <v>0</v>
      </c>
      <c r="F37" s="61">
        <f t="shared" si="1"/>
        <v>1.420060865</v>
      </c>
      <c r="G37" s="61">
        <f t="shared" si="2"/>
        <v>1.134706667</v>
      </c>
      <c r="H37" s="61">
        <f t="shared" si="3"/>
        <v>1.221190197</v>
      </c>
    </row>
    <row r="38">
      <c r="A38" s="44" t="s">
        <v>1478</v>
      </c>
      <c r="B38" s="48">
        <f>TFIDF!I41</f>
        <v>0</v>
      </c>
      <c r="C38" s="48">
        <f>TFIDF!J41</f>
        <v>0</v>
      </c>
      <c r="D38" s="48">
        <f>TFIDF!K41</f>
        <v>0.1003433319</v>
      </c>
      <c r="F38" s="61">
        <f t="shared" si="1"/>
        <v>1.420060865</v>
      </c>
      <c r="G38" s="61">
        <f t="shared" si="2"/>
        <v>1.120650442</v>
      </c>
      <c r="H38" s="61">
        <f t="shared" si="3"/>
        <v>1.34372849</v>
      </c>
    </row>
    <row r="42">
      <c r="B42" s="61">
        <v>0.21502142547427228</v>
      </c>
      <c r="C42" s="61">
        <v>0.28848707917798205</v>
      </c>
      <c r="D42" s="61">
        <v>0.10034333188799373</v>
      </c>
    </row>
    <row r="43">
      <c r="B43" s="61" t="s">
        <v>1479</v>
      </c>
      <c r="C43" s="61" t="s">
        <v>1480</v>
      </c>
      <c r="D43" s="61" t="s">
        <v>1481</v>
      </c>
    </row>
    <row r="44">
      <c r="B44" s="61" t="s">
        <v>1482</v>
      </c>
    </row>
    <row r="47">
      <c r="B47" s="61" t="s">
        <v>1483</v>
      </c>
      <c r="C47" s="61">
        <v>0.603851836540248</v>
      </c>
    </row>
  </sheetData>
  <mergeCells count="7">
    <mergeCell ref="A1:A2"/>
    <mergeCell ref="B1:D1"/>
    <mergeCell ref="K4:K6"/>
    <mergeCell ref="L4:L6"/>
    <mergeCell ref="M4:M6"/>
    <mergeCell ref="J8:M12"/>
    <mergeCell ref="B44:D4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59.25" customHeight="1">
      <c r="A1" s="65" t="s">
        <v>1494</v>
      </c>
    </row>
    <row r="2">
      <c r="A2" s="66"/>
      <c r="B2" s="67"/>
      <c r="C2" s="68" t="s">
        <v>1495</v>
      </c>
      <c r="D2" s="39"/>
      <c r="E2" s="40"/>
    </row>
    <row r="3">
      <c r="A3" s="66"/>
      <c r="B3" s="67"/>
      <c r="C3" s="69">
        <v>0.0</v>
      </c>
      <c r="D3" s="69">
        <v>1.0</v>
      </c>
      <c r="E3" s="69">
        <v>2.0</v>
      </c>
    </row>
    <row r="4">
      <c r="A4" s="70" t="s">
        <v>1496</v>
      </c>
      <c r="B4" s="71">
        <v>0.0</v>
      </c>
      <c r="C4" s="43">
        <v>516.0</v>
      </c>
      <c r="D4" s="43">
        <v>0.0</v>
      </c>
      <c r="E4" s="43">
        <v>0.0</v>
      </c>
    </row>
    <row r="5">
      <c r="A5" s="72"/>
      <c r="B5" s="71">
        <v>1.0</v>
      </c>
      <c r="C5" s="43">
        <v>36.0</v>
      </c>
      <c r="D5" s="43">
        <v>0.0</v>
      </c>
      <c r="E5" s="43">
        <v>0.0</v>
      </c>
    </row>
    <row r="6">
      <c r="A6" s="42"/>
      <c r="B6" s="71">
        <v>2.0</v>
      </c>
      <c r="C6" s="43">
        <v>47.0</v>
      </c>
      <c r="D6" s="43">
        <v>0.0</v>
      </c>
      <c r="E6" s="43">
        <v>1.0</v>
      </c>
    </row>
    <row r="10">
      <c r="A10" s="41" t="s">
        <v>1497</v>
      </c>
      <c r="B10" s="73" t="s">
        <v>1498</v>
      </c>
      <c r="C10" s="52"/>
      <c r="D10" s="53"/>
    </row>
    <row r="11">
      <c r="A11" s="72"/>
      <c r="B11" s="56"/>
      <c r="C11" s="57"/>
      <c r="D11" s="58"/>
    </row>
    <row r="12">
      <c r="A12" s="72"/>
      <c r="B12" s="74">
        <f>(C4+D5+E6)/SUM(C4:E6)</f>
        <v>0.8616666667</v>
      </c>
      <c r="C12" s="52"/>
      <c r="D12" s="53"/>
    </row>
    <row r="13">
      <c r="A13" s="42"/>
      <c r="B13" s="56"/>
      <c r="C13" s="57"/>
      <c r="D13" s="58"/>
    </row>
  </sheetData>
  <mergeCells count="6">
    <mergeCell ref="C2:E2"/>
    <mergeCell ref="A4:A6"/>
    <mergeCell ref="A1:E1"/>
    <mergeCell ref="B10:D11"/>
    <mergeCell ref="B12:D13"/>
    <mergeCell ref="A10:A13"/>
  </mergeCells>
  <drawing r:id="rId1"/>
</worksheet>
</file>