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fawadnazir_microsoft_com/Documents/AI Content/"/>
    </mc:Choice>
  </mc:AlternateContent>
  <xr:revisionPtr revIDLastSave="1079" documentId="11_0B1D56BE9CDCCE836B02CE7A5FB0D4A9BBFD1C62" xr6:coauthVersionLast="47" xr6:coauthVersionMax="47" xr10:uidLastSave="{66966F97-64F8-40FC-910A-4CEACD28CE03}"/>
  <bookViews>
    <workbookView xWindow="33720" yWindow="-120" windowWidth="29040" windowHeight="15720" tabRatio="659" xr2:uid="{00000000-000D-0000-FFFF-FFFF00000000}"/>
  </bookViews>
  <sheets>
    <sheet name="params" sheetId="2" r:id="rId1"/>
    <sheet name="prices" sheetId="3" r:id="rId2"/>
    <sheet name="demandForecast" sheetId="1" r:id="rId3"/>
  </sheets>
  <definedNames>
    <definedName name="_xlnm._FilterDatabase" localSheetId="2" hidden="1">demandForecast!$A$1:$O$1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2" i="1"/>
  <c r="B22" i="2"/>
  <c r="B21" i="2"/>
  <c r="B20" i="2"/>
  <c r="B19" i="2" a="1"/>
  <c r="B19" i="2" s="1"/>
  <c r="B18" i="2" a="1"/>
  <c r="B18" i="2" s="1"/>
  <c r="B17" i="2"/>
  <c r="B16" i="2"/>
  <c r="P44" i="1" s="1"/>
  <c r="P49" i="1" l="1"/>
  <c r="P43" i="1"/>
  <c r="P42" i="1"/>
  <c r="P41" i="1"/>
  <c r="P48" i="1"/>
  <c r="P40" i="1"/>
  <c r="P47" i="1"/>
  <c r="P39" i="1"/>
  <c r="P46" i="1"/>
  <c r="P38" i="1"/>
  <c r="P4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" i="1"/>
  <c r="D2" i="1"/>
  <c r="E2" i="1" s="1"/>
  <c r="F2" i="1" s="1"/>
  <c r="E3" i="1"/>
  <c r="E5" i="1"/>
  <c r="E4" i="1" l="1"/>
  <c r="F4" i="1" s="1"/>
  <c r="H4" i="1" s="1"/>
  <c r="L4" i="1"/>
  <c r="O4" i="1" s="1"/>
  <c r="Q4" i="1" s="1"/>
  <c r="G4" i="1"/>
  <c r="I4" i="1" s="1"/>
  <c r="K4" i="1"/>
  <c r="N4" i="1" s="1"/>
  <c r="J4" i="1"/>
  <c r="M4" i="1" s="1"/>
  <c r="J2" i="1"/>
  <c r="M2" i="1" s="1"/>
  <c r="H2" i="1"/>
  <c r="E6" i="1"/>
  <c r="K5" i="1"/>
  <c r="N5" i="1" s="1"/>
  <c r="J5" i="1"/>
  <c r="M5" i="1" s="1"/>
  <c r="L5" i="1"/>
  <c r="O5" i="1" s="1"/>
  <c r="Q5" i="1" s="1"/>
  <c r="G5" i="1"/>
  <c r="I5" i="1" s="1"/>
  <c r="F5" i="1"/>
  <c r="H5" i="1" s="1"/>
  <c r="L3" i="1"/>
  <c r="O3" i="1" s="1"/>
  <c r="Q3" i="1" s="1"/>
  <c r="J3" i="1"/>
  <c r="M3" i="1" s="1"/>
  <c r="F3" i="1"/>
  <c r="H3" i="1" s="1"/>
  <c r="K3" i="1"/>
  <c r="N3" i="1" s="1"/>
  <c r="G3" i="1"/>
  <c r="I3" i="1" s="1"/>
  <c r="L2" i="1"/>
  <c r="O2" i="1" s="1"/>
  <c r="Q2" i="1" s="1"/>
  <c r="G2" i="1"/>
  <c r="S4" i="1" l="1"/>
  <c r="U4" i="1" s="1"/>
  <c r="S3" i="1"/>
  <c r="U3" i="1" s="1"/>
  <c r="E7" i="1"/>
  <c r="S5" i="1"/>
  <c r="U5" i="1" s="1"/>
  <c r="K6" i="1"/>
  <c r="N6" i="1" s="1"/>
  <c r="L6" i="1"/>
  <c r="O6" i="1" s="1"/>
  <c r="Q6" i="1" s="1"/>
  <c r="J6" i="1"/>
  <c r="M6" i="1" s="1"/>
  <c r="F6" i="1"/>
  <c r="H6" i="1" s="1"/>
  <c r="G6" i="1"/>
  <c r="I6" i="1" s="1"/>
  <c r="I2" i="1"/>
  <c r="K2" i="1"/>
  <c r="N2" i="1" s="1"/>
  <c r="R2" i="1" s="1"/>
  <c r="S2" i="1" s="1"/>
  <c r="T2" i="1" l="1"/>
  <c r="T3" i="1" s="1"/>
  <c r="T4" i="1" s="1"/>
  <c r="T5" i="1" s="1"/>
  <c r="U2" i="1"/>
  <c r="V2" i="1" s="1"/>
  <c r="V3" i="1" s="1"/>
  <c r="V4" i="1" s="1"/>
  <c r="V5" i="1" s="1"/>
  <c r="G7" i="1"/>
  <c r="I7" i="1" s="1"/>
  <c r="F7" i="1"/>
  <c r="H7" i="1" s="1"/>
  <c r="J7" i="1"/>
  <c r="M7" i="1" s="1"/>
  <c r="L7" i="1"/>
  <c r="O7" i="1" s="1"/>
  <c r="Q7" i="1" s="1"/>
  <c r="K7" i="1"/>
  <c r="N7" i="1" s="1"/>
  <c r="S6" i="1"/>
  <c r="U6" i="1" s="1"/>
  <c r="E8" i="1"/>
  <c r="E9" i="1" l="1"/>
  <c r="S7" i="1"/>
  <c r="U7" i="1" s="1"/>
  <c r="K8" i="1"/>
  <c r="N8" i="1" s="1"/>
  <c r="G8" i="1"/>
  <c r="I8" i="1" s="1"/>
  <c r="L8" i="1"/>
  <c r="O8" i="1" s="1"/>
  <c r="Q8" i="1" s="1"/>
  <c r="F8" i="1"/>
  <c r="H8" i="1" s="1"/>
  <c r="J8" i="1"/>
  <c r="M8" i="1" s="1"/>
  <c r="V6" i="1"/>
  <c r="T6" i="1"/>
  <c r="V7" i="1" l="1"/>
  <c r="S8" i="1"/>
  <c r="U8" i="1" s="1"/>
  <c r="V8" i="1" s="1"/>
  <c r="T7" i="1"/>
  <c r="E10" i="1"/>
  <c r="F9" i="1"/>
  <c r="H9" i="1" s="1"/>
  <c r="L9" i="1"/>
  <c r="O9" i="1" s="1"/>
  <c r="Q9" i="1" s="1"/>
  <c r="G9" i="1"/>
  <c r="I9" i="1" s="1"/>
  <c r="J9" i="1"/>
  <c r="M9" i="1" s="1"/>
  <c r="K9" i="1"/>
  <c r="N9" i="1" s="1"/>
  <c r="K10" i="1" l="1"/>
  <c r="N10" i="1" s="1"/>
  <c r="G10" i="1"/>
  <c r="I10" i="1" s="1"/>
  <c r="F10" i="1"/>
  <c r="H10" i="1" s="1"/>
  <c r="J10" i="1"/>
  <c r="M10" i="1" s="1"/>
  <c r="L10" i="1"/>
  <c r="O10" i="1" s="1"/>
  <c r="Q10" i="1" s="1"/>
  <c r="S9" i="1"/>
  <c r="U9" i="1" s="1"/>
  <c r="V9" i="1" s="1"/>
  <c r="E11" i="1"/>
  <c r="T8" i="1"/>
  <c r="T9" i="1" l="1"/>
  <c r="S10" i="1"/>
  <c r="U10" i="1" s="1"/>
  <c r="V10" i="1" s="1"/>
  <c r="E12" i="1"/>
  <c r="J11" i="1"/>
  <c r="M11" i="1" s="1"/>
  <c r="G11" i="1"/>
  <c r="I11" i="1" s="1"/>
  <c r="F11" i="1"/>
  <c r="H11" i="1" s="1"/>
  <c r="L11" i="1"/>
  <c r="O11" i="1" s="1"/>
  <c r="Q11" i="1" s="1"/>
  <c r="K11" i="1"/>
  <c r="N11" i="1" s="1"/>
  <c r="S11" i="1" l="1"/>
  <c r="U11" i="1" s="1"/>
  <c r="V11" i="1" s="1"/>
  <c r="L12" i="1"/>
  <c r="O12" i="1" s="1"/>
  <c r="Q12" i="1" s="1"/>
  <c r="G12" i="1"/>
  <c r="I12" i="1" s="1"/>
  <c r="J12" i="1"/>
  <c r="M12" i="1" s="1"/>
  <c r="F12" i="1"/>
  <c r="H12" i="1" s="1"/>
  <c r="K12" i="1"/>
  <c r="N12" i="1" s="1"/>
  <c r="E13" i="1"/>
  <c r="T10" i="1"/>
  <c r="T11" i="1" l="1"/>
  <c r="L13" i="1"/>
  <c r="O13" i="1" s="1"/>
  <c r="Q13" i="1" s="1"/>
  <c r="G13" i="1"/>
  <c r="I13" i="1" s="1"/>
  <c r="F13" i="1"/>
  <c r="H13" i="1" s="1"/>
  <c r="J13" i="1"/>
  <c r="M13" i="1" s="1"/>
  <c r="K13" i="1"/>
  <c r="N13" i="1" s="1"/>
  <c r="E14" i="1"/>
  <c r="S12" i="1"/>
  <c r="S13" i="1" l="1"/>
  <c r="U13" i="1" s="1"/>
  <c r="U12" i="1"/>
  <c r="V12" i="1" s="1"/>
  <c r="T12" i="1"/>
  <c r="E15" i="1"/>
  <c r="K14" i="1"/>
  <c r="N14" i="1" s="1"/>
  <c r="L14" i="1"/>
  <c r="O14" i="1" s="1"/>
  <c r="Q14" i="1" s="1"/>
  <c r="G14" i="1"/>
  <c r="I14" i="1" s="1"/>
  <c r="F14" i="1"/>
  <c r="H14" i="1" s="1"/>
  <c r="J14" i="1"/>
  <c r="M14" i="1" s="1"/>
  <c r="V13" i="1" l="1"/>
  <c r="T13" i="1"/>
  <c r="F15" i="1"/>
  <c r="H15" i="1" s="1"/>
  <c r="G15" i="1"/>
  <c r="I15" i="1" s="1"/>
  <c r="K15" i="1"/>
  <c r="N15" i="1" s="1"/>
  <c r="L15" i="1"/>
  <c r="O15" i="1" s="1"/>
  <c r="Q15" i="1" s="1"/>
  <c r="J15" i="1"/>
  <c r="M15" i="1" s="1"/>
  <c r="S14" i="1"/>
  <c r="E16" i="1"/>
  <c r="U14" i="1" l="1"/>
  <c r="V14" i="1" s="1"/>
  <c r="T14" i="1"/>
  <c r="S15" i="1"/>
  <c r="U15" i="1" s="1"/>
  <c r="E17" i="1"/>
  <c r="L16" i="1"/>
  <c r="O16" i="1" s="1"/>
  <c r="Q16" i="1" s="1"/>
  <c r="J16" i="1"/>
  <c r="M16" i="1" s="1"/>
  <c r="G16" i="1"/>
  <c r="I16" i="1" s="1"/>
  <c r="K16" i="1"/>
  <c r="N16" i="1" s="1"/>
  <c r="F16" i="1"/>
  <c r="H16" i="1" s="1"/>
  <c r="S16" i="1" l="1"/>
  <c r="U16" i="1" s="1"/>
  <c r="G17" i="1"/>
  <c r="I17" i="1" s="1"/>
  <c r="K17" i="1"/>
  <c r="N17" i="1" s="1"/>
  <c r="F17" i="1"/>
  <c r="H17" i="1" s="1"/>
  <c r="J17" i="1"/>
  <c r="M17" i="1" s="1"/>
  <c r="L17" i="1"/>
  <c r="O17" i="1" s="1"/>
  <c r="Q17" i="1" s="1"/>
  <c r="E18" i="1"/>
  <c r="V15" i="1"/>
  <c r="T15" i="1"/>
  <c r="T16" i="1" s="1"/>
  <c r="S17" i="1" l="1"/>
  <c r="V16" i="1"/>
  <c r="L18" i="1"/>
  <c r="O18" i="1" s="1"/>
  <c r="Q18" i="1" s="1"/>
  <c r="F18" i="1"/>
  <c r="H18" i="1" s="1"/>
  <c r="K18" i="1"/>
  <c r="N18" i="1" s="1"/>
  <c r="G18" i="1"/>
  <c r="I18" i="1" s="1"/>
  <c r="J18" i="1"/>
  <c r="M18" i="1" s="1"/>
  <c r="E19" i="1"/>
  <c r="U17" i="1" l="1"/>
  <c r="V17" i="1" s="1"/>
  <c r="T17" i="1"/>
  <c r="S18" i="1"/>
  <c r="K19" i="1"/>
  <c r="N19" i="1" s="1"/>
  <c r="F19" i="1"/>
  <c r="H19" i="1" s="1"/>
  <c r="G19" i="1"/>
  <c r="I19" i="1" s="1"/>
  <c r="J19" i="1"/>
  <c r="M19" i="1" s="1"/>
  <c r="L19" i="1"/>
  <c r="O19" i="1" s="1"/>
  <c r="Q19" i="1" s="1"/>
  <c r="E20" i="1"/>
  <c r="U18" i="1" l="1"/>
  <c r="V18" i="1" s="1"/>
  <c r="T18" i="1"/>
  <c r="E21" i="1"/>
  <c r="L20" i="1"/>
  <c r="O20" i="1" s="1"/>
  <c r="Q20" i="1" s="1"/>
  <c r="J20" i="1"/>
  <c r="M20" i="1" s="1"/>
  <c r="G20" i="1"/>
  <c r="I20" i="1" s="1"/>
  <c r="F20" i="1"/>
  <c r="H20" i="1" s="1"/>
  <c r="K20" i="1"/>
  <c r="N20" i="1" s="1"/>
  <c r="S19" i="1"/>
  <c r="U19" i="1" s="1"/>
  <c r="V19" i="1" l="1"/>
  <c r="T19" i="1"/>
  <c r="S20" i="1"/>
  <c r="U20" i="1" s="1"/>
  <c r="F21" i="1"/>
  <c r="H21" i="1" s="1"/>
  <c r="J21" i="1"/>
  <c r="M21" i="1" s="1"/>
  <c r="L21" i="1"/>
  <c r="O21" i="1" s="1"/>
  <c r="Q21" i="1" s="1"/>
  <c r="K21" i="1"/>
  <c r="N21" i="1" s="1"/>
  <c r="G21" i="1"/>
  <c r="I21" i="1" s="1"/>
  <c r="E22" i="1"/>
  <c r="V20" i="1" l="1"/>
  <c r="L22" i="1"/>
  <c r="O22" i="1" s="1"/>
  <c r="Q22" i="1" s="1"/>
  <c r="K22" i="1"/>
  <c r="N22" i="1" s="1"/>
  <c r="G22" i="1"/>
  <c r="I22" i="1" s="1"/>
  <c r="F22" i="1"/>
  <c r="H22" i="1" s="1"/>
  <c r="J22" i="1"/>
  <c r="M22" i="1" s="1"/>
  <c r="T20" i="1"/>
  <c r="S21" i="1"/>
  <c r="U21" i="1" s="1"/>
  <c r="E23" i="1"/>
  <c r="V21" i="1" l="1"/>
  <c r="E24" i="1"/>
  <c r="T21" i="1"/>
  <c r="S22" i="1"/>
  <c r="U22" i="1" s="1"/>
  <c r="G23" i="1"/>
  <c r="I23" i="1" s="1"/>
  <c r="F23" i="1"/>
  <c r="H23" i="1" s="1"/>
  <c r="K23" i="1"/>
  <c r="N23" i="1" s="1"/>
  <c r="J23" i="1"/>
  <c r="M23" i="1" s="1"/>
  <c r="L23" i="1"/>
  <c r="O23" i="1" s="1"/>
  <c r="Q23" i="1" s="1"/>
  <c r="V22" i="1" l="1"/>
  <c r="T22" i="1"/>
  <c r="G24" i="1"/>
  <c r="I24" i="1" s="1"/>
  <c r="L24" i="1"/>
  <c r="O24" i="1" s="1"/>
  <c r="Q24" i="1" s="1"/>
  <c r="K24" i="1"/>
  <c r="N24" i="1" s="1"/>
  <c r="J24" i="1"/>
  <c r="M24" i="1" s="1"/>
  <c r="F24" i="1"/>
  <c r="H24" i="1" s="1"/>
  <c r="S23" i="1"/>
  <c r="U23" i="1" s="1"/>
  <c r="E25" i="1"/>
  <c r="V23" i="1" l="1"/>
  <c r="S24" i="1"/>
  <c r="U24" i="1" s="1"/>
  <c r="V24" i="1" s="1"/>
  <c r="E27" i="1"/>
  <c r="E26" i="1"/>
  <c r="T23" i="1"/>
  <c r="K25" i="1"/>
  <c r="N25" i="1" s="1"/>
  <c r="L25" i="1"/>
  <c r="O25" i="1" s="1"/>
  <c r="Q25" i="1" s="1"/>
  <c r="F25" i="1"/>
  <c r="H25" i="1" s="1"/>
  <c r="J25" i="1"/>
  <c r="M25" i="1" s="1"/>
  <c r="G25" i="1"/>
  <c r="I25" i="1" s="1"/>
  <c r="T24" i="1" l="1"/>
  <c r="E28" i="1"/>
  <c r="J26" i="1"/>
  <c r="M26" i="1" s="1"/>
  <c r="L26" i="1"/>
  <c r="O26" i="1" s="1"/>
  <c r="Q26" i="1" s="1"/>
  <c r="G26" i="1"/>
  <c r="I26" i="1" s="1"/>
  <c r="F26" i="1"/>
  <c r="H26" i="1" s="1"/>
  <c r="K26" i="1"/>
  <c r="N26" i="1" s="1"/>
  <c r="K27" i="1"/>
  <c r="N27" i="1" s="1"/>
  <c r="J27" i="1"/>
  <c r="M27" i="1" s="1"/>
  <c r="G27" i="1"/>
  <c r="I27" i="1" s="1"/>
  <c r="L27" i="1"/>
  <c r="O27" i="1" s="1"/>
  <c r="Q27" i="1" s="1"/>
  <c r="F27" i="1"/>
  <c r="H27" i="1" s="1"/>
  <c r="S25" i="1"/>
  <c r="U25" i="1" s="1"/>
  <c r="V25" i="1" s="1"/>
  <c r="S27" i="1" l="1"/>
  <c r="U27" i="1" s="1"/>
  <c r="S26" i="1"/>
  <c r="U26" i="1" s="1"/>
  <c r="V26" i="1" s="1"/>
  <c r="G28" i="1"/>
  <c r="I28" i="1" s="1"/>
  <c r="J28" i="1"/>
  <c r="M28" i="1" s="1"/>
  <c r="K28" i="1"/>
  <c r="N28" i="1" s="1"/>
  <c r="L28" i="1"/>
  <c r="O28" i="1" s="1"/>
  <c r="Q28" i="1" s="1"/>
  <c r="F28" i="1"/>
  <c r="H28" i="1" s="1"/>
  <c r="T25" i="1"/>
  <c r="E29" i="1"/>
  <c r="V27" i="1" l="1"/>
  <c r="S28" i="1"/>
  <c r="U28" i="1" s="1"/>
  <c r="F29" i="1"/>
  <c r="H29" i="1" s="1"/>
  <c r="J29" i="1"/>
  <c r="M29" i="1" s="1"/>
  <c r="G29" i="1"/>
  <c r="I29" i="1" s="1"/>
  <c r="L29" i="1"/>
  <c r="O29" i="1" s="1"/>
  <c r="Q29" i="1" s="1"/>
  <c r="K29" i="1"/>
  <c r="N29" i="1" s="1"/>
  <c r="E30" i="1"/>
  <c r="T26" i="1"/>
  <c r="T27" i="1" s="1"/>
  <c r="V28" i="1" l="1"/>
  <c r="T28" i="1"/>
  <c r="S29" i="1"/>
  <c r="U29" i="1" s="1"/>
  <c r="E31" i="1"/>
  <c r="L30" i="1"/>
  <c r="O30" i="1" s="1"/>
  <c r="Q30" i="1" s="1"/>
  <c r="F30" i="1"/>
  <c r="H30" i="1" s="1"/>
  <c r="G30" i="1"/>
  <c r="I30" i="1" s="1"/>
  <c r="J30" i="1"/>
  <c r="M30" i="1" s="1"/>
  <c r="K30" i="1"/>
  <c r="N30" i="1" s="1"/>
  <c r="V29" i="1" l="1"/>
  <c r="S30" i="1"/>
  <c r="U30" i="1" s="1"/>
  <c r="V30" i="1" s="1"/>
  <c r="K31" i="1"/>
  <c r="N31" i="1" s="1"/>
  <c r="J31" i="1"/>
  <c r="M31" i="1" s="1"/>
  <c r="G31" i="1"/>
  <c r="I31" i="1" s="1"/>
  <c r="L31" i="1"/>
  <c r="O31" i="1" s="1"/>
  <c r="Q31" i="1" s="1"/>
  <c r="F31" i="1"/>
  <c r="H31" i="1" s="1"/>
  <c r="E32" i="1"/>
  <c r="T29" i="1"/>
  <c r="S31" i="1" l="1"/>
  <c r="U31" i="1" s="1"/>
  <c r="V31" i="1" s="1"/>
  <c r="T30" i="1"/>
  <c r="G32" i="1"/>
  <c r="I32" i="1" s="1"/>
  <c r="F32" i="1"/>
  <c r="H32" i="1" s="1"/>
  <c r="J32" i="1"/>
  <c r="M32" i="1" s="1"/>
  <c r="L32" i="1"/>
  <c r="O32" i="1" s="1"/>
  <c r="Q32" i="1" s="1"/>
  <c r="K32" i="1"/>
  <c r="N32" i="1" s="1"/>
  <c r="E33" i="1"/>
  <c r="T31" i="1" l="1"/>
  <c r="E34" i="1"/>
  <c r="J33" i="1"/>
  <c r="M33" i="1" s="1"/>
  <c r="K33" i="1"/>
  <c r="N33" i="1" s="1"/>
  <c r="F33" i="1"/>
  <c r="H33" i="1" s="1"/>
  <c r="G33" i="1"/>
  <c r="I33" i="1" s="1"/>
  <c r="L33" i="1"/>
  <c r="O33" i="1" s="1"/>
  <c r="Q33" i="1" s="1"/>
  <c r="S32" i="1"/>
  <c r="U32" i="1" l="1"/>
  <c r="V32" i="1" s="1"/>
  <c r="T32" i="1"/>
  <c r="E35" i="1"/>
  <c r="K34" i="1"/>
  <c r="N34" i="1" s="1"/>
  <c r="G34" i="1"/>
  <c r="I34" i="1" s="1"/>
  <c r="L34" i="1"/>
  <c r="O34" i="1" s="1"/>
  <c r="Q34" i="1" s="1"/>
  <c r="J34" i="1"/>
  <c r="M34" i="1" s="1"/>
  <c r="F34" i="1"/>
  <c r="H34" i="1" s="1"/>
  <c r="S33" i="1"/>
  <c r="U33" i="1" s="1"/>
  <c r="V33" i="1" s="1"/>
  <c r="S34" i="1" l="1"/>
  <c r="U34" i="1" s="1"/>
  <c r="V34" i="1" s="1"/>
  <c r="K35" i="1"/>
  <c r="N35" i="1" s="1"/>
  <c r="L35" i="1"/>
  <c r="O35" i="1" s="1"/>
  <c r="Q35" i="1" s="1"/>
  <c r="J35" i="1"/>
  <c r="M35" i="1" s="1"/>
  <c r="F35" i="1"/>
  <c r="H35" i="1" s="1"/>
  <c r="G35" i="1"/>
  <c r="I35" i="1" s="1"/>
  <c r="T33" i="1"/>
  <c r="E36" i="1"/>
  <c r="E37" i="1" l="1"/>
  <c r="G36" i="1"/>
  <c r="I36" i="1" s="1"/>
  <c r="F36" i="1"/>
  <c r="H36" i="1" s="1"/>
  <c r="J36" i="1"/>
  <c r="M36" i="1" s="1"/>
  <c r="L36" i="1"/>
  <c r="O36" i="1" s="1"/>
  <c r="Q36" i="1" s="1"/>
  <c r="K36" i="1"/>
  <c r="N36" i="1" s="1"/>
  <c r="T34" i="1"/>
  <c r="S35" i="1"/>
  <c r="U35" i="1" s="1"/>
  <c r="V35" i="1" s="1"/>
  <c r="T35" i="1" l="1"/>
  <c r="S36" i="1"/>
  <c r="U36" i="1" s="1"/>
  <c r="V36" i="1" s="1"/>
  <c r="F37" i="1"/>
  <c r="H37" i="1" s="1"/>
  <c r="G37" i="1"/>
  <c r="I37" i="1" s="1"/>
  <c r="L37" i="1"/>
  <c r="O37" i="1" s="1"/>
  <c r="Q37" i="1" s="1"/>
  <c r="J37" i="1"/>
  <c r="M37" i="1" s="1"/>
  <c r="K37" i="1"/>
  <c r="N37" i="1" s="1"/>
  <c r="E38" i="1"/>
  <c r="S37" i="1" l="1"/>
  <c r="U37" i="1" s="1"/>
  <c r="V37" i="1" s="1"/>
  <c r="E39" i="1"/>
  <c r="J38" i="1"/>
  <c r="M38" i="1" s="1"/>
  <c r="K38" i="1"/>
  <c r="N38" i="1" s="1"/>
  <c r="G38" i="1"/>
  <c r="I38" i="1" s="1"/>
  <c r="L38" i="1"/>
  <c r="O38" i="1" s="1"/>
  <c r="Q38" i="1" s="1"/>
  <c r="F38" i="1"/>
  <c r="H38" i="1" s="1"/>
  <c r="T36" i="1"/>
  <c r="S38" i="1" l="1"/>
  <c r="U38" i="1" s="1"/>
  <c r="V38" i="1" s="1"/>
  <c r="E40" i="1"/>
  <c r="K39" i="1"/>
  <c r="N39" i="1" s="1"/>
  <c r="G39" i="1"/>
  <c r="I39" i="1" s="1"/>
  <c r="F39" i="1"/>
  <c r="H39" i="1" s="1"/>
  <c r="J39" i="1"/>
  <c r="M39" i="1" s="1"/>
  <c r="L39" i="1"/>
  <c r="O39" i="1" s="1"/>
  <c r="Q39" i="1" s="1"/>
  <c r="S39" i="1" s="1"/>
  <c r="U39" i="1" s="1"/>
  <c r="T37" i="1"/>
  <c r="V39" i="1" l="1"/>
  <c r="E41" i="1"/>
  <c r="F40" i="1"/>
  <c r="H40" i="1" s="1"/>
  <c r="J40" i="1"/>
  <c r="M40" i="1" s="1"/>
  <c r="L40" i="1"/>
  <c r="O40" i="1" s="1"/>
  <c r="Q40" i="1" s="1"/>
  <c r="G40" i="1"/>
  <c r="I40" i="1" s="1"/>
  <c r="K40" i="1"/>
  <c r="N40" i="1" s="1"/>
  <c r="T38" i="1"/>
  <c r="T39" i="1" s="1"/>
  <c r="S40" i="1" l="1"/>
  <c r="U40" i="1" s="1"/>
  <c r="V40" i="1" s="1"/>
  <c r="E42" i="1"/>
  <c r="K41" i="1"/>
  <c r="N41" i="1" s="1"/>
  <c r="F41" i="1"/>
  <c r="H41" i="1" s="1"/>
  <c r="L41" i="1"/>
  <c r="O41" i="1" s="1"/>
  <c r="Q41" i="1" s="1"/>
  <c r="G41" i="1"/>
  <c r="I41" i="1" s="1"/>
  <c r="J41" i="1"/>
  <c r="M41" i="1" s="1"/>
  <c r="E43" i="1" l="1"/>
  <c r="K42" i="1"/>
  <c r="N42" i="1" s="1"/>
  <c r="J42" i="1"/>
  <c r="M42" i="1" s="1"/>
  <c r="L42" i="1"/>
  <c r="O42" i="1" s="1"/>
  <c r="Q42" i="1" s="1"/>
  <c r="S42" i="1" s="1"/>
  <c r="U42" i="1" s="1"/>
  <c r="G42" i="1"/>
  <c r="I42" i="1" s="1"/>
  <c r="F42" i="1"/>
  <c r="H42" i="1" s="1"/>
  <c r="T40" i="1"/>
  <c r="S41" i="1"/>
  <c r="U41" i="1" s="1"/>
  <c r="V41" i="1" s="1"/>
  <c r="V42" i="1" l="1"/>
  <c r="T41" i="1"/>
  <c r="T42" i="1" s="1"/>
  <c r="E44" i="1"/>
  <c r="F43" i="1"/>
  <c r="H43" i="1" s="1"/>
  <c r="J43" i="1"/>
  <c r="M43" i="1" s="1"/>
  <c r="G43" i="1"/>
  <c r="I43" i="1" s="1"/>
  <c r="L43" i="1"/>
  <c r="O43" i="1" s="1"/>
  <c r="Q43" i="1" s="1"/>
  <c r="K43" i="1"/>
  <c r="N43" i="1" s="1"/>
  <c r="S43" i="1" l="1"/>
  <c r="K44" i="1"/>
  <c r="N44" i="1" s="1"/>
  <c r="L44" i="1"/>
  <c r="O44" i="1" s="1"/>
  <c r="Q44" i="1" s="1"/>
  <c r="J44" i="1"/>
  <c r="M44" i="1" s="1"/>
  <c r="G44" i="1"/>
  <c r="I44" i="1" s="1"/>
  <c r="F44" i="1"/>
  <c r="H44" i="1" s="1"/>
  <c r="E45" i="1"/>
  <c r="S44" i="1" l="1"/>
  <c r="U44" i="1" s="1"/>
  <c r="E46" i="1"/>
  <c r="U43" i="1"/>
  <c r="V43" i="1" s="1"/>
  <c r="T43" i="1"/>
  <c r="J45" i="1"/>
  <c r="M45" i="1" s="1"/>
  <c r="L45" i="1"/>
  <c r="O45" i="1" s="1"/>
  <c r="Q45" i="1" s="1"/>
  <c r="K45" i="1"/>
  <c r="N45" i="1" s="1"/>
  <c r="G45" i="1"/>
  <c r="I45" i="1" s="1"/>
  <c r="F45" i="1"/>
  <c r="H45" i="1" s="1"/>
  <c r="V44" i="1" l="1"/>
  <c r="S45" i="1"/>
  <c r="U45" i="1" s="1"/>
  <c r="V45" i="1" s="1"/>
  <c r="T44" i="1"/>
  <c r="F46" i="1"/>
  <c r="H46" i="1" s="1"/>
  <c r="K46" i="1"/>
  <c r="N46" i="1" s="1"/>
  <c r="L46" i="1"/>
  <c r="O46" i="1" s="1"/>
  <c r="Q46" i="1" s="1"/>
  <c r="J46" i="1"/>
  <c r="M46" i="1" s="1"/>
  <c r="G46" i="1"/>
  <c r="I46" i="1" s="1"/>
  <c r="E47" i="1"/>
  <c r="S46" i="1" l="1"/>
  <c r="U46" i="1" s="1"/>
  <c r="V46" i="1" s="1"/>
  <c r="E48" i="1"/>
  <c r="E49" i="1"/>
  <c r="T45" i="1"/>
  <c r="K47" i="1"/>
  <c r="N47" i="1" s="1"/>
  <c r="G47" i="1"/>
  <c r="I47" i="1" s="1"/>
  <c r="J47" i="1"/>
  <c r="M47" i="1" s="1"/>
  <c r="L47" i="1"/>
  <c r="O47" i="1" s="1"/>
  <c r="Q47" i="1" s="1"/>
  <c r="F47" i="1"/>
  <c r="H47" i="1" s="1"/>
  <c r="K48" i="1" l="1"/>
  <c r="N48" i="1" s="1"/>
  <c r="J48" i="1"/>
  <c r="M48" i="1" s="1"/>
  <c r="F48" i="1"/>
  <c r="H48" i="1" s="1"/>
  <c r="G48" i="1"/>
  <c r="I48" i="1" s="1"/>
  <c r="L48" i="1"/>
  <c r="O48" i="1" s="1"/>
  <c r="Q48" i="1" s="1"/>
  <c r="S47" i="1"/>
  <c r="U47" i="1" s="1"/>
  <c r="V47" i="1" s="1"/>
  <c r="T46" i="1"/>
  <c r="T47" i="1" s="1"/>
  <c r="G49" i="1"/>
  <c r="I49" i="1" s="1"/>
  <c r="F49" i="1"/>
  <c r="H49" i="1" s="1"/>
  <c r="L49" i="1"/>
  <c r="O49" i="1" s="1"/>
  <c r="Q49" i="1" s="1"/>
  <c r="J49" i="1"/>
  <c r="M49" i="1" s="1"/>
  <c r="K49" i="1"/>
  <c r="N49" i="1" s="1"/>
  <c r="S48" i="1" l="1"/>
  <c r="U48" i="1" s="1"/>
  <c r="V48" i="1" s="1"/>
  <c r="S49" i="1"/>
  <c r="U49" i="1" s="1"/>
  <c r="T48" i="1" l="1"/>
  <c r="T49" i="1" s="1"/>
  <c r="V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<sst xmlns="http://schemas.openxmlformats.org/spreadsheetml/2006/main" count="96" uniqueCount="59">
  <si>
    <t>#</t>
  </si>
  <si>
    <t>Months</t>
  </si>
  <si>
    <t>Number of Use-Cases</t>
  </si>
  <si>
    <t>Number of users</t>
  </si>
  <si>
    <t>Number of Search Query Per Hour</t>
  </si>
  <si>
    <t># of Input Tokens per hour ('1000)</t>
  </si>
  <si>
    <t># of Output Tokens per hour ('1000)</t>
  </si>
  <si>
    <t># of Input Tokens per month ('1000)</t>
  </si>
  <si>
    <t># of Output Tokens per month ('1000)</t>
  </si>
  <si>
    <t>Cost of Input Token Per Hour</t>
  </si>
  <si>
    <t>Cost of Output Token Per Hour</t>
  </si>
  <si>
    <t>Number of Search Query Per Month</t>
  </si>
  <si>
    <t>Cost of Input Token Per Month</t>
  </si>
  <si>
    <t>Cost of Output Token Per Month</t>
  </si>
  <si>
    <t>Semantic Ranker Cost Per Month</t>
  </si>
  <si>
    <t>AI Search Storage Per Month</t>
  </si>
  <si>
    <t>Total AI Search Cost Per Month</t>
  </si>
  <si>
    <t>Total OpenAI Cost Per Month</t>
  </si>
  <si>
    <t>Total Cost Per Month</t>
  </si>
  <si>
    <t>Agreegated Cost</t>
  </si>
  <si>
    <t>Total Cost Per Month (after Discount)</t>
  </si>
  <si>
    <t>Agreegated Cost (after Discount)</t>
  </si>
  <si>
    <t>rate of use-case growth</t>
  </si>
  <si>
    <t>multiplier for user growth</t>
  </si>
  <si>
    <t>Azure Discont</t>
  </si>
  <si>
    <t>AI Search Storage Tier</t>
  </si>
  <si>
    <t>Standard S2</t>
  </si>
  <si>
    <t>AOAI Model</t>
  </si>
  <si>
    <t>GPT-4-Turbo-128K</t>
  </si>
  <si>
    <t>Time to answer Customer Query (Mins)</t>
  </si>
  <si>
    <t>Number of Queries to assist a customer</t>
  </si>
  <si>
    <t>Words in input Query</t>
  </si>
  <si>
    <t>Words in output query</t>
  </si>
  <si>
    <t>working hours in a day</t>
  </si>
  <si>
    <t>number of working days in a month</t>
  </si>
  <si>
    <t>Tokens in a word</t>
  </si>
  <si>
    <t>AI Search Storage Cost</t>
  </si>
  <si>
    <t>Azure OpenAI Model</t>
  </si>
  <si>
    <t>InputToken</t>
  </si>
  <si>
    <t>OutptToken</t>
  </si>
  <si>
    <t>Tokens in Input Query</t>
  </si>
  <si>
    <t>Tokens in Output Query</t>
  </si>
  <si>
    <t>Total Queries in an Hour per Agent</t>
  </si>
  <si>
    <t>Azure AI Search</t>
  </si>
  <si>
    <t>Storage Tier</t>
  </si>
  <si>
    <t>Basic</t>
  </si>
  <si>
    <t>Standard S1</t>
  </si>
  <si>
    <t>Standard S3</t>
  </si>
  <si>
    <t>Storage Optimized L1</t>
  </si>
  <si>
    <t>Storage Optimized L2</t>
  </si>
  <si>
    <t>Azure OpenAI</t>
  </si>
  <si>
    <t>GPT-3.5-Turbo-16K</t>
  </si>
  <si>
    <t>GPT-4-Turbo-Vision-128K</t>
  </si>
  <si>
    <t>GPT-4-8K</t>
  </si>
  <si>
    <t>GPT-4-32K</t>
  </si>
  <si>
    <t>Ranker</t>
  </si>
  <si>
    <t>Semantic Ranker Cost per 1000 Qeries</t>
  </si>
  <si>
    <t>System Generated Params (Auto-Generated)</t>
  </si>
  <si>
    <t>User Configurable Parameters (Please 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</si>
</sst>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6" borderId="0" xfId="0" applyFill="1"/>
    <xf numFmtId="17" fontId="0" fillId="6" borderId="0" xfId="0" applyNumberFormat="1" applyFill="1"/>
    <xf numFmtId="0" fontId="3" fillId="7" borderId="0" xfId="0" applyFont="1" applyFill="1" applyAlignment="1">
      <alignment vertical="center"/>
    </xf>
    <xf numFmtId="0" fontId="3" fillId="7" borderId="1" xfId="0" applyFont="1" applyFill="1" applyBorder="1" applyAlignment="1">
      <alignment vertical="center"/>
    </xf>
    <xf numFmtId="0" fontId="0" fillId="6" borderId="1" xfId="0" applyFill="1" applyBorder="1"/>
    <xf numFmtId="17" fontId="0" fillId="6" borderId="1" xfId="0" applyNumberFormat="1" applyFill="1" applyBorder="1"/>
    <xf numFmtId="165" fontId="0" fillId="6" borderId="1" xfId="0" applyNumberFormat="1" applyFill="1" applyBorder="1"/>
    <xf numFmtId="164" fontId="0" fillId="6" borderId="1" xfId="0" applyNumberFormat="1" applyFill="1" applyBorder="1"/>
    <xf numFmtId="43" fontId="0" fillId="6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C35E-C67A-42CB-91C2-88FA7FBEFEF4}">
  <dimension ref="A1:B22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35" bestFit="1" customWidth="1"/>
    <col min="2" max="2" width="23.140625" bestFit="1" customWidth="1"/>
  </cols>
  <sheetData>
    <row r="1" spans="1:2" x14ac:dyDescent="0.25">
      <c r="A1" s="10" t="s">
        <v>58</v>
      </c>
      <c r="B1" s="10"/>
    </row>
    <row r="2" spans="1:2" x14ac:dyDescent="0.25">
      <c r="A2" s="11" t="s">
        <v>22</v>
      </c>
      <c r="B2" s="12">
        <v>8</v>
      </c>
    </row>
    <row r="3" spans="1:2" x14ac:dyDescent="0.25">
      <c r="A3" s="11" t="s">
        <v>23</v>
      </c>
      <c r="B3" s="12">
        <v>40</v>
      </c>
    </row>
    <row r="4" spans="1:2" x14ac:dyDescent="0.25">
      <c r="A4" s="11" t="s">
        <v>24</v>
      </c>
      <c r="B4" s="12">
        <v>0.2</v>
      </c>
    </row>
    <row r="5" spans="1:2" x14ac:dyDescent="0.25">
      <c r="A5" s="11" t="s">
        <v>25</v>
      </c>
      <c r="B5" s="12" t="s">
        <v>26</v>
      </c>
    </row>
    <row r="6" spans="1:2" x14ac:dyDescent="0.25">
      <c r="A6" s="11" t="s">
        <v>27</v>
      </c>
      <c r="B6" s="12" t="s">
        <v>28</v>
      </c>
    </row>
    <row r="7" spans="1:2" x14ac:dyDescent="0.25">
      <c r="A7" s="11" t="s">
        <v>29</v>
      </c>
      <c r="B7" s="12">
        <v>5</v>
      </c>
    </row>
    <row r="8" spans="1:2" x14ac:dyDescent="0.25">
      <c r="A8" s="11" t="s">
        <v>30</v>
      </c>
      <c r="B8" s="12">
        <v>3</v>
      </c>
    </row>
    <row r="9" spans="1:2" x14ac:dyDescent="0.25">
      <c r="A9" s="11" t="s">
        <v>31</v>
      </c>
      <c r="B9" s="12">
        <v>2500</v>
      </c>
    </row>
    <row r="10" spans="1:2" x14ac:dyDescent="0.25">
      <c r="A10" s="11" t="s">
        <v>32</v>
      </c>
      <c r="B10" s="12">
        <v>500</v>
      </c>
    </row>
    <row r="11" spans="1:2" x14ac:dyDescent="0.25">
      <c r="A11" s="11" t="s">
        <v>33</v>
      </c>
      <c r="B11" s="12">
        <v>8</v>
      </c>
    </row>
    <row r="12" spans="1:2" x14ac:dyDescent="0.25">
      <c r="A12" s="11" t="s">
        <v>34</v>
      </c>
      <c r="B12" s="12">
        <v>20</v>
      </c>
    </row>
    <row r="13" spans="1:2" x14ac:dyDescent="0.25">
      <c r="A13" s="11" t="s">
        <v>35</v>
      </c>
      <c r="B13" s="12">
        <v>1.34</v>
      </c>
    </row>
    <row r="15" spans="1:2" x14ac:dyDescent="0.25">
      <c r="A15" s="13" t="s">
        <v>57</v>
      </c>
      <c r="B15" s="13"/>
    </row>
    <row r="16" spans="1:2" x14ac:dyDescent="0.25">
      <c r="A16" s="14" t="s">
        <v>36</v>
      </c>
      <c r="B16" s="14">
        <f>VLOOKUP(B5,prices!C1:D6,2,FALSE)</f>
        <v>1984.25</v>
      </c>
    </row>
    <row r="17" spans="1:2" x14ac:dyDescent="0.25">
      <c r="A17" s="14" t="s">
        <v>37</v>
      </c>
      <c r="B17" s="14" t="str">
        <f>B6</f>
        <v>GPT-4-Turbo-128K</v>
      </c>
    </row>
    <row r="18" spans="1:2" x14ac:dyDescent="0.25">
      <c r="A18" s="14" t="s">
        <v>38</v>
      </c>
      <c r="B18" s="14" cm="1">
        <f t="array" ref="B18">VLOOKUP(A18&amp;B6, CHOOSE({1,2}, prices!B7:B16&amp;prices!C7:C16, prices!D7:D16), 2, FALSE)</f>
        <v>1.5299999999999999E-2</v>
      </c>
    </row>
    <row r="19" spans="1:2" x14ac:dyDescent="0.25">
      <c r="A19" s="14" t="s">
        <v>39</v>
      </c>
      <c r="B19" s="14" cm="1">
        <f t="array" ref="B19">VLOOKUP(A19&amp;B6, CHOOSE({1,2}, prices!B8:B17&amp;prices!C8:C17, prices!D8:D17), 2, FALSE)</f>
        <v>4.5999999999999999E-2</v>
      </c>
    </row>
    <row r="20" spans="1:2" x14ac:dyDescent="0.25">
      <c r="A20" s="14" t="s">
        <v>40</v>
      </c>
      <c r="B20" s="14">
        <f>B9*B13</f>
        <v>3350</v>
      </c>
    </row>
    <row r="21" spans="1:2" x14ac:dyDescent="0.25">
      <c r="A21" s="14" t="s">
        <v>41</v>
      </c>
      <c r="B21" s="14">
        <f>B10*B13</f>
        <v>670</v>
      </c>
    </row>
    <row r="22" spans="1:2" x14ac:dyDescent="0.25">
      <c r="A22" s="14" t="s">
        <v>42</v>
      </c>
      <c r="B22" s="14">
        <f>(60/B7)*B8</f>
        <v>36</v>
      </c>
    </row>
  </sheetData>
  <protectedRanges>
    <protectedRange algorithmName="SHA-512" hashValue="0VPqAYGfaFu6SNgvnyiSec/vcbFObO87LtIz0isCROE3urIZ/01YX7oVAk7VPB1ZM52DA8pgsCW6Pj4ABlvvig==" saltValue="MJZqXT9aigCSqhydQ4ETVw==" spinCount="100000" sqref="B2:B13" name="Range1"/>
  </protectedRanges>
  <mergeCells count="2">
    <mergeCell ref="A1:B1"/>
    <mergeCell ref="A15:B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9C9B7F-0450-4B5A-9BBA-F43CF9076D65}">
          <x14:formula1>
            <xm:f>prices!$C$1:$C$6</xm:f>
          </x14:formula1>
          <xm:sqref>B5</xm:sqref>
        </x14:dataValidation>
        <x14:dataValidation type="list" allowBlank="1" showInputMessage="1" showErrorMessage="1" xr:uid="{23C3DB51-D1C2-4DE3-B193-55FB9037DCF9}">
          <x14:formula1>
            <xm:f>prices!$C$7:$C$11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24E0-5077-4772-B6EF-59164068E5C7}">
  <dimension ref="A1:D17"/>
  <sheetViews>
    <sheetView workbookViewId="0">
      <selection activeCell="G9" sqref="G9"/>
    </sheetView>
  </sheetViews>
  <sheetFormatPr defaultColWidth="8.85546875" defaultRowHeight="15" x14ac:dyDescent="0.25"/>
  <cols>
    <col min="1" max="1" width="14.42578125" bestFit="1" customWidth="1"/>
    <col min="2" max="2" width="11.140625" bestFit="1" customWidth="1"/>
    <col min="3" max="3" width="34.85546875" bestFit="1" customWidth="1"/>
  </cols>
  <sheetData>
    <row r="1" spans="1:4" x14ac:dyDescent="0.25">
      <c r="A1" s="15" t="s">
        <v>43</v>
      </c>
      <c r="B1" s="15" t="s">
        <v>44</v>
      </c>
      <c r="C1" s="15" t="s">
        <v>45</v>
      </c>
      <c r="D1" s="15">
        <v>148.76</v>
      </c>
    </row>
    <row r="2" spans="1:4" x14ac:dyDescent="0.25">
      <c r="A2" s="15" t="s">
        <v>43</v>
      </c>
      <c r="B2" s="15" t="s">
        <v>44</v>
      </c>
      <c r="C2" s="15" t="s">
        <v>46</v>
      </c>
      <c r="D2" s="15">
        <v>496.62</v>
      </c>
    </row>
    <row r="3" spans="1:4" x14ac:dyDescent="0.25">
      <c r="A3" s="15" t="s">
        <v>43</v>
      </c>
      <c r="B3" s="15" t="s">
        <v>44</v>
      </c>
      <c r="C3" s="15" t="s">
        <v>26</v>
      </c>
      <c r="D3" s="15">
        <v>1984.25</v>
      </c>
    </row>
    <row r="4" spans="1:4" x14ac:dyDescent="0.25">
      <c r="A4" s="15" t="s">
        <v>43</v>
      </c>
      <c r="B4" s="15" t="s">
        <v>44</v>
      </c>
      <c r="C4" s="15" t="s">
        <v>47</v>
      </c>
      <c r="D4" s="15">
        <v>3972.97</v>
      </c>
    </row>
    <row r="5" spans="1:4" x14ac:dyDescent="0.25">
      <c r="A5" s="15" t="s">
        <v>43</v>
      </c>
      <c r="B5" s="15" t="s">
        <v>44</v>
      </c>
      <c r="C5" s="15" t="s">
        <v>48</v>
      </c>
      <c r="D5" s="15">
        <v>4293.99</v>
      </c>
    </row>
    <row r="6" spans="1:4" x14ac:dyDescent="0.25">
      <c r="A6" s="15" t="s">
        <v>43</v>
      </c>
      <c r="B6" s="15" t="s">
        <v>44</v>
      </c>
      <c r="C6" s="15" t="s">
        <v>49</v>
      </c>
      <c r="D6" s="15">
        <v>8586.85</v>
      </c>
    </row>
    <row r="7" spans="1:4" x14ac:dyDescent="0.25">
      <c r="A7" s="15" t="s">
        <v>50</v>
      </c>
      <c r="B7" s="15" t="s">
        <v>38</v>
      </c>
      <c r="C7" s="15" t="s">
        <v>51</v>
      </c>
      <c r="D7" s="15">
        <v>8.0000000000000004E-4</v>
      </c>
    </row>
    <row r="8" spans="1:4" x14ac:dyDescent="0.25">
      <c r="A8" s="15" t="s">
        <v>50</v>
      </c>
      <c r="B8" s="15" t="s">
        <v>38</v>
      </c>
      <c r="C8" s="15" t="s">
        <v>28</v>
      </c>
      <c r="D8" s="15">
        <v>1.5299999999999999E-2</v>
      </c>
    </row>
    <row r="9" spans="1:4" x14ac:dyDescent="0.25">
      <c r="A9" s="15" t="s">
        <v>50</v>
      </c>
      <c r="B9" s="15" t="s">
        <v>38</v>
      </c>
      <c r="C9" s="15" t="s">
        <v>52</v>
      </c>
      <c r="D9" s="15">
        <v>1.5299999999999999E-2</v>
      </c>
    </row>
    <row r="10" spans="1:4" x14ac:dyDescent="0.25">
      <c r="A10" s="15" t="s">
        <v>50</v>
      </c>
      <c r="B10" s="15" t="s">
        <v>38</v>
      </c>
      <c r="C10" s="15" t="s">
        <v>53</v>
      </c>
      <c r="D10" s="15">
        <v>4.5999999999999999E-2</v>
      </c>
    </row>
    <row r="11" spans="1:4" x14ac:dyDescent="0.25">
      <c r="A11" s="15" t="s">
        <v>50</v>
      </c>
      <c r="B11" s="15" t="s">
        <v>38</v>
      </c>
      <c r="C11" s="15" t="s">
        <v>54</v>
      </c>
      <c r="D11" s="15">
        <v>9.1899999999999996E-2</v>
      </c>
    </row>
    <row r="12" spans="1:4" x14ac:dyDescent="0.25">
      <c r="A12" s="15" t="s">
        <v>50</v>
      </c>
      <c r="B12" s="15" t="s">
        <v>39</v>
      </c>
      <c r="C12" s="15" t="s">
        <v>51</v>
      </c>
      <c r="D12" s="15">
        <v>2.3E-3</v>
      </c>
    </row>
    <row r="13" spans="1:4" x14ac:dyDescent="0.25">
      <c r="A13" s="15" t="s">
        <v>50</v>
      </c>
      <c r="B13" s="15" t="s">
        <v>39</v>
      </c>
      <c r="C13" s="15" t="s">
        <v>28</v>
      </c>
      <c r="D13" s="15">
        <v>4.5999999999999999E-2</v>
      </c>
    </row>
    <row r="14" spans="1:4" x14ac:dyDescent="0.25">
      <c r="A14" s="15" t="s">
        <v>50</v>
      </c>
      <c r="B14" s="15" t="s">
        <v>39</v>
      </c>
      <c r="C14" s="15" t="s">
        <v>52</v>
      </c>
      <c r="D14" s="15">
        <v>4.5999999999999999E-2</v>
      </c>
    </row>
    <row r="15" spans="1:4" x14ac:dyDescent="0.25">
      <c r="A15" s="15" t="s">
        <v>50</v>
      </c>
      <c r="B15" s="15" t="s">
        <v>39</v>
      </c>
      <c r="C15" s="15" t="s">
        <v>53</v>
      </c>
      <c r="D15" s="15">
        <v>9.1899999999999996E-2</v>
      </c>
    </row>
    <row r="16" spans="1:4" x14ac:dyDescent="0.25">
      <c r="A16" s="15" t="s">
        <v>50</v>
      </c>
      <c r="B16" s="15" t="s">
        <v>39</v>
      </c>
      <c r="C16" s="15" t="s">
        <v>54</v>
      </c>
      <c r="D16" s="15">
        <v>0.18390000000000001</v>
      </c>
    </row>
    <row r="17" spans="1:4" x14ac:dyDescent="0.25">
      <c r="A17" s="15" t="s">
        <v>43</v>
      </c>
      <c r="B17" s="15" t="s">
        <v>55</v>
      </c>
      <c r="C17" s="15" t="s">
        <v>56</v>
      </c>
      <c r="D17" s="15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opLeftCell="M1" workbookViewId="0">
      <selection activeCell="R5" sqref="R5"/>
    </sheetView>
  </sheetViews>
  <sheetFormatPr defaultColWidth="8.85546875" defaultRowHeight="15" x14ac:dyDescent="0.25"/>
  <cols>
    <col min="1" max="2" width="8.85546875" style="1"/>
    <col min="3" max="3" width="20.140625" style="1" bestFit="1" customWidth="1"/>
    <col min="4" max="4" width="25.7109375" style="1" customWidth="1"/>
    <col min="5" max="5" width="30.42578125" style="1" bestFit="1" customWidth="1"/>
    <col min="6" max="9" width="30.42578125" style="1" customWidth="1"/>
    <col min="10" max="10" width="26" style="1" bestFit="1" customWidth="1"/>
    <col min="11" max="11" width="27.42578125" style="1" bestFit="1" customWidth="1"/>
    <col min="12" max="12" width="31.85546875" style="1" bestFit="1" customWidth="1"/>
    <col min="13" max="13" width="27.28515625" style="1" bestFit="1" customWidth="1"/>
    <col min="14" max="14" width="28.7109375" style="1" bestFit="1" customWidth="1"/>
    <col min="15" max="15" width="29.85546875" style="1" bestFit="1" customWidth="1"/>
    <col min="16" max="16" width="25.7109375" style="1" bestFit="1" customWidth="1"/>
    <col min="17" max="17" width="28.28515625" style="1" bestFit="1" customWidth="1"/>
    <col min="18" max="18" width="26.140625" style="1" bestFit="1" customWidth="1"/>
    <col min="19" max="19" width="20" style="1" bestFit="1" customWidth="1"/>
    <col min="20" max="20" width="15.28515625" style="1" bestFit="1" customWidth="1"/>
    <col min="21" max="21" width="34.42578125" style="1" bestFit="1" customWidth="1"/>
    <col min="22" max="22" width="30.7109375" style="1" bestFit="1" customWidth="1"/>
    <col min="23" max="16384" width="8.85546875" style="1"/>
  </cols>
  <sheetData>
    <row r="1" spans="1:22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>
        <v>1</v>
      </c>
      <c r="B2" s="6">
        <v>45474</v>
      </c>
      <c r="C2" s="5">
        <f>ROUND(IFERROR((2^(A2/params!$B$2))+demandForecast!C1,1),0)</f>
        <v>1</v>
      </c>
      <c r="D2" s="5">
        <f>IFERROR((C2*params!$B$3),10)</f>
        <v>40</v>
      </c>
      <c r="E2" s="5">
        <f>D2*params!$B$22</f>
        <v>1440</v>
      </c>
      <c r="F2" s="5">
        <f>((E2*params!$B$20)/1000)</f>
        <v>4824</v>
      </c>
      <c r="G2" s="5">
        <f>((E2*params!$B$21)/1000)</f>
        <v>964.8</v>
      </c>
      <c r="H2" s="5">
        <f>F2*params!$B$11*params!$B$12</f>
        <v>771840</v>
      </c>
      <c r="I2" s="5">
        <f>G2*params!$B$11*params!$B$12</f>
        <v>154368</v>
      </c>
      <c r="J2" s="7">
        <f>F2*params!$B$18</f>
        <v>73.807199999999995</v>
      </c>
      <c r="K2" s="7">
        <f>G2*params!$B$19</f>
        <v>44.380800000000001</v>
      </c>
      <c r="L2" s="8">
        <f>E2*params!$B$11*params!$B$12</f>
        <v>230400</v>
      </c>
      <c r="M2" s="7">
        <f>J2*params!$B$11*params!$B$12</f>
        <v>11809.151999999998</v>
      </c>
      <c r="N2" s="7">
        <f>K2*params!$B$11*params!$B$12</f>
        <v>7100.9279999999999</v>
      </c>
      <c r="O2" s="8">
        <f>((L2-1000)/1000)*prices!$D$17</f>
        <v>350.98200000000003</v>
      </c>
      <c r="P2" s="5">
        <f>params!$B$16</f>
        <v>1984.25</v>
      </c>
      <c r="Q2" s="8">
        <f>O2+P2</f>
        <v>2335.232</v>
      </c>
      <c r="R2" s="7">
        <f>M2+N2</f>
        <v>18910.079999999998</v>
      </c>
      <c r="S2" s="8">
        <f>Q2+R2</f>
        <v>21245.311999999998</v>
      </c>
      <c r="T2" s="8">
        <f>S2</f>
        <v>21245.311999999998</v>
      </c>
      <c r="U2" s="9">
        <f>S2*(1-params!$B$4)</f>
        <v>16996.249599999999</v>
      </c>
      <c r="V2" s="9">
        <f>U2</f>
        <v>16996.249599999999</v>
      </c>
    </row>
    <row r="3" spans="1:22" x14ac:dyDescent="0.25">
      <c r="A3" s="5">
        <v>2</v>
      </c>
      <c r="B3" s="6">
        <v>45505</v>
      </c>
      <c r="C3" s="5">
        <f>ROUND(IFERROR((2^(A3/params!$B$2))+demandForecast!C2,1),0)</f>
        <v>2</v>
      </c>
      <c r="D3" s="5">
        <f>IFERROR((C3*params!$B$3),10)</f>
        <v>80</v>
      </c>
      <c r="E3" s="5">
        <f>D3*params!$B$22</f>
        <v>2880</v>
      </c>
      <c r="F3" s="5">
        <f>((E3*params!$B$20)/1000)</f>
        <v>9648</v>
      </c>
      <c r="G3" s="5">
        <f>((E3*params!$B$21)/1000)</f>
        <v>1929.6</v>
      </c>
      <c r="H3" s="5">
        <f>F3*params!$B$11*params!$B$12</f>
        <v>1543680</v>
      </c>
      <c r="I3" s="5">
        <f>G3*params!$B$11*params!$B$12</f>
        <v>308736</v>
      </c>
      <c r="J3" s="7">
        <f>((E3*params!$B$20)/1000)*params!$B$18</f>
        <v>147.61439999999999</v>
      </c>
      <c r="K3" s="7">
        <f>((E3*params!$B$21)/1000)*params!$B$19</f>
        <v>88.761600000000001</v>
      </c>
      <c r="L3" s="8">
        <f>E3*params!$B$11*params!$B$12</f>
        <v>460800</v>
      </c>
      <c r="M3" s="7">
        <f>J3*params!$B$11*params!$B$12</f>
        <v>23618.303999999996</v>
      </c>
      <c r="N3" s="7">
        <f>K3*params!$B$11*params!$B$12</f>
        <v>14201.856</v>
      </c>
      <c r="O3" s="8">
        <f>((L3-1000)/1000)*prices!$D$17</f>
        <v>703.49400000000003</v>
      </c>
      <c r="P3" s="5">
        <f>params!$B$16</f>
        <v>1984.25</v>
      </c>
      <c r="Q3" s="8">
        <f t="shared" ref="Q3:Q49" si="0">O3+P3</f>
        <v>2687.7440000000001</v>
      </c>
      <c r="R3" s="7">
        <f t="shared" ref="R3:R49" si="1">M3+N3</f>
        <v>37820.159999999996</v>
      </c>
      <c r="S3" s="8">
        <f t="shared" ref="S3:S49" si="2">Q3+R3</f>
        <v>40507.903999999995</v>
      </c>
      <c r="T3" s="8">
        <f>T2+S3</f>
        <v>61753.215999999993</v>
      </c>
      <c r="U3" s="9">
        <f>S3*(1-params!$B$4)</f>
        <v>32406.323199999999</v>
      </c>
      <c r="V3" s="9">
        <f>U3+V2</f>
        <v>49402.572799999994</v>
      </c>
    </row>
    <row r="4" spans="1:22" x14ac:dyDescent="0.25">
      <c r="A4" s="5">
        <v>3</v>
      </c>
      <c r="B4" s="6">
        <v>45536</v>
      </c>
      <c r="C4" s="5">
        <f>ROUND(IFERROR((2^(A4/params!$B$2))+demandForecast!C3,1),0)</f>
        <v>3</v>
      </c>
      <c r="D4" s="5">
        <f>IFERROR((C4*params!$B$3),10)</f>
        <v>120</v>
      </c>
      <c r="E4" s="5">
        <f>D4*params!$B$22</f>
        <v>4320</v>
      </c>
      <c r="F4" s="5">
        <f>((E4*params!$B$20)/1000)</f>
        <v>14472</v>
      </c>
      <c r="G4" s="5">
        <f>((E4*params!$B$21)/1000)</f>
        <v>2894.4</v>
      </c>
      <c r="H4" s="5">
        <f>F4*params!$B$11*params!$B$12</f>
        <v>2315520</v>
      </c>
      <c r="I4" s="5">
        <f>G4*params!$B$11*params!$B$12</f>
        <v>463104</v>
      </c>
      <c r="J4" s="7">
        <f>((E4*params!$B$20)/1000)*params!$B$18</f>
        <v>221.42159999999998</v>
      </c>
      <c r="K4" s="7">
        <f>((E4*params!$B$21)/1000)*params!$B$19</f>
        <v>133.14240000000001</v>
      </c>
      <c r="L4" s="8">
        <f>E4*params!$B$11*params!$B$12</f>
        <v>691200</v>
      </c>
      <c r="M4" s="7">
        <f>J4*params!$B$11*params!$B$12</f>
        <v>35427.455999999998</v>
      </c>
      <c r="N4" s="7">
        <f>K4*params!$B$11*params!$B$12</f>
        <v>21302.784</v>
      </c>
      <c r="O4" s="8">
        <f>((L4-1000)/1000)*prices!$D$17</f>
        <v>1056.0060000000001</v>
      </c>
      <c r="P4" s="5">
        <f>params!$B$16</f>
        <v>1984.25</v>
      </c>
      <c r="Q4" s="8">
        <f t="shared" si="0"/>
        <v>3040.2560000000003</v>
      </c>
      <c r="R4" s="7">
        <f t="shared" si="1"/>
        <v>56730.239999999998</v>
      </c>
      <c r="S4" s="8">
        <f t="shared" si="2"/>
        <v>59770.495999999999</v>
      </c>
      <c r="T4" s="8">
        <f t="shared" ref="T4:T49" si="3">T3+S4</f>
        <v>121523.712</v>
      </c>
      <c r="U4" s="9">
        <f>S4*(1-params!$B$4)</f>
        <v>47816.396800000002</v>
      </c>
      <c r="V4" s="9">
        <f t="shared" ref="V4:V49" si="4">U4+V3</f>
        <v>97218.969599999997</v>
      </c>
    </row>
    <row r="5" spans="1:22" x14ac:dyDescent="0.25">
      <c r="A5" s="5">
        <v>4</v>
      </c>
      <c r="B5" s="6">
        <v>45566</v>
      </c>
      <c r="C5" s="5">
        <f>ROUND(IFERROR((2^(A5/params!$B$2))+demandForecast!C4,1),0)</f>
        <v>4</v>
      </c>
      <c r="D5" s="5">
        <f>IFERROR((C5*params!$B$3),10)</f>
        <v>160</v>
      </c>
      <c r="E5" s="5">
        <f>D5*params!$B$22</f>
        <v>5760</v>
      </c>
      <c r="F5" s="5">
        <f>((E5*params!$B$20)/1000)</f>
        <v>19296</v>
      </c>
      <c r="G5" s="5">
        <f>((E5*params!$B$21)/1000)</f>
        <v>3859.2</v>
      </c>
      <c r="H5" s="5">
        <f>F5*params!$B$11*params!$B$12</f>
        <v>3087360</v>
      </c>
      <c r="I5" s="5">
        <f>G5*params!$B$11*params!$B$12</f>
        <v>617472</v>
      </c>
      <c r="J5" s="7">
        <f>((E5*params!$B$20)/1000)*params!$B$18</f>
        <v>295.22879999999998</v>
      </c>
      <c r="K5" s="7">
        <f>((E5*params!$B$21)/1000)*params!$B$19</f>
        <v>177.5232</v>
      </c>
      <c r="L5" s="8">
        <f>E5*params!$B$11*params!$B$12</f>
        <v>921600</v>
      </c>
      <c r="M5" s="7">
        <f>J5*params!$B$11*params!$B$12</f>
        <v>47236.607999999993</v>
      </c>
      <c r="N5" s="7">
        <f>K5*params!$B$11*params!$B$12</f>
        <v>28403.712</v>
      </c>
      <c r="O5" s="8">
        <f>((L5-1000)/1000)*prices!$D$17</f>
        <v>1408.518</v>
      </c>
      <c r="P5" s="5">
        <f>params!$B$16</f>
        <v>1984.25</v>
      </c>
      <c r="Q5" s="8">
        <f t="shared" si="0"/>
        <v>3392.768</v>
      </c>
      <c r="R5" s="7">
        <f t="shared" si="1"/>
        <v>75640.319999999992</v>
      </c>
      <c r="S5" s="8">
        <f t="shared" si="2"/>
        <v>79033.087999999989</v>
      </c>
      <c r="T5" s="8">
        <f t="shared" si="3"/>
        <v>200556.79999999999</v>
      </c>
      <c r="U5" s="9">
        <f>S5*(1-params!$B$4)</f>
        <v>63226.470399999991</v>
      </c>
      <c r="V5" s="9">
        <f t="shared" si="4"/>
        <v>160445.44</v>
      </c>
    </row>
    <row r="6" spans="1:22" x14ac:dyDescent="0.25">
      <c r="A6" s="5">
        <v>5</v>
      </c>
      <c r="B6" s="6">
        <v>45597</v>
      </c>
      <c r="C6" s="5">
        <f>ROUND(IFERROR((2^(A6/params!$B$2))+demandForecast!C5,1),0)</f>
        <v>6</v>
      </c>
      <c r="D6" s="5">
        <f>IFERROR((C6*params!$B$3),10)</f>
        <v>240</v>
      </c>
      <c r="E6" s="5">
        <f>D6*params!$B$22</f>
        <v>8640</v>
      </c>
      <c r="F6" s="5">
        <f>((E6*params!$B$20)/1000)</f>
        <v>28944</v>
      </c>
      <c r="G6" s="5">
        <f>((E6*params!$B$21)/1000)</f>
        <v>5788.8</v>
      </c>
      <c r="H6" s="5">
        <f>F6*params!$B$11*params!$B$12</f>
        <v>4631040</v>
      </c>
      <c r="I6" s="5">
        <f>G6*params!$B$11*params!$B$12</f>
        <v>926208</v>
      </c>
      <c r="J6" s="7">
        <f>((E6*params!$B$20)/1000)*params!$B$18</f>
        <v>442.84319999999997</v>
      </c>
      <c r="K6" s="7">
        <f>((E6*params!$B$21)/1000)*params!$B$19</f>
        <v>266.28480000000002</v>
      </c>
      <c r="L6" s="8">
        <f>E6*params!$B$11*params!$B$12</f>
        <v>1382400</v>
      </c>
      <c r="M6" s="7">
        <f>J6*params!$B$11*params!$B$12</f>
        <v>70854.911999999997</v>
      </c>
      <c r="N6" s="7">
        <f>K6*params!$B$11*params!$B$12</f>
        <v>42605.567999999999</v>
      </c>
      <c r="O6" s="8">
        <f>((L6-1000)/1000)*prices!$D$17</f>
        <v>2113.5420000000004</v>
      </c>
      <c r="P6" s="5">
        <f>params!$B$16</f>
        <v>1984.25</v>
      </c>
      <c r="Q6" s="8">
        <f t="shared" si="0"/>
        <v>4097.7920000000004</v>
      </c>
      <c r="R6" s="7">
        <f t="shared" si="1"/>
        <v>113460.48</v>
      </c>
      <c r="S6" s="8">
        <f t="shared" si="2"/>
        <v>117558.272</v>
      </c>
      <c r="T6" s="8">
        <f t="shared" si="3"/>
        <v>318115.07199999999</v>
      </c>
      <c r="U6" s="9">
        <f>S6*(1-params!$B$4)</f>
        <v>94046.617599999998</v>
      </c>
      <c r="V6" s="9">
        <f t="shared" si="4"/>
        <v>254492.0576</v>
      </c>
    </row>
    <row r="7" spans="1:22" x14ac:dyDescent="0.25">
      <c r="A7" s="5">
        <v>6</v>
      </c>
      <c r="B7" s="6">
        <v>45627</v>
      </c>
      <c r="C7" s="5">
        <f>ROUND(IFERROR((2^(A7/params!$B$2))+demandForecast!C6,1),0)</f>
        <v>8</v>
      </c>
      <c r="D7" s="5">
        <f>IFERROR((C7*params!$B$3),10)</f>
        <v>320</v>
      </c>
      <c r="E7" s="5">
        <f>D7*params!$B$22</f>
        <v>11520</v>
      </c>
      <c r="F7" s="5">
        <f>((E7*params!$B$20)/1000)</f>
        <v>38592</v>
      </c>
      <c r="G7" s="5">
        <f>((E7*params!$B$21)/1000)</f>
        <v>7718.4</v>
      </c>
      <c r="H7" s="5">
        <f>F7*params!$B$11*params!$B$12</f>
        <v>6174720</v>
      </c>
      <c r="I7" s="5">
        <f>G7*params!$B$11*params!$B$12</f>
        <v>1234944</v>
      </c>
      <c r="J7" s="7">
        <f>((E7*params!$B$20)/1000)*params!$B$18</f>
        <v>590.45759999999996</v>
      </c>
      <c r="K7" s="7">
        <f>((E7*params!$B$21)/1000)*params!$B$19</f>
        <v>355.04640000000001</v>
      </c>
      <c r="L7" s="8">
        <f>E7*params!$B$11*params!$B$12</f>
        <v>1843200</v>
      </c>
      <c r="M7" s="7">
        <f>J7*params!$B$11*params!$B$12</f>
        <v>94473.215999999986</v>
      </c>
      <c r="N7" s="7">
        <f>K7*params!$B$11*params!$B$12</f>
        <v>56807.423999999999</v>
      </c>
      <c r="O7" s="8">
        <f>((L7-1000)/1000)*prices!$D$17</f>
        <v>2818.5660000000003</v>
      </c>
      <c r="P7" s="5">
        <f>params!$B$16</f>
        <v>1984.25</v>
      </c>
      <c r="Q7" s="8">
        <f t="shared" si="0"/>
        <v>4802.8160000000007</v>
      </c>
      <c r="R7" s="7">
        <f t="shared" si="1"/>
        <v>151280.63999999998</v>
      </c>
      <c r="S7" s="8">
        <f t="shared" si="2"/>
        <v>156083.45599999998</v>
      </c>
      <c r="T7" s="8">
        <f t="shared" si="3"/>
        <v>474198.52799999993</v>
      </c>
      <c r="U7" s="9">
        <f>S7*(1-params!$B$4)</f>
        <v>124866.76479999999</v>
      </c>
      <c r="V7" s="9">
        <f t="shared" si="4"/>
        <v>379358.8224</v>
      </c>
    </row>
    <row r="8" spans="1:22" x14ac:dyDescent="0.25">
      <c r="A8" s="5">
        <v>7</v>
      </c>
      <c r="B8" s="6">
        <v>45658</v>
      </c>
      <c r="C8" s="5">
        <f>ROUND(IFERROR((2^(A8/params!$B$2))+demandForecast!C7,1),0)</f>
        <v>10</v>
      </c>
      <c r="D8" s="5">
        <f>IFERROR((C8*params!$B$3),10)</f>
        <v>400</v>
      </c>
      <c r="E8" s="5">
        <f>D8*params!$B$22</f>
        <v>14400</v>
      </c>
      <c r="F8" s="5">
        <f>((E8*params!$B$20)/1000)</f>
        <v>48240</v>
      </c>
      <c r="G8" s="5">
        <f>((E8*params!$B$21)/1000)</f>
        <v>9648</v>
      </c>
      <c r="H8" s="5">
        <f>F8*params!$B$11*params!$B$12</f>
        <v>7718400</v>
      </c>
      <c r="I8" s="5">
        <f>G8*params!$B$11*params!$B$12</f>
        <v>1543680</v>
      </c>
      <c r="J8" s="7">
        <f>((E8*params!$B$20)/1000)*params!$B$18</f>
        <v>738.072</v>
      </c>
      <c r="K8" s="7">
        <f>((E8*params!$B$21)/1000)*params!$B$19</f>
        <v>443.80799999999999</v>
      </c>
      <c r="L8" s="8">
        <f>E8*params!$B$11*params!$B$12</f>
        <v>2304000</v>
      </c>
      <c r="M8" s="7">
        <f>J8*params!$B$11*params!$B$12</f>
        <v>118091.52</v>
      </c>
      <c r="N8" s="7">
        <f>K8*params!$B$11*params!$B$12</f>
        <v>71009.279999999999</v>
      </c>
      <c r="O8" s="8">
        <f>((L8-1000)/1000)*prices!$D$17</f>
        <v>3523.59</v>
      </c>
      <c r="P8" s="5">
        <f>params!$B$16</f>
        <v>1984.25</v>
      </c>
      <c r="Q8" s="8">
        <f t="shared" si="0"/>
        <v>5507.84</v>
      </c>
      <c r="R8" s="7">
        <f t="shared" si="1"/>
        <v>189100.79999999999</v>
      </c>
      <c r="S8" s="8">
        <f t="shared" si="2"/>
        <v>194608.63999999998</v>
      </c>
      <c r="T8" s="8">
        <f t="shared" si="3"/>
        <v>668807.16799999995</v>
      </c>
      <c r="U8" s="9">
        <f>S8*(1-params!$B$4)</f>
        <v>155686.91199999998</v>
      </c>
      <c r="V8" s="9">
        <f t="shared" si="4"/>
        <v>535045.73439999996</v>
      </c>
    </row>
    <row r="9" spans="1:22" x14ac:dyDescent="0.25">
      <c r="A9" s="5">
        <v>8</v>
      </c>
      <c r="B9" s="6">
        <v>45689</v>
      </c>
      <c r="C9" s="5">
        <f>ROUND(IFERROR((2^(A9/params!$B$2))+demandForecast!C8,1),0)</f>
        <v>12</v>
      </c>
      <c r="D9" s="5">
        <f>IFERROR((C9*params!$B$3),10)</f>
        <v>480</v>
      </c>
      <c r="E9" s="5">
        <f>D9*params!$B$22</f>
        <v>17280</v>
      </c>
      <c r="F9" s="5">
        <f>((E9*params!$B$20)/1000)</f>
        <v>57888</v>
      </c>
      <c r="G9" s="5">
        <f>((E9*params!$B$21)/1000)</f>
        <v>11577.6</v>
      </c>
      <c r="H9" s="5">
        <f>F9*params!$B$11*params!$B$12</f>
        <v>9262080</v>
      </c>
      <c r="I9" s="5">
        <f>G9*params!$B$11*params!$B$12</f>
        <v>1852416</v>
      </c>
      <c r="J9" s="7">
        <f>((E9*params!$B$20)/1000)*params!$B$18</f>
        <v>885.68639999999994</v>
      </c>
      <c r="K9" s="7">
        <f>((E9*params!$B$21)/1000)*params!$B$19</f>
        <v>532.56960000000004</v>
      </c>
      <c r="L9" s="8">
        <f>E9*params!$B$11*params!$B$12</f>
        <v>2764800</v>
      </c>
      <c r="M9" s="7">
        <f>J9*params!$B$11*params!$B$12</f>
        <v>141709.82399999999</v>
      </c>
      <c r="N9" s="7">
        <f>K9*params!$B$11*params!$B$12</f>
        <v>85211.135999999999</v>
      </c>
      <c r="O9" s="8">
        <f>((L9-1000)/1000)*prices!$D$17</f>
        <v>4228.6140000000005</v>
      </c>
      <c r="P9" s="5">
        <f>params!$B$16</f>
        <v>1984.25</v>
      </c>
      <c r="Q9" s="8">
        <f t="shared" si="0"/>
        <v>6212.8640000000005</v>
      </c>
      <c r="R9" s="7">
        <f t="shared" si="1"/>
        <v>226920.95999999999</v>
      </c>
      <c r="S9" s="8">
        <f t="shared" si="2"/>
        <v>233133.82399999999</v>
      </c>
      <c r="T9" s="8">
        <f t="shared" si="3"/>
        <v>901940.99199999997</v>
      </c>
      <c r="U9" s="9">
        <f>S9*(1-params!$B$4)</f>
        <v>186507.05920000002</v>
      </c>
      <c r="V9" s="9">
        <f t="shared" si="4"/>
        <v>721552.79359999998</v>
      </c>
    </row>
    <row r="10" spans="1:22" x14ac:dyDescent="0.25">
      <c r="A10" s="5">
        <v>9</v>
      </c>
      <c r="B10" s="6">
        <v>45717</v>
      </c>
      <c r="C10" s="5">
        <f>ROUND(IFERROR((2^(A10/params!$B$2))+demandForecast!C9,1),0)</f>
        <v>14</v>
      </c>
      <c r="D10" s="5">
        <f>IFERROR((C10*params!$B$3),10)</f>
        <v>560</v>
      </c>
      <c r="E10" s="5">
        <f>D10*params!$B$22</f>
        <v>20160</v>
      </c>
      <c r="F10" s="5">
        <f>((E10*params!$B$20)/1000)</f>
        <v>67536</v>
      </c>
      <c r="G10" s="5">
        <f>((E10*params!$B$21)/1000)</f>
        <v>13507.2</v>
      </c>
      <c r="H10" s="5">
        <f>F10*params!$B$11*params!$B$12</f>
        <v>10805760</v>
      </c>
      <c r="I10" s="5">
        <f>G10*params!$B$11*params!$B$12</f>
        <v>2161152</v>
      </c>
      <c r="J10" s="7">
        <f>((E10*params!$B$20)/1000)*params!$B$18</f>
        <v>1033.3008</v>
      </c>
      <c r="K10" s="7">
        <f>((E10*params!$B$21)/1000)*params!$B$19</f>
        <v>621.33119999999997</v>
      </c>
      <c r="L10" s="8">
        <f>E10*params!$B$11*params!$B$12</f>
        <v>3225600</v>
      </c>
      <c r="M10" s="7">
        <f>J10*params!$B$11*params!$B$12</f>
        <v>165328.128</v>
      </c>
      <c r="N10" s="7">
        <f>K10*params!$B$11*params!$B$12</f>
        <v>99412.991999999998</v>
      </c>
      <c r="O10" s="8">
        <f>((L10-1000)/1000)*prices!$D$17</f>
        <v>4933.6379999999999</v>
      </c>
      <c r="P10" s="5">
        <f>params!$B$16</f>
        <v>1984.25</v>
      </c>
      <c r="Q10" s="8">
        <f t="shared" si="0"/>
        <v>6917.8879999999999</v>
      </c>
      <c r="R10" s="7">
        <f t="shared" si="1"/>
        <v>264741.12</v>
      </c>
      <c r="S10" s="8">
        <f t="shared" si="2"/>
        <v>271659.00799999997</v>
      </c>
      <c r="T10" s="8">
        <f t="shared" si="3"/>
        <v>1173600</v>
      </c>
      <c r="U10" s="9">
        <f>S10*(1-params!$B$4)</f>
        <v>217327.2064</v>
      </c>
      <c r="V10" s="9">
        <f t="shared" si="4"/>
        <v>938880</v>
      </c>
    </row>
    <row r="11" spans="1:22" x14ac:dyDescent="0.25">
      <c r="A11" s="5">
        <v>10</v>
      </c>
      <c r="B11" s="6">
        <v>45748</v>
      </c>
      <c r="C11" s="5">
        <f>ROUND(IFERROR((2^(A11/params!$B$2))+demandForecast!C10,1),0)</f>
        <v>16</v>
      </c>
      <c r="D11" s="5">
        <f>IFERROR((C11*params!$B$3),10)</f>
        <v>640</v>
      </c>
      <c r="E11" s="5">
        <f>D11*params!$B$22</f>
        <v>23040</v>
      </c>
      <c r="F11" s="5">
        <f>((E11*params!$B$20)/1000)</f>
        <v>77184</v>
      </c>
      <c r="G11" s="5">
        <f>((E11*params!$B$21)/1000)</f>
        <v>15436.8</v>
      </c>
      <c r="H11" s="5">
        <f>F11*params!$B$11*params!$B$12</f>
        <v>12349440</v>
      </c>
      <c r="I11" s="5">
        <f>G11*params!$B$11*params!$B$12</f>
        <v>2469888</v>
      </c>
      <c r="J11" s="7">
        <f>((E11*params!$B$20)/1000)*params!$B$18</f>
        <v>1180.9151999999999</v>
      </c>
      <c r="K11" s="7">
        <f>((E11*params!$B$21)/1000)*params!$B$19</f>
        <v>710.09280000000001</v>
      </c>
      <c r="L11" s="8">
        <f>E11*params!$B$11*params!$B$12</f>
        <v>3686400</v>
      </c>
      <c r="M11" s="7">
        <f>J11*params!$B$11*params!$B$12</f>
        <v>188946.43199999997</v>
      </c>
      <c r="N11" s="7">
        <f>K11*params!$B$11*params!$B$12</f>
        <v>113614.848</v>
      </c>
      <c r="O11" s="8">
        <f>((L11-1000)/1000)*prices!$D$17</f>
        <v>5638.6620000000003</v>
      </c>
      <c r="P11" s="5">
        <f>params!$B$16</f>
        <v>1984.25</v>
      </c>
      <c r="Q11" s="8">
        <f t="shared" si="0"/>
        <v>7622.9120000000003</v>
      </c>
      <c r="R11" s="7">
        <f t="shared" si="1"/>
        <v>302561.27999999997</v>
      </c>
      <c r="S11" s="8">
        <f t="shared" si="2"/>
        <v>310184.19199999998</v>
      </c>
      <c r="T11" s="8">
        <f t="shared" si="3"/>
        <v>1483784.192</v>
      </c>
      <c r="U11" s="9">
        <f>S11*(1-params!$B$4)</f>
        <v>248147.3536</v>
      </c>
      <c r="V11" s="9">
        <f t="shared" si="4"/>
        <v>1187027.3536</v>
      </c>
    </row>
    <row r="12" spans="1:22" x14ac:dyDescent="0.25">
      <c r="A12" s="5">
        <v>11</v>
      </c>
      <c r="B12" s="6">
        <v>45778</v>
      </c>
      <c r="C12" s="5">
        <f>ROUND(IFERROR((2^(A12/params!$B$2))+demandForecast!C11,1),0)</f>
        <v>19</v>
      </c>
      <c r="D12" s="5">
        <f>IFERROR((C12*params!$B$3),10)</f>
        <v>760</v>
      </c>
      <c r="E12" s="5">
        <f>D12*params!$B$22</f>
        <v>27360</v>
      </c>
      <c r="F12" s="5">
        <f>((E12*params!$B$20)/1000)</f>
        <v>91656</v>
      </c>
      <c r="G12" s="5">
        <f>((E12*params!$B$21)/1000)</f>
        <v>18331.2</v>
      </c>
      <c r="H12" s="5">
        <f>F12*params!$B$11*params!$B$12</f>
        <v>14664960</v>
      </c>
      <c r="I12" s="5">
        <f>G12*params!$B$11*params!$B$12</f>
        <v>2932992</v>
      </c>
      <c r="J12" s="7">
        <f>((E12*params!$B$20)/1000)*params!$B$18</f>
        <v>1402.3368</v>
      </c>
      <c r="K12" s="7">
        <f>((E12*params!$B$21)/1000)*params!$B$19</f>
        <v>843.23519999999996</v>
      </c>
      <c r="L12" s="8">
        <f>E12*params!$B$11*params!$B$12</f>
        <v>4377600</v>
      </c>
      <c r="M12" s="7">
        <f>J12*params!$B$11*params!$B$12</f>
        <v>224373.88800000001</v>
      </c>
      <c r="N12" s="7">
        <f>K12*params!$B$11*params!$B$12</f>
        <v>134917.63199999998</v>
      </c>
      <c r="O12" s="8">
        <f>((L12-1000)/1000)*prices!$D$17</f>
        <v>6696.1980000000003</v>
      </c>
      <c r="P12" s="5">
        <f>params!$B$16</f>
        <v>1984.25</v>
      </c>
      <c r="Q12" s="8">
        <f t="shared" si="0"/>
        <v>8680.4480000000003</v>
      </c>
      <c r="R12" s="7">
        <f t="shared" si="1"/>
        <v>359291.52</v>
      </c>
      <c r="S12" s="8">
        <f t="shared" si="2"/>
        <v>367971.96799999999</v>
      </c>
      <c r="T12" s="8">
        <f t="shared" si="3"/>
        <v>1851756.1600000001</v>
      </c>
      <c r="U12" s="9">
        <f>S12*(1-params!$B$4)</f>
        <v>294377.57439999998</v>
      </c>
      <c r="V12" s="9">
        <f t="shared" si="4"/>
        <v>1481404.9280000001</v>
      </c>
    </row>
    <row r="13" spans="1:22" x14ac:dyDescent="0.25">
      <c r="A13" s="5">
        <v>12</v>
      </c>
      <c r="B13" s="6">
        <v>45809</v>
      </c>
      <c r="C13" s="5">
        <f>ROUND(IFERROR((2^(A13/params!$B$2))+demandForecast!C12,1),0)</f>
        <v>22</v>
      </c>
      <c r="D13" s="5">
        <f>IFERROR((C13*params!$B$3),10)</f>
        <v>880</v>
      </c>
      <c r="E13" s="5">
        <f>D13*params!$B$22</f>
        <v>31680</v>
      </c>
      <c r="F13" s="5">
        <f>((E13*params!$B$20)/1000)</f>
        <v>106128</v>
      </c>
      <c r="G13" s="5">
        <f>((E13*params!$B$21)/1000)</f>
        <v>21225.599999999999</v>
      </c>
      <c r="H13" s="5">
        <f>F13*params!$B$11*params!$B$12</f>
        <v>16980480</v>
      </c>
      <c r="I13" s="5">
        <f>G13*params!$B$11*params!$B$12</f>
        <v>3396096</v>
      </c>
      <c r="J13" s="7">
        <f>((E13*params!$B$20)/1000)*params!$B$18</f>
        <v>1623.7583999999999</v>
      </c>
      <c r="K13" s="7">
        <f>((E13*params!$B$21)/1000)*params!$B$19</f>
        <v>976.37759999999992</v>
      </c>
      <c r="L13" s="8">
        <f>E13*params!$B$11*params!$B$12</f>
        <v>5068800</v>
      </c>
      <c r="M13" s="7">
        <f>J13*params!$B$11*params!$B$12</f>
        <v>259801.34399999998</v>
      </c>
      <c r="N13" s="7">
        <f>K13*params!$B$11*params!$B$12</f>
        <v>156220.416</v>
      </c>
      <c r="O13" s="8">
        <f>((L13-1000)/1000)*prices!$D$17</f>
        <v>7753.7340000000004</v>
      </c>
      <c r="P13" s="5">
        <f>params!$B$16</f>
        <v>1984.25</v>
      </c>
      <c r="Q13" s="8">
        <f t="shared" si="0"/>
        <v>9737.9840000000004</v>
      </c>
      <c r="R13" s="7">
        <f t="shared" si="1"/>
        <v>416021.76000000001</v>
      </c>
      <c r="S13" s="8">
        <f t="shared" si="2"/>
        <v>425759.74400000001</v>
      </c>
      <c r="T13" s="8">
        <f t="shared" si="3"/>
        <v>2277515.9040000001</v>
      </c>
      <c r="U13" s="9">
        <f>S13*(1-params!$B$4)</f>
        <v>340607.79520000005</v>
      </c>
      <c r="V13" s="9">
        <f t="shared" si="4"/>
        <v>1822012.7232000001</v>
      </c>
    </row>
    <row r="14" spans="1:22" x14ac:dyDescent="0.25">
      <c r="A14" s="5">
        <v>13</v>
      </c>
      <c r="B14" s="6">
        <v>45839</v>
      </c>
      <c r="C14" s="5">
        <f>ROUND(IFERROR((2^(A14/params!$B$2))+demandForecast!C13,1),0)</f>
        <v>25</v>
      </c>
      <c r="D14" s="5">
        <f>IFERROR((C14*params!$B$3),10)</f>
        <v>1000</v>
      </c>
      <c r="E14" s="5">
        <f>D14*params!$B$22</f>
        <v>36000</v>
      </c>
      <c r="F14" s="5">
        <f>((E14*params!$B$20)/1000)</f>
        <v>120600</v>
      </c>
      <c r="G14" s="5">
        <f>((E14*params!$B$21)/1000)</f>
        <v>24120</v>
      </c>
      <c r="H14" s="5">
        <f>F14*params!$B$11*params!$B$12</f>
        <v>19296000</v>
      </c>
      <c r="I14" s="5">
        <f>G14*params!$B$11*params!$B$12</f>
        <v>3859200</v>
      </c>
      <c r="J14" s="7">
        <f>((E14*params!$B$20)/1000)*params!$B$18</f>
        <v>1845.1799999999998</v>
      </c>
      <c r="K14" s="7">
        <f>((E14*params!$B$21)/1000)*params!$B$19</f>
        <v>1109.52</v>
      </c>
      <c r="L14" s="8">
        <f>E14*params!$B$11*params!$B$12</f>
        <v>5760000</v>
      </c>
      <c r="M14" s="7">
        <f>J14*params!$B$11*params!$B$12</f>
        <v>295228.79999999999</v>
      </c>
      <c r="N14" s="7">
        <f>K14*params!$B$11*params!$B$12</f>
        <v>177523.20000000001</v>
      </c>
      <c r="O14" s="8">
        <f>((L14-1000)/1000)*prices!$D$17</f>
        <v>8811.27</v>
      </c>
      <c r="P14" s="5">
        <f>params!$B$16</f>
        <v>1984.25</v>
      </c>
      <c r="Q14" s="8">
        <f t="shared" si="0"/>
        <v>10795.52</v>
      </c>
      <c r="R14" s="7">
        <f t="shared" si="1"/>
        <v>472752</v>
      </c>
      <c r="S14" s="8">
        <f t="shared" si="2"/>
        <v>483547.52</v>
      </c>
      <c r="T14" s="8">
        <f t="shared" si="3"/>
        <v>2761063.4240000001</v>
      </c>
      <c r="U14" s="9">
        <f>S14*(1-params!$B$4)</f>
        <v>386838.01600000006</v>
      </c>
      <c r="V14" s="9">
        <f t="shared" si="4"/>
        <v>2208850.7392000002</v>
      </c>
    </row>
    <row r="15" spans="1:22" x14ac:dyDescent="0.25">
      <c r="A15" s="5">
        <v>14</v>
      </c>
      <c r="B15" s="6">
        <v>45870</v>
      </c>
      <c r="C15" s="5">
        <f>ROUND(IFERROR((2^(A15/params!$B$2))+demandForecast!C14,1),0)</f>
        <v>28</v>
      </c>
      <c r="D15" s="5">
        <f>IFERROR((C15*params!$B$3),10)</f>
        <v>1120</v>
      </c>
      <c r="E15" s="5">
        <f>D15*params!$B$22</f>
        <v>40320</v>
      </c>
      <c r="F15" s="5">
        <f>((E15*params!$B$20)/1000)</f>
        <v>135072</v>
      </c>
      <c r="G15" s="5">
        <f>((E15*params!$B$21)/1000)</f>
        <v>27014.400000000001</v>
      </c>
      <c r="H15" s="5">
        <f>F15*params!$B$11*params!$B$12</f>
        <v>21611520</v>
      </c>
      <c r="I15" s="5">
        <f>G15*params!$B$11*params!$B$12</f>
        <v>4322304</v>
      </c>
      <c r="J15" s="7">
        <f>((E15*params!$B$20)/1000)*params!$B$18</f>
        <v>2066.6016</v>
      </c>
      <c r="K15" s="7">
        <f>((E15*params!$B$21)/1000)*params!$B$19</f>
        <v>1242.6623999999999</v>
      </c>
      <c r="L15" s="8">
        <f>E15*params!$B$11*params!$B$12</f>
        <v>6451200</v>
      </c>
      <c r="M15" s="7">
        <f>J15*params!$B$11*params!$B$12</f>
        <v>330656.25599999999</v>
      </c>
      <c r="N15" s="7">
        <f>K15*params!$B$11*params!$B$12</f>
        <v>198825.984</v>
      </c>
      <c r="O15" s="8">
        <f>((L15-1000)/1000)*prices!$D$17</f>
        <v>9868.8060000000005</v>
      </c>
      <c r="P15" s="5">
        <f>params!$B$16</f>
        <v>1984.25</v>
      </c>
      <c r="Q15" s="8">
        <f t="shared" si="0"/>
        <v>11853.056</v>
      </c>
      <c r="R15" s="7">
        <f t="shared" si="1"/>
        <v>529482.23999999999</v>
      </c>
      <c r="S15" s="8">
        <f t="shared" si="2"/>
        <v>541335.29599999997</v>
      </c>
      <c r="T15" s="8">
        <f t="shared" si="3"/>
        <v>3302398.72</v>
      </c>
      <c r="U15" s="9">
        <f>S15*(1-params!$B$4)</f>
        <v>433068.23680000001</v>
      </c>
      <c r="V15" s="9">
        <f t="shared" si="4"/>
        <v>2641918.9760000003</v>
      </c>
    </row>
    <row r="16" spans="1:22" x14ac:dyDescent="0.25">
      <c r="A16" s="5">
        <v>15</v>
      </c>
      <c r="B16" s="6">
        <v>45901</v>
      </c>
      <c r="C16" s="5">
        <f>ROUND(IFERROR((2^(A16/params!$B$2))+demandForecast!C15,1),0)</f>
        <v>32</v>
      </c>
      <c r="D16" s="5">
        <f>IFERROR((C16*params!$B$3),10)</f>
        <v>1280</v>
      </c>
      <c r="E16" s="5">
        <f>D16*params!$B$22</f>
        <v>46080</v>
      </c>
      <c r="F16" s="5">
        <f>((E16*params!$B$20)/1000)</f>
        <v>154368</v>
      </c>
      <c r="G16" s="5">
        <f>((E16*params!$B$21)/1000)</f>
        <v>30873.599999999999</v>
      </c>
      <c r="H16" s="5">
        <f>F16*params!$B$11*params!$B$12</f>
        <v>24698880</v>
      </c>
      <c r="I16" s="5">
        <f>G16*params!$B$11*params!$B$12</f>
        <v>4939776</v>
      </c>
      <c r="J16" s="7">
        <f>((E16*params!$B$20)/1000)*params!$B$18</f>
        <v>2361.8303999999998</v>
      </c>
      <c r="K16" s="7">
        <f>((E16*params!$B$21)/1000)*params!$B$19</f>
        <v>1420.1856</v>
      </c>
      <c r="L16" s="8">
        <f>E16*params!$B$11*params!$B$12</f>
        <v>7372800</v>
      </c>
      <c r="M16" s="7">
        <f>J16*params!$B$11*params!$B$12</f>
        <v>377892.86399999994</v>
      </c>
      <c r="N16" s="7">
        <f>K16*params!$B$11*params!$B$12</f>
        <v>227229.696</v>
      </c>
      <c r="O16" s="8">
        <f>((L16-1000)/1000)*prices!$D$17</f>
        <v>11278.854000000001</v>
      </c>
      <c r="P16" s="5">
        <f>params!$B$16</f>
        <v>1984.25</v>
      </c>
      <c r="Q16" s="8">
        <f t="shared" si="0"/>
        <v>13263.104000000001</v>
      </c>
      <c r="R16" s="7">
        <f t="shared" si="1"/>
        <v>605122.55999999994</v>
      </c>
      <c r="S16" s="8">
        <f t="shared" si="2"/>
        <v>618385.66399999999</v>
      </c>
      <c r="T16" s="8">
        <f t="shared" si="3"/>
        <v>3920784.3840000001</v>
      </c>
      <c r="U16" s="9">
        <f>S16*(1-params!$B$4)</f>
        <v>494708.53120000003</v>
      </c>
      <c r="V16" s="9">
        <f t="shared" si="4"/>
        <v>3136627.5072000003</v>
      </c>
    </row>
    <row r="17" spans="1:22" x14ac:dyDescent="0.25">
      <c r="A17" s="5">
        <v>16</v>
      </c>
      <c r="B17" s="6">
        <v>45931</v>
      </c>
      <c r="C17" s="5">
        <f>ROUND(IFERROR((2^(A17/params!$B$2))+demandForecast!C16,1),0)</f>
        <v>36</v>
      </c>
      <c r="D17" s="5">
        <f>IFERROR((C17*params!$B$3),10)</f>
        <v>1440</v>
      </c>
      <c r="E17" s="5">
        <f>D17*params!$B$22</f>
        <v>51840</v>
      </c>
      <c r="F17" s="5">
        <f>((E17*params!$B$20)/1000)</f>
        <v>173664</v>
      </c>
      <c r="G17" s="5">
        <f>((E17*params!$B$21)/1000)</f>
        <v>34732.800000000003</v>
      </c>
      <c r="H17" s="5">
        <f>F17*params!$B$11*params!$B$12</f>
        <v>27786240</v>
      </c>
      <c r="I17" s="5">
        <f>G17*params!$B$11*params!$B$12</f>
        <v>5557248</v>
      </c>
      <c r="J17" s="7">
        <f>((E17*params!$B$20)/1000)*params!$B$18</f>
        <v>2657.0591999999997</v>
      </c>
      <c r="K17" s="7">
        <f>((E17*params!$B$21)/1000)*params!$B$19</f>
        <v>1597.7088000000001</v>
      </c>
      <c r="L17" s="8">
        <f>E17*params!$B$11*params!$B$12</f>
        <v>8294400</v>
      </c>
      <c r="M17" s="7">
        <f>J17*params!$B$11*params!$B$12</f>
        <v>425129.47199999995</v>
      </c>
      <c r="N17" s="7">
        <f>K17*params!$B$11*params!$B$12</f>
        <v>255633.40800000002</v>
      </c>
      <c r="O17" s="8">
        <f>((L17-1000)/1000)*prices!$D$17</f>
        <v>12688.902</v>
      </c>
      <c r="P17" s="5">
        <f>params!$B$16</f>
        <v>1984.25</v>
      </c>
      <c r="Q17" s="8">
        <f t="shared" si="0"/>
        <v>14673.152</v>
      </c>
      <c r="R17" s="7">
        <f t="shared" si="1"/>
        <v>680762.88</v>
      </c>
      <c r="S17" s="8">
        <f t="shared" si="2"/>
        <v>695436.03200000001</v>
      </c>
      <c r="T17" s="8">
        <f t="shared" si="3"/>
        <v>4616220.4160000002</v>
      </c>
      <c r="U17" s="9">
        <f>S17*(1-params!$B$4)</f>
        <v>556348.82559999998</v>
      </c>
      <c r="V17" s="9">
        <f t="shared" si="4"/>
        <v>3692976.3328000004</v>
      </c>
    </row>
    <row r="18" spans="1:22" x14ac:dyDescent="0.25">
      <c r="A18" s="5">
        <v>17</v>
      </c>
      <c r="B18" s="6">
        <v>45962</v>
      </c>
      <c r="C18" s="5">
        <f>ROUND(IFERROR((2^(A18/params!$B$2))+demandForecast!C17,1),0)</f>
        <v>40</v>
      </c>
      <c r="D18" s="5">
        <f>IFERROR((C18*params!$B$3),10)</f>
        <v>1600</v>
      </c>
      <c r="E18" s="5">
        <f>D18*params!$B$22</f>
        <v>57600</v>
      </c>
      <c r="F18" s="5">
        <f>((E18*params!$B$20)/1000)</f>
        <v>192960</v>
      </c>
      <c r="G18" s="5">
        <f>((E18*params!$B$21)/1000)</f>
        <v>38592</v>
      </c>
      <c r="H18" s="5">
        <f>F18*params!$B$11*params!$B$12</f>
        <v>30873600</v>
      </c>
      <c r="I18" s="5">
        <f>G18*params!$B$11*params!$B$12</f>
        <v>6174720</v>
      </c>
      <c r="J18" s="7">
        <f>((E18*params!$B$20)/1000)*params!$B$18</f>
        <v>2952.288</v>
      </c>
      <c r="K18" s="7">
        <f>((E18*params!$B$21)/1000)*params!$B$19</f>
        <v>1775.232</v>
      </c>
      <c r="L18" s="8">
        <f>E18*params!$B$11*params!$B$12</f>
        <v>9216000</v>
      </c>
      <c r="M18" s="7">
        <f>J18*params!$B$11*params!$B$12</f>
        <v>472366.08000000002</v>
      </c>
      <c r="N18" s="7">
        <f>K18*params!$B$11*params!$B$12</f>
        <v>284037.12</v>
      </c>
      <c r="O18" s="8">
        <f>((L18-1000)/1000)*prices!$D$17</f>
        <v>14098.95</v>
      </c>
      <c r="P18" s="5">
        <f>params!$B$16</f>
        <v>1984.25</v>
      </c>
      <c r="Q18" s="8">
        <f t="shared" si="0"/>
        <v>16083.2</v>
      </c>
      <c r="R18" s="7">
        <f t="shared" si="1"/>
        <v>756403.19999999995</v>
      </c>
      <c r="S18" s="8">
        <f t="shared" si="2"/>
        <v>772486.39999999991</v>
      </c>
      <c r="T18" s="8">
        <f t="shared" si="3"/>
        <v>5388706.8159999996</v>
      </c>
      <c r="U18" s="9">
        <f>S18*(1-params!$B$4)</f>
        <v>617989.12</v>
      </c>
      <c r="V18" s="9">
        <f t="shared" si="4"/>
        <v>4310965.4528000001</v>
      </c>
    </row>
    <row r="19" spans="1:22" x14ac:dyDescent="0.25">
      <c r="A19" s="5">
        <v>18</v>
      </c>
      <c r="B19" s="6">
        <v>45992</v>
      </c>
      <c r="C19" s="5">
        <f>ROUND(IFERROR((2^(A19/params!$B$2))+demandForecast!C18,1),0)</f>
        <v>45</v>
      </c>
      <c r="D19" s="5">
        <f>IFERROR((C19*params!$B$3),10)</f>
        <v>1800</v>
      </c>
      <c r="E19" s="5">
        <f>D19*params!$B$22</f>
        <v>64800</v>
      </c>
      <c r="F19" s="5">
        <f>((E19*params!$B$20)/1000)</f>
        <v>217080</v>
      </c>
      <c r="G19" s="5">
        <f>((E19*params!$B$21)/1000)</f>
        <v>43416</v>
      </c>
      <c r="H19" s="5">
        <f>F19*params!$B$11*params!$B$12</f>
        <v>34732800</v>
      </c>
      <c r="I19" s="5">
        <f>G19*params!$B$11*params!$B$12</f>
        <v>6946560</v>
      </c>
      <c r="J19" s="7">
        <f>((E19*params!$B$20)/1000)*params!$B$18</f>
        <v>3321.3240000000001</v>
      </c>
      <c r="K19" s="7">
        <f>((E19*params!$B$21)/1000)*params!$B$19</f>
        <v>1997.136</v>
      </c>
      <c r="L19" s="8">
        <f>E19*params!$B$11*params!$B$12</f>
        <v>10368000</v>
      </c>
      <c r="M19" s="7">
        <f>J19*params!$B$11*params!$B$12</f>
        <v>531411.84</v>
      </c>
      <c r="N19" s="7">
        <f>K19*params!$B$11*params!$B$12</f>
        <v>319541.76000000001</v>
      </c>
      <c r="O19" s="8">
        <f>((L19-1000)/1000)*prices!$D$17</f>
        <v>15861.51</v>
      </c>
      <c r="P19" s="5">
        <f>params!$B$16</f>
        <v>1984.25</v>
      </c>
      <c r="Q19" s="8">
        <f t="shared" si="0"/>
        <v>17845.760000000002</v>
      </c>
      <c r="R19" s="7">
        <f t="shared" si="1"/>
        <v>850953.6</v>
      </c>
      <c r="S19" s="8">
        <f t="shared" si="2"/>
        <v>868799.36</v>
      </c>
      <c r="T19" s="8">
        <f t="shared" si="3"/>
        <v>6257506.176</v>
      </c>
      <c r="U19" s="9">
        <f>S19*(1-params!$B$4)</f>
        <v>695039.48800000001</v>
      </c>
      <c r="V19" s="9">
        <f t="shared" si="4"/>
        <v>5006004.9408</v>
      </c>
    </row>
    <row r="20" spans="1:22" x14ac:dyDescent="0.25">
      <c r="A20" s="5">
        <v>19</v>
      </c>
      <c r="B20" s="6">
        <v>46023</v>
      </c>
      <c r="C20" s="5">
        <f>ROUND(IFERROR((2^(A20/params!$B$2))+demandForecast!C19,1),0)</f>
        <v>50</v>
      </c>
      <c r="D20" s="5">
        <f>IFERROR((C20*params!$B$3),10)</f>
        <v>2000</v>
      </c>
      <c r="E20" s="5">
        <f>D20*params!$B$22</f>
        <v>72000</v>
      </c>
      <c r="F20" s="5">
        <f>((E20*params!$B$20)/1000)</f>
        <v>241200</v>
      </c>
      <c r="G20" s="5">
        <f>((E20*params!$B$21)/1000)</f>
        <v>48240</v>
      </c>
      <c r="H20" s="5">
        <f>F20*params!$B$11*params!$B$12</f>
        <v>38592000</v>
      </c>
      <c r="I20" s="5">
        <f>G20*params!$B$11*params!$B$12</f>
        <v>7718400</v>
      </c>
      <c r="J20" s="7">
        <f>((E20*params!$B$20)/1000)*params!$B$18</f>
        <v>3690.3599999999997</v>
      </c>
      <c r="K20" s="7">
        <f>((E20*params!$B$21)/1000)*params!$B$19</f>
        <v>2219.04</v>
      </c>
      <c r="L20" s="8">
        <f>E20*params!$B$11*params!$B$12</f>
        <v>11520000</v>
      </c>
      <c r="M20" s="7">
        <f>J20*params!$B$11*params!$B$12</f>
        <v>590457.59999999998</v>
      </c>
      <c r="N20" s="7">
        <f>K20*params!$B$11*params!$B$12</f>
        <v>355046.40000000002</v>
      </c>
      <c r="O20" s="8">
        <f>((L20-1000)/1000)*prices!$D$17</f>
        <v>17624.07</v>
      </c>
      <c r="P20" s="5">
        <f>params!$B$16</f>
        <v>1984.25</v>
      </c>
      <c r="Q20" s="8">
        <f t="shared" si="0"/>
        <v>19608.32</v>
      </c>
      <c r="R20" s="7">
        <f t="shared" si="1"/>
        <v>945504</v>
      </c>
      <c r="S20" s="8">
        <f t="shared" si="2"/>
        <v>965112.31999999995</v>
      </c>
      <c r="T20" s="8">
        <f t="shared" si="3"/>
        <v>7222618.4960000003</v>
      </c>
      <c r="U20" s="9">
        <f>S20*(1-params!$B$4)</f>
        <v>772089.85600000003</v>
      </c>
      <c r="V20" s="9">
        <f t="shared" si="4"/>
        <v>5778094.7967999997</v>
      </c>
    </row>
    <row r="21" spans="1:22" x14ac:dyDescent="0.25">
      <c r="A21" s="5">
        <v>20</v>
      </c>
      <c r="B21" s="6">
        <v>46054</v>
      </c>
      <c r="C21" s="5">
        <f>ROUND(IFERROR((2^(A21/params!$B$2))+demandForecast!C20,1),0)</f>
        <v>56</v>
      </c>
      <c r="D21" s="5">
        <f>IFERROR((C21*params!$B$3),10)</f>
        <v>2240</v>
      </c>
      <c r="E21" s="5">
        <f>D21*params!$B$22</f>
        <v>80640</v>
      </c>
      <c r="F21" s="5">
        <f>((E21*params!$B$20)/1000)</f>
        <v>270144</v>
      </c>
      <c r="G21" s="5">
        <f>((E21*params!$B$21)/1000)</f>
        <v>54028.800000000003</v>
      </c>
      <c r="H21" s="5">
        <f>F21*params!$B$11*params!$B$12</f>
        <v>43223040</v>
      </c>
      <c r="I21" s="5">
        <f>G21*params!$B$11*params!$B$12</f>
        <v>8644608</v>
      </c>
      <c r="J21" s="7">
        <f>((E21*params!$B$20)/1000)*params!$B$18</f>
        <v>4133.2031999999999</v>
      </c>
      <c r="K21" s="7">
        <f>((E21*params!$B$21)/1000)*params!$B$19</f>
        <v>2485.3247999999999</v>
      </c>
      <c r="L21" s="8">
        <f>E21*params!$B$11*params!$B$12</f>
        <v>12902400</v>
      </c>
      <c r="M21" s="7">
        <f>J21*params!$B$11*params!$B$12</f>
        <v>661312.51199999999</v>
      </c>
      <c r="N21" s="7">
        <f>K21*params!$B$11*params!$B$12</f>
        <v>397651.96799999999</v>
      </c>
      <c r="O21" s="8">
        <f>((L21-1000)/1000)*prices!$D$17</f>
        <v>19739.142</v>
      </c>
      <c r="P21" s="5">
        <f>params!$B$16</f>
        <v>1984.25</v>
      </c>
      <c r="Q21" s="8">
        <f t="shared" si="0"/>
        <v>21723.392</v>
      </c>
      <c r="R21" s="7">
        <f t="shared" si="1"/>
        <v>1058964.48</v>
      </c>
      <c r="S21" s="8">
        <f t="shared" si="2"/>
        <v>1080687.872</v>
      </c>
      <c r="T21" s="8">
        <f t="shared" si="3"/>
        <v>8303306.3680000007</v>
      </c>
      <c r="U21" s="9">
        <f>S21*(1-params!$B$4)</f>
        <v>864550.29760000005</v>
      </c>
      <c r="V21" s="9">
        <f t="shared" si="4"/>
        <v>6642645.0943999998</v>
      </c>
    </row>
    <row r="22" spans="1:22" x14ac:dyDescent="0.25">
      <c r="A22" s="5">
        <v>21</v>
      </c>
      <c r="B22" s="6">
        <v>46082</v>
      </c>
      <c r="C22" s="5">
        <f>ROUND(IFERROR((2^(A22/params!$B$2))+demandForecast!C21,1),0)</f>
        <v>62</v>
      </c>
      <c r="D22" s="5">
        <f>IFERROR((C22*params!$B$3),10)</f>
        <v>2480</v>
      </c>
      <c r="E22" s="5">
        <f>D22*params!$B$22</f>
        <v>89280</v>
      </c>
      <c r="F22" s="5">
        <f>((E22*params!$B$20)/1000)</f>
        <v>299088</v>
      </c>
      <c r="G22" s="5">
        <f>((E22*params!$B$21)/1000)</f>
        <v>59817.599999999999</v>
      </c>
      <c r="H22" s="5">
        <f>F22*params!$B$11*params!$B$12</f>
        <v>47854080</v>
      </c>
      <c r="I22" s="5">
        <f>G22*params!$B$11*params!$B$12</f>
        <v>9570816</v>
      </c>
      <c r="J22" s="7">
        <f>((E22*params!$B$20)/1000)*params!$B$18</f>
        <v>4576.0464000000002</v>
      </c>
      <c r="K22" s="7">
        <f>((E22*params!$B$21)/1000)*params!$B$19</f>
        <v>2751.6095999999998</v>
      </c>
      <c r="L22" s="8">
        <f>E22*params!$B$11*params!$B$12</f>
        <v>14284800</v>
      </c>
      <c r="M22" s="7">
        <f>J22*params!$B$11*params!$B$12</f>
        <v>732167.424</v>
      </c>
      <c r="N22" s="7">
        <f>K22*params!$B$11*params!$B$12</f>
        <v>440257.53599999996</v>
      </c>
      <c r="O22" s="8">
        <f>((L22-1000)/1000)*prices!$D$17</f>
        <v>21854.214</v>
      </c>
      <c r="P22" s="5">
        <f>params!$B$16</f>
        <v>1984.25</v>
      </c>
      <c r="Q22" s="8">
        <f t="shared" si="0"/>
        <v>23838.464</v>
      </c>
      <c r="R22" s="7">
        <f t="shared" si="1"/>
        <v>1172424.96</v>
      </c>
      <c r="S22" s="8">
        <f t="shared" si="2"/>
        <v>1196263.4239999999</v>
      </c>
      <c r="T22" s="8">
        <f t="shared" si="3"/>
        <v>9499569.7920000013</v>
      </c>
      <c r="U22" s="9">
        <f>S22*(1-params!$B$4)</f>
        <v>957010.73919999995</v>
      </c>
      <c r="V22" s="9">
        <f t="shared" si="4"/>
        <v>7599655.8335999995</v>
      </c>
    </row>
    <row r="23" spans="1:22" x14ac:dyDescent="0.25">
      <c r="A23" s="5">
        <v>22</v>
      </c>
      <c r="B23" s="6">
        <v>46113</v>
      </c>
      <c r="C23" s="5">
        <f>ROUND(IFERROR((2^(A23/params!$B$2))+demandForecast!C22,1),0)</f>
        <v>69</v>
      </c>
      <c r="D23" s="5">
        <f>IFERROR((C23*params!$B$3),10)</f>
        <v>2760</v>
      </c>
      <c r="E23" s="5">
        <f>D23*params!$B$22</f>
        <v>99360</v>
      </c>
      <c r="F23" s="5">
        <f>((E23*params!$B$20)/1000)</f>
        <v>332856</v>
      </c>
      <c r="G23" s="5">
        <f>((E23*params!$B$21)/1000)</f>
        <v>66571.199999999997</v>
      </c>
      <c r="H23" s="5">
        <f>F23*params!$B$11*params!$B$12</f>
        <v>53256960</v>
      </c>
      <c r="I23" s="5">
        <f>G23*params!$B$11*params!$B$12</f>
        <v>10651392</v>
      </c>
      <c r="J23" s="7">
        <f>((E23*params!$B$20)/1000)*params!$B$18</f>
        <v>5092.6967999999997</v>
      </c>
      <c r="K23" s="7">
        <f>((E23*params!$B$21)/1000)*params!$B$19</f>
        <v>3062.2752</v>
      </c>
      <c r="L23" s="8">
        <f>E23*params!$B$11*params!$B$12</f>
        <v>15897600</v>
      </c>
      <c r="M23" s="7">
        <f>J23*params!$B$11*params!$B$12</f>
        <v>814831.4879999999</v>
      </c>
      <c r="N23" s="7">
        <f>K23*params!$B$11*params!$B$12</f>
        <v>489964.03200000001</v>
      </c>
      <c r="O23" s="8">
        <f>((L23-1000)/1000)*prices!$D$17</f>
        <v>24321.798000000003</v>
      </c>
      <c r="P23" s="5">
        <f>params!$B$16</f>
        <v>1984.25</v>
      </c>
      <c r="Q23" s="8">
        <f t="shared" si="0"/>
        <v>26306.048000000003</v>
      </c>
      <c r="R23" s="7">
        <f t="shared" si="1"/>
        <v>1304795.52</v>
      </c>
      <c r="S23" s="8">
        <f t="shared" si="2"/>
        <v>1331101.568</v>
      </c>
      <c r="T23" s="8">
        <f t="shared" si="3"/>
        <v>10830671.360000001</v>
      </c>
      <c r="U23" s="9">
        <f>S23*(1-params!$B$4)</f>
        <v>1064881.2544</v>
      </c>
      <c r="V23" s="9">
        <f t="shared" si="4"/>
        <v>8664537.0879999995</v>
      </c>
    </row>
    <row r="24" spans="1:22" x14ac:dyDescent="0.25">
      <c r="A24" s="5">
        <v>23</v>
      </c>
      <c r="B24" s="6">
        <v>46143</v>
      </c>
      <c r="C24" s="5">
        <f>ROUND(IFERROR((2^(A24/params!$B$2))+demandForecast!C23,1),0)</f>
        <v>76</v>
      </c>
      <c r="D24" s="5">
        <f>IFERROR((C24*params!$B$3),10)</f>
        <v>3040</v>
      </c>
      <c r="E24" s="5">
        <f>D24*params!$B$22</f>
        <v>109440</v>
      </c>
      <c r="F24" s="5">
        <f>((E24*params!$B$20)/1000)</f>
        <v>366624</v>
      </c>
      <c r="G24" s="5">
        <f>((E24*params!$B$21)/1000)</f>
        <v>73324.800000000003</v>
      </c>
      <c r="H24" s="5">
        <f>F24*params!$B$11*params!$B$12</f>
        <v>58659840</v>
      </c>
      <c r="I24" s="5">
        <f>G24*params!$B$11*params!$B$12</f>
        <v>11731968</v>
      </c>
      <c r="J24" s="7">
        <f>((E24*params!$B$20)/1000)*params!$B$18</f>
        <v>5609.3472000000002</v>
      </c>
      <c r="K24" s="7">
        <f>((E24*params!$B$21)/1000)*params!$B$19</f>
        <v>3372.9407999999999</v>
      </c>
      <c r="L24" s="8">
        <f>E24*params!$B$11*params!$B$12</f>
        <v>17510400</v>
      </c>
      <c r="M24" s="7">
        <f>J24*params!$B$11*params!$B$12</f>
        <v>897495.55200000003</v>
      </c>
      <c r="N24" s="7">
        <f>K24*params!$B$11*params!$B$12</f>
        <v>539670.52799999993</v>
      </c>
      <c r="O24" s="8">
        <f>((L24-1000)/1000)*prices!$D$17</f>
        <v>26789.382000000001</v>
      </c>
      <c r="P24" s="5">
        <f>params!$B$16</f>
        <v>1984.25</v>
      </c>
      <c r="Q24" s="8">
        <f t="shared" si="0"/>
        <v>28773.632000000001</v>
      </c>
      <c r="R24" s="7">
        <f t="shared" si="1"/>
        <v>1437166.08</v>
      </c>
      <c r="S24" s="8">
        <f t="shared" si="2"/>
        <v>1465939.7120000001</v>
      </c>
      <c r="T24" s="8">
        <f t="shared" si="3"/>
        <v>12296611.072000001</v>
      </c>
      <c r="U24" s="9">
        <f>S24*(1-params!$B$4)</f>
        <v>1172751.7696</v>
      </c>
      <c r="V24" s="9">
        <f t="shared" si="4"/>
        <v>9837288.8575999998</v>
      </c>
    </row>
    <row r="25" spans="1:22" x14ac:dyDescent="0.25">
      <c r="A25" s="5">
        <v>24</v>
      </c>
      <c r="B25" s="6">
        <v>46174</v>
      </c>
      <c r="C25" s="5">
        <f>ROUND(IFERROR((2^(A25/params!$B$2))+demandForecast!C24,1),0)</f>
        <v>84</v>
      </c>
      <c r="D25" s="5">
        <f>IFERROR((C25*params!$B$3),10)</f>
        <v>3360</v>
      </c>
      <c r="E25" s="5">
        <f>D25*params!$B$22</f>
        <v>120960</v>
      </c>
      <c r="F25" s="5">
        <f>((E25*params!$B$20)/1000)</f>
        <v>405216</v>
      </c>
      <c r="G25" s="5">
        <f>((E25*params!$B$21)/1000)</f>
        <v>81043.199999999997</v>
      </c>
      <c r="H25" s="5">
        <f>F25*params!$B$11*params!$B$12</f>
        <v>64834560</v>
      </c>
      <c r="I25" s="5">
        <f>G25*params!$B$11*params!$B$12</f>
        <v>12966912</v>
      </c>
      <c r="J25" s="7">
        <f>((E25*params!$B$20)/1000)*params!$B$18</f>
        <v>6199.8047999999999</v>
      </c>
      <c r="K25" s="7">
        <f>((E25*params!$B$21)/1000)*params!$B$19</f>
        <v>3727.9872</v>
      </c>
      <c r="L25" s="8">
        <f>E25*params!$B$11*params!$B$12</f>
        <v>19353600</v>
      </c>
      <c r="M25" s="7">
        <f>J25*params!$B$11*params!$B$12</f>
        <v>991968.76799999992</v>
      </c>
      <c r="N25" s="7">
        <f>K25*params!$B$11*params!$B$12</f>
        <v>596477.95200000005</v>
      </c>
      <c r="O25" s="8">
        <f>((L25-1000)/1000)*prices!$D$17</f>
        <v>29609.477999999999</v>
      </c>
      <c r="P25" s="5">
        <f>params!$B$16</f>
        <v>1984.25</v>
      </c>
      <c r="Q25" s="8">
        <f t="shared" si="0"/>
        <v>31593.727999999999</v>
      </c>
      <c r="R25" s="7">
        <f t="shared" si="1"/>
        <v>1588446.72</v>
      </c>
      <c r="S25" s="8">
        <f t="shared" si="2"/>
        <v>1620040.4479999999</v>
      </c>
      <c r="T25" s="8">
        <f t="shared" si="3"/>
        <v>13916651.52</v>
      </c>
      <c r="U25" s="9">
        <f>S25*(1-params!$B$4)</f>
        <v>1296032.3584</v>
      </c>
      <c r="V25" s="9">
        <f t="shared" si="4"/>
        <v>11133321.216</v>
      </c>
    </row>
    <row r="26" spans="1:22" x14ac:dyDescent="0.25">
      <c r="A26" s="5">
        <v>25</v>
      </c>
      <c r="B26" s="6">
        <v>46204</v>
      </c>
      <c r="C26" s="5">
        <f>ROUND(IFERROR((2^(A26/params!$B$2))+demandForecast!C25,1),0)</f>
        <v>93</v>
      </c>
      <c r="D26" s="5">
        <f>IFERROR((C26*params!$B$3),10)</f>
        <v>3720</v>
      </c>
      <c r="E26" s="5">
        <f>D26*params!$B$22</f>
        <v>133920</v>
      </c>
      <c r="F26" s="5">
        <f>((E26*params!$B$20)/1000)</f>
        <v>448632</v>
      </c>
      <c r="G26" s="5">
        <f>((E26*params!$B$21)/1000)</f>
        <v>89726.399999999994</v>
      </c>
      <c r="H26" s="5">
        <f>F26*params!$B$11*params!$B$12</f>
        <v>71781120</v>
      </c>
      <c r="I26" s="5">
        <f>G26*params!$B$11*params!$B$12</f>
        <v>14356224</v>
      </c>
      <c r="J26" s="7">
        <f>((E26*params!$B$20)/1000)*params!$B$18</f>
        <v>6864.0695999999998</v>
      </c>
      <c r="K26" s="7">
        <f>((E26*params!$B$21)/1000)*params!$B$19</f>
        <v>4127.4143999999997</v>
      </c>
      <c r="L26" s="8">
        <f>E26*params!$B$11*params!$B$12</f>
        <v>21427200</v>
      </c>
      <c r="M26" s="7">
        <f>J26*params!$B$11*params!$B$12</f>
        <v>1098251.1359999999</v>
      </c>
      <c r="N26" s="7">
        <f>K26*params!$B$11*params!$B$12</f>
        <v>660386.304</v>
      </c>
      <c r="O26" s="8">
        <f>((L26-1000)/1000)*prices!$D$17</f>
        <v>32782.086000000003</v>
      </c>
      <c r="P26" s="5">
        <f>params!$B$16</f>
        <v>1984.25</v>
      </c>
      <c r="Q26" s="8">
        <f t="shared" si="0"/>
        <v>34766.336000000003</v>
      </c>
      <c r="R26" s="7">
        <f t="shared" si="1"/>
        <v>1758637.44</v>
      </c>
      <c r="S26" s="8">
        <f t="shared" si="2"/>
        <v>1793403.7759999998</v>
      </c>
      <c r="T26" s="8">
        <f t="shared" si="3"/>
        <v>15710055.296</v>
      </c>
      <c r="U26" s="9">
        <f>S26*(1-params!$B$4)</f>
        <v>1434723.0208000001</v>
      </c>
      <c r="V26" s="9">
        <f t="shared" si="4"/>
        <v>12568044.2368</v>
      </c>
    </row>
    <row r="27" spans="1:22" x14ac:dyDescent="0.25">
      <c r="A27" s="5">
        <v>26</v>
      </c>
      <c r="B27" s="6">
        <v>46235</v>
      </c>
      <c r="C27" s="5">
        <f>ROUND(IFERROR((2^(A27/params!$B$2))+demandForecast!C26,1),0)</f>
        <v>103</v>
      </c>
      <c r="D27" s="5">
        <f>IFERROR((C27*params!$B$3),10)</f>
        <v>4120</v>
      </c>
      <c r="E27" s="5">
        <f>D27*params!$B$22</f>
        <v>148320</v>
      </c>
      <c r="F27" s="5">
        <f>((E27*params!$B$20)/1000)</f>
        <v>496872</v>
      </c>
      <c r="G27" s="5">
        <f>((E27*params!$B$21)/1000)</f>
        <v>99374.399999999994</v>
      </c>
      <c r="H27" s="5">
        <f>F27*params!$B$11*params!$B$12</f>
        <v>79499520</v>
      </c>
      <c r="I27" s="5">
        <f>G27*params!$B$11*params!$B$12</f>
        <v>15899904</v>
      </c>
      <c r="J27" s="7">
        <f>((E27*params!$B$20)/1000)*params!$B$18</f>
        <v>7602.1415999999999</v>
      </c>
      <c r="K27" s="7">
        <f>((E27*params!$B$21)/1000)*params!$B$19</f>
        <v>4571.2223999999997</v>
      </c>
      <c r="L27" s="8">
        <f>E27*params!$B$11*params!$B$12</f>
        <v>23731200</v>
      </c>
      <c r="M27" s="7">
        <f>J27*params!$B$11*params!$B$12</f>
        <v>1216342.656</v>
      </c>
      <c r="N27" s="7">
        <f>K27*params!$B$11*params!$B$12</f>
        <v>731395.58399999992</v>
      </c>
      <c r="O27" s="8">
        <f>((L27-1000)/1000)*prices!$D$17</f>
        <v>36307.205999999998</v>
      </c>
      <c r="P27" s="5">
        <f>params!$B$16</f>
        <v>1984.25</v>
      </c>
      <c r="Q27" s="8">
        <f t="shared" si="0"/>
        <v>38291.455999999998</v>
      </c>
      <c r="R27" s="7">
        <f t="shared" si="1"/>
        <v>1947738.2399999998</v>
      </c>
      <c r="S27" s="8">
        <f t="shared" si="2"/>
        <v>1986029.6959999998</v>
      </c>
      <c r="T27" s="8">
        <f t="shared" si="3"/>
        <v>17696084.991999999</v>
      </c>
      <c r="U27" s="9">
        <f>S27*(1-params!$B$4)</f>
        <v>1588823.7567999999</v>
      </c>
      <c r="V27" s="9">
        <f t="shared" si="4"/>
        <v>14156867.9936</v>
      </c>
    </row>
    <row r="28" spans="1:22" x14ac:dyDescent="0.25">
      <c r="A28" s="5">
        <v>27</v>
      </c>
      <c r="B28" s="6">
        <v>46266</v>
      </c>
      <c r="C28" s="5">
        <f>ROUND(IFERROR((2^(A28/params!$B$2))+demandForecast!C27,1),0)</f>
        <v>113</v>
      </c>
      <c r="D28" s="5">
        <f>IFERROR((C28*params!$B$3),10)</f>
        <v>4520</v>
      </c>
      <c r="E28" s="5">
        <f>D28*params!$B$22</f>
        <v>162720</v>
      </c>
      <c r="F28" s="5">
        <f>((E28*params!$B$20)/1000)</f>
        <v>545112</v>
      </c>
      <c r="G28" s="5">
        <f>((E28*params!$B$21)/1000)</f>
        <v>109022.39999999999</v>
      </c>
      <c r="H28" s="5">
        <f>F28*params!$B$11*params!$B$12</f>
        <v>87217920</v>
      </c>
      <c r="I28" s="5">
        <f>G28*params!$B$11*params!$B$12</f>
        <v>17443584</v>
      </c>
      <c r="J28" s="7">
        <f>((E28*params!$B$20)/1000)*params!$B$18</f>
        <v>8340.2135999999991</v>
      </c>
      <c r="K28" s="7">
        <f>((E28*params!$B$21)/1000)*params!$B$19</f>
        <v>5015.0303999999996</v>
      </c>
      <c r="L28" s="8">
        <f>E28*params!$B$11*params!$B$12</f>
        <v>26035200</v>
      </c>
      <c r="M28" s="7">
        <f>J28*params!$B$11*params!$B$12</f>
        <v>1334434.176</v>
      </c>
      <c r="N28" s="7">
        <f>K28*params!$B$11*params!$B$12</f>
        <v>802404.86399999994</v>
      </c>
      <c r="O28" s="8">
        <f>((L28-1000)/1000)*prices!$D$17</f>
        <v>39832.326000000001</v>
      </c>
      <c r="P28" s="5">
        <f>params!$B$16</f>
        <v>1984.25</v>
      </c>
      <c r="Q28" s="8">
        <f t="shared" si="0"/>
        <v>41816.576000000001</v>
      </c>
      <c r="R28" s="7">
        <f t="shared" si="1"/>
        <v>2136839.04</v>
      </c>
      <c r="S28" s="8">
        <f t="shared" si="2"/>
        <v>2178655.6159999999</v>
      </c>
      <c r="T28" s="8">
        <f t="shared" si="3"/>
        <v>19874740.607999999</v>
      </c>
      <c r="U28" s="9">
        <f>S28*(1-params!$B$4)</f>
        <v>1742924.4928000001</v>
      </c>
      <c r="V28" s="9">
        <f t="shared" si="4"/>
        <v>15899792.486400001</v>
      </c>
    </row>
    <row r="29" spans="1:22" x14ac:dyDescent="0.25">
      <c r="A29" s="5">
        <v>28</v>
      </c>
      <c r="B29" s="6">
        <v>46296</v>
      </c>
      <c r="C29" s="5">
        <f>ROUND(IFERROR((2^(A29/params!$B$2))+demandForecast!C28,1),0)</f>
        <v>124</v>
      </c>
      <c r="D29" s="5">
        <f>IFERROR((C29*params!$B$3),10)</f>
        <v>4960</v>
      </c>
      <c r="E29" s="5">
        <f>D29*params!$B$22</f>
        <v>178560</v>
      </c>
      <c r="F29" s="5">
        <f>((E29*params!$B$20)/1000)</f>
        <v>598176</v>
      </c>
      <c r="G29" s="5">
        <f>((E29*params!$B$21)/1000)</f>
        <v>119635.2</v>
      </c>
      <c r="H29" s="5">
        <f>F29*params!$B$11*params!$B$12</f>
        <v>95708160</v>
      </c>
      <c r="I29" s="5">
        <f>G29*params!$B$11*params!$B$12</f>
        <v>19141632</v>
      </c>
      <c r="J29" s="7">
        <f>((E29*params!$B$20)/1000)*params!$B$18</f>
        <v>9152.0928000000004</v>
      </c>
      <c r="K29" s="7">
        <f>((E29*params!$B$21)/1000)*params!$B$19</f>
        <v>5503.2191999999995</v>
      </c>
      <c r="L29" s="8">
        <f>E29*params!$B$11*params!$B$12</f>
        <v>28569600</v>
      </c>
      <c r="M29" s="7">
        <f>J29*params!$B$11*params!$B$12</f>
        <v>1464334.848</v>
      </c>
      <c r="N29" s="7">
        <f>K29*params!$B$11*params!$B$12</f>
        <v>880515.07199999993</v>
      </c>
      <c r="O29" s="8">
        <f>((L29-1000)/1000)*prices!$D$17</f>
        <v>43709.957999999999</v>
      </c>
      <c r="P29" s="5">
        <f>params!$B$16</f>
        <v>1984.25</v>
      </c>
      <c r="Q29" s="8">
        <f t="shared" si="0"/>
        <v>45694.207999999999</v>
      </c>
      <c r="R29" s="7">
        <f t="shared" si="1"/>
        <v>2344849.92</v>
      </c>
      <c r="S29" s="8">
        <f t="shared" si="2"/>
        <v>2390544.128</v>
      </c>
      <c r="T29" s="8">
        <f t="shared" si="3"/>
        <v>22265284.735999998</v>
      </c>
      <c r="U29" s="9">
        <f>S29*(1-params!$B$4)</f>
        <v>1912435.3024000002</v>
      </c>
      <c r="V29" s="9">
        <f t="shared" si="4"/>
        <v>17812227.788800001</v>
      </c>
    </row>
    <row r="30" spans="1:22" x14ac:dyDescent="0.25">
      <c r="A30" s="5">
        <v>29</v>
      </c>
      <c r="B30" s="6">
        <v>46327</v>
      </c>
      <c r="C30" s="5">
        <f>ROUND(IFERROR((2^(A30/params!$B$2))+demandForecast!C29,1),0)</f>
        <v>136</v>
      </c>
      <c r="D30" s="5">
        <f>IFERROR((C30*params!$B$3),10)</f>
        <v>5440</v>
      </c>
      <c r="E30" s="5">
        <f>D30*params!$B$22</f>
        <v>195840</v>
      </c>
      <c r="F30" s="5">
        <f>((E30*params!$B$20)/1000)</f>
        <v>656064</v>
      </c>
      <c r="G30" s="5">
        <f>((E30*params!$B$21)/1000)</f>
        <v>131212.79999999999</v>
      </c>
      <c r="H30" s="5">
        <f>F30*params!$B$11*params!$B$12</f>
        <v>104970240</v>
      </c>
      <c r="I30" s="5">
        <f>G30*params!$B$11*params!$B$12</f>
        <v>20994048</v>
      </c>
      <c r="J30" s="7">
        <f>((E30*params!$B$20)/1000)*params!$B$18</f>
        <v>10037.779199999999</v>
      </c>
      <c r="K30" s="7">
        <f>((E30*params!$B$21)/1000)*params!$B$19</f>
        <v>6035.7887999999994</v>
      </c>
      <c r="L30" s="8">
        <f>E30*params!$B$11*params!$B$12</f>
        <v>31334400</v>
      </c>
      <c r="M30" s="7">
        <f>J30*params!$B$11*params!$B$12</f>
        <v>1606044.6719999998</v>
      </c>
      <c r="N30" s="7">
        <f>K30*params!$B$11*params!$B$12</f>
        <v>965726.20799999987</v>
      </c>
      <c r="O30" s="8">
        <f>((L30-1000)/1000)*prices!$D$17</f>
        <v>47940.102000000006</v>
      </c>
      <c r="P30" s="5">
        <f>params!$B$16</f>
        <v>1984.25</v>
      </c>
      <c r="Q30" s="8">
        <f t="shared" si="0"/>
        <v>49924.352000000006</v>
      </c>
      <c r="R30" s="7">
        <f t="shared" si="1"/>
        <v>2571770.8799999999</v>
      </c>
      <c r="S30" s="8">
        <f t="shared" si="2"/>
        <v>2621695.2319999998</v>
      </c>
      <c r="T30" s="8">
        <f t="shared" si="3"/>
        <v>24886979.967999998</v>
      </c>
      <c r="U30" s="9">
        <f>S30*(1-params!$B$4)</f>
        <v>2097356.1856</v>
      </c>
      <c r="V30" s="9">
        <f t="shared" si="4"/>
        <v>19909583.974400003</v>
      </c>
    </row>
    <row r="31" spans="1:22" x14ac:dyDescent="0.25">
      <c r="A31" s="5">
        <v>30</v>
      </c>
      <c r="B31" s="6">
        <v>46357</v>
      </c>
      <c r="C31" s="5">
        <f>ROUND(IFERROR((2^(A31/params!$B$2))+demandForecast!C30,1),0)</f>
        <v>149</v>
      </c>
      <c r="D31" s="5">
        <f>IFERROR((C31*params!$B$3),10)</f>
        <v>5960</v>
      </c>
      <c r="E31" s="5">
        <f>D31*params!$B$22</f>
        <v>214560</v>
      </c>
      <c r="F31" s="5">
        <f>((E31*params!$B$20)/1000)</f>
        <v>718776</v>
      </c>
      <c r="G31" s="5">
        <f>((E31*params!$B$21)/1000)</f>
        <v>143755.20000000001</v>
      </c>
      <c r="H31" s="5">
        <f>F31*params!$B$11*params!$B$12</f>
        <v>115004160</v>
      </c>
      <c r="I31" s="5">
        <f>G31*params!$B$11*params!$B$12</f>
        <v>23000832</v>
      </c>
      <c r="J31" s="7">
        <f>((E31*params!$B$20)/1000)*params!$B$18</f>
        <v>10997.272799999999</v>
      </c>
      <c r="K31" s="7">
        <f>((E31*params!$B$21)/1000)*params!$B$19</f>
        <v>6612.7392</v>
      </c>
      <c r="L31" s="8">
        <f>E31*params!$B$11*params!$B$12</f>
        <v>34329600</v>
      </c>
      <c r="M31" s="7">
        <f>J31*params!$B$11*params!$B$12</f>
        <v>1759563.6479999998</v>
      </c>
      <c r="N31" s="7">
        <f>K31*params!$B$11*params!$B$12</f>
        <v>1058038.2719999999</v>
      </c>
      <c r="O31" s="8">
        <f>((L31-1000)/1000)*prices!$D$17</f>
        <v>52522.758000000002</v>
      </c>
      <c r="P31" s="5">
        <f>params!$B$16</f>
        <v>1984.25</v>
      </c>
      <c r="Q31" s="8">
        <f t="shared" si="0"/>
        <v>54507.008000000002</v>
      </c>
      <c r="R31" s="7">
        <f t="shared" si="1"/>
        <v>2817601.92</v>
      </c>
      <c r="S31" s="8">
        <f t="shared" si="2"/>
        <v>2872108.9279999998</v>
      </c>
      <c r="T31" s="8">
        <f t="shared" si="3"/>
        <v>27759088.895999998</v>
      </c>
      <c r="U31" s="9">
        <f>S31*(1-params!$B$4)</f>
        <v>2297687.1423999998</v>
      </c>
      <c r="V31" s="9">
        <f t="shared" si="4"/>
        <v>22207271.116800003</v>
      </c>
    </row>
    <row r="32" spans="1:22" x14ac:dyDescent="0.25">
      <c r="A32" s="5">
        <v>31</v>
      </c>
      <c r="B32" s="6">
        <v>46388</v>
      </c>
      <c r="C32" s="5">
        <f>ROUND(IFERROR((2^(A32/params!$B$2))+demandForecast!C31,1),0)</f>
        <v>164</v>
      </c>
      <c r="D32" s="5">
        <f>IFERROR((C32*params!$B$3),10)</f>
        <v>6560</v>
      </c>
      <c r="E32" s="5">
        <f>D32*params!$B$22</f>
        <v>236160</v>
      </c>
      <c r="F32" s="5">
        <f>((E32*params!$B$20)/1000)</f>
        <v>791136</v>
      </c>
      <c r="G32" s="5">
        <f>((E32*params!$B$21)/1000)</f>
        <v>158227.20000000001</v>
      </c>
      <c r="H32" s="5">
        <f>F32*params!$B$11*params!$B$12</f>
        <v>126581760</v>
      </c>
      <c r="I32" s="5">
        <f>G32*params!$B$11*params!$B$12</f>
        <v>25316352</v>
      </c>
      <c r="J32" s="7">
        <f>((E32*params!$B$20)/1000)*params!$B$18</f>
        <v>12104.380799999999</v>
      </c>
      <c r="K32" s="7">
        <f>((E32*params!$B$21)/1000)*params!$B$19</f>
        <v>7278.4512000000004</v>
      </c>
      <c r="L32" s="8">
        <f>E32*params!$B$11*params!$B$12</f>
        <v>37785600</v>
      </c>
      <c r="M32" s="7">
        <f>J32*params!$B$11*params!$B$12</f>
        <v>1936700.9279999998</v>
      </c>
      <c r="N32" s="7">
        <f>K32*params!$B$11*params!$B$12</f>
        <v>1164552.192</v>
      </c>
      <c r="O32" s="8">
        <f>((L32-1000)/1000)*prices!$D$17</f>
        <v>57810.438000000002</v>
      </c>
      <c r="P32" s="5">
        <f>params!$B$16</f>
        <v>1984.25</v>
      </c>
      <c r="Q32" s="8">
        <f t="shared" si="0"/>
        <v>59794.688000000002</v>
      </c>
      <c r="R32" s="7">
        <f t="shared" si="1"/>
        <v>3101253.12</v>
      </c>
      <c r="S32" s="8">
        <f t="shared" si="2"/>
        <v>3161047.8080000002</v>
      </c>
      <c r="T32" s="8">
        <f t="shared" si="3"/>
        <v>30920136.703999996</v>
      </c>
      <c r="U32" s="9">
        <f>S32*(1-params!$B$4)</f>
        <v>2528838.2464000005</v>
      </c>
      <c r="V32" s="9">
        <f t="shared" si="4"/>
        <v>24736109.363200001</v>
      </c>
    </row>
    <row r="33" spans="1:22" x14ac:dyDescent="0.25">
      <c r="A33" s="5">
        <v>32</v>
      </c>
      <c r="B33" s="6">
        <v>46419</v>
      </c>
      <c r="C33" s="5">
        <f>ROUND(IFERROR((2^(A33/params!$B$2))+demandForecast!C32,1),0)</f>
        <v>180</v>
      </c>
      <c r="D33" s="5">
        <f>IFERROR((C33*params!$B$3),10)</f>
        <v>7200</v>
      </c>
      <c r="E33" s="5">
        <f>D33*params!$B$22</f>
        <v>259200</v>
      </c>
      <c r="F33" s="5">
        <f>((E33*params!$B$20)/1000)</f>
        <v>868320</v>
      </c>
      <c r="G33" s="5">
        <f>((E33*params!$B$21)/1000)</f>
        <v>173664</v>
      </c>
      <c r="H33" s="5">
        <f>F33*params!$B$11*params!$B$12</f>
        <v>138931200</v>
      </c>
      <c r="I33" s="5">
        <f>G33*params!$B$11*params!$B$12</f>
        <v>27786240</v>
      </c>
      <c r="J33" s="7">
        <f>((E33*params!$B$20)/1000)*params!$B$18</f>
        <v>13285.296</v>
      </c>
      <c r="K33" s="7">
        <f>((E33*params!$B$21)/1000)*params!$B$19</f>
        <v>7988.5439999999999</v>
      </c>
      <c r="L33" s="8">
        <f>E33*params!$B$11*params!$B$12</f>
        <v>41472000</v>
      </c>
      <c r="M33" s="7">
        <f>J33*params!$B$11*params!$B$12</f>
        <v>2125647.36</v>
      </c>
      <c r="N33" s="7">
        <f>K33*params!$B$11*params!$B$12</f>
        <v>1278167.04</v>
      </c>
      <c r="O33" s="8">
        <f>((L33-1000)/1000)*prices!$D$17</f>
        <v>63450.630000000005</v>
      </c>
      <c r="P33" s="5">
        <f>params!$B$16</f>
        <v>1984.25</v>
      </c>
      <c r="Q33" s="8">
        <f t="shared" si="0"/>
        <v>65434.880000000005</v>
      </c>
      <c r="R33" s="7">
        <f t="shared" si="1"/>
        <v>3403814.4</v>
      </c>
      <c r="S33" s="8">
        <f t="shared" si="2"/>
        <v>3469249.28</v>
      </c>
      <c r="T33" s="8">
        <f t="shared" si="3"/>
        <v>34389385.983999997</v>
      </c>
      <c r="U33" s="9">
        <f>S33*(1-params!$B$4)</f>
        <v>2775399.4240000001</v>
      </c>
      <c r="V33" s="9">
        <f t="shared" si="4"/>
        <v>27511508.7872</v>
      </c>
    </row>
    <row r="34" spans="1:22" x14ac:dyDescent="0.25">
      <c r="A34" s="5">
        <v>33</v>
      </c>
      <c r="B34" s="6">
        <v>46447</v>
      </c>
      <c r="C34" s="5">
        <f>ROUND(IFERROR((2^(A34/params!$B$2))+demandForecast!C33,1),0)</f>
        <v>197</v>
      </c>
      <c r="D34" s="5">
        <f>IFERROR((C34*params!$B$3),10)</f>
        <v>7880</v>
      </c>
      <c r="E34" s="5">
        <f>D34*params!$B$22</f>
        <v>283680</v>
      </c>
      <c r="F34" s="5">
        <f>((E34*params!$B$20)/1000)</f>
        <v>950328</v>
      </c>
      <c r="G34" s="5">
        <f>((E34*params!$B$21)/1000)</f>
        <v>190065.6</v>
      </c>
      <c r="H34" s="5">
        <f>F34*params!$B$11*params!$B$12</f>
        <v>152052480</v>
      </c>
      <c r="I34" s="5">
        <f>G34*params!$B$11*params!$B$12</f>
        <v>30410496</v>
      </c>
      <c r="J34" s="7">
        <f>((E34*params!$B$20)/1000)*params!$B$18</f>
        <v>14540.018399999999</v>
      </c>
      <c r="K34" s="7">
        <f>((E34*params!$B$21)/1000)*params!$B$19</f>
        <v>8743.0175999999992</v>
      </c>
      <c r="L34" s="8">
        <f>E34*params!$B$11*params!$B$12</f>
        <v>45388800</v>
      </c>
      <c r="M34" s="7">
        <f>J34*params!$B$11*params!$B$12</f>
        <v>2326402.9439999997</v>
      </c>
      <c r="N34" s="7">
        <f>K34*params!$B$11*params!$B$12</f>
        <v>1398882.8159999999</v>
      </c>
      <c r="O34" s="8">
        <f>((L34-1000)/1000)*prices!$D$17</f>
        <v>69443.334000000003</v>
      </c>
      <c r="P34" s="5">
        <f>params!$B$16</f>
        <v>1984.25</v>
      </c>
      <c r="Q34" s="8">
        <f t="shared" si="0"/>
        <v>71427.584000000003</v>
      </c>
      <c r="R34" s="7">
        <f t="shared" si="1"/>
        <v>3725285.76</v>
      </c>
      <c r="S34" s="8">
        <f t="shared" si="2"/>
        <v>3796713.3439999996</v>
      </c>
      <c r="T34" s="8">
        <f t="shared" si="3"/>
        <v>38186099.327999994</v>
      </c>
      <c r="U34" s="9">
        <f>S34*(1-params!$B$4)</f>
        <v>3037370.6751999999</v>
      </c>
      <c r="V34" s="9">
        <f t="shared" si="4"/>
        <v>30548879.462400001</v>
      </c>
    </row>
    <row r="35" spans="1:22" x14ac:dyDescent="0.25">
      <c r="A35" s="5">
        <v>34</v>
      </c>
      <c r="B35" s="6">
        <v>46478</v>
      </c>
      <c r="C35" s="5">
        <f>ROUND(IFERROR((2^(A35/params!$B$2))+demandForecast!C34,1),0)</f>
        <v>216</v>
      </c>
      <c r="D35" s="5">
        <f>IFERROR((C35*params!$B$3),10)</f>
        <v>8640</v>
      </c>
      <c r="E35" s="5">
        <f>D35*params!$B$22</f>
        <v>311040</v>
      </c>
      <c r="F35" s="5">
        <f>((E35*params!$B$20)/1000)</f>
        <v>1041984</v>
      </c>
      <c r="G35" s="5">
        <f>((E35*params!$B$21)/1000)</f>
        <v>208396.79999999999</v>
      </c>
      <c r="H35" s="5">
        <f>F35*params!$B$11*params!$B$12</f>
        <v>166717440</v>
      </c>
      <c r="I35" s="5">
        <f>G35*params!$B$11*params!$B$12</f>
        <v>33343488</v>
      </c>
      <c r="J35" s="7">
        <f>((E35*params!$B$20)/1000)*params!$B$18</f>
        <v>15942.3552</v>
      </c>
      <c r="K35" s="7">
        <f>((E35*params!$B$21)/1000)*params!$B$19</f>
        <v>9586.2528000000002</v>
      </c>
      <c r="L35" s="8">
        <f>E35*params!$B$11*params!$B$12</f>
        <v>49766400</v>
      </c>
      <c r="M35" s="7">
        <f>J35*params!$B$11*params!$B$12</f>
        <v>2550776.8319999999</v>
      </c>
      <c r="N35" s="7">
        <f>K35*params!$B$11*params!$B$12</f>
        <v>1533800.4480000001</v>
      </c>
      <c r="O35" s="8">
        <f>((L35-1000)/1000)*prices!$D$17</f>
        <v>76141.062000000005</v>
      </c>
      <c r="P35" s="5">
        <f>params!$B$16</f>
        <v>1984.25</v>
      </c>
      <c r="Q35" s="8">
        <f t="shared" si="0"/>
        <v>78125.312000000005</v>
      </c>
      <c r="R35" s="7">
        <f t="shared" si="1"/>
        <v>4084577.2800000003</v>
      </c>
      <c r="S35" s="8">
        <f t="shared" si="2"/>
        <v>4162702.5920000002</v>
      </c>
      <c r="T35" s="8">
        <f t="shared" si="3"/>
        <v>42348801.919999994</v>
      </c>
      <c r="U35" s="9">
        <f>S35*(1-params!$B$4)</f>
        <v>3330162.0736000002</v>
      </c>
      <c r="V35" s="9">
        <f t="shared" si="4"/>
        <v>33879041.535999998</v>
      </c>
    </row>
    <row r="36" spans="1:22" x14ac:dyDescent="0.25">
      <c r="A36" s="5">
        <v>35</v>
      </c>
      <c r="B36" s="6">
        <v>46508</v>
      </c>
      <c r="C36" s="5">
        <f>ROUND(IFERROR((2^(A36/params!$B$2))+demandForecast!C35,1),0)</f>
        <v>237</v>
      </c>
      <c r="D36" s="5">
        <f>IFERROR((C36*params!$B$3),10)</f>
        <v>9480</v>
      </c>
      <c r="E36" s="5">
        <f>D36*params!$B$22</f>
        <v>341280</v>
      </c>
      <c r="F36" s="5">
        <f>((E36*params!$B$20)/1000)</f>
        <v>1143288</v>
      </c>
      <c r="G36" s="5">
        <f>((E36*params!$B$21)/1000)</f>
        <v>228657.6</v>
      </c>
      <c r="H36" s="5">
        <f>F36*params!$B$11*params!$B$12</f>
        <v>182926080</v>
      </c>
      <c r="I36" s="5">
        <f>G36*params!$B$11*params!$B$12</f>
        <v>36585216</v>
      </c>
      <c r="J36" s="7">
        <f>((E36*params!$B$20)/1000)*params!$B$18</f>
        <v>17492.306399999998</v>
      </c>
      <c r="K36" s="7">
        <f>((E36*params!$B$21)/1000)*params!$B$19</f>
        <v>10518.249599999999</v>
      </c>
      <c r="L36" s="8">
        <f>E36*params!$B$11*params!$B$12</f>
        <v>54604800</v>
      </c>
      <c r="M36" s="7">
        <f>J36*params!$B$11*params!$B$12</f>
        <v>2798769.0239999997</v>
      </c>
      <c r="N36" s="7">
        <f>K36*params!$B$11*params!$B$12</f>
        <v>1682919.9359999998</v>
      </c>
      <c r="O36" s="8">
        <f>((L36-1000)/1000)*prices!$D$17</f>
        <v>83543.814000000013</v>
      </c>
      <c r="P36" s="5">
        <f>params!$B$16</f>
        <v>1984.25</v>
      </c>
      <c r="Q36" s="8">
        <f t="shared" si="0"/>
        <v>85528.064000000013</v>
      </c>
      <c r="R36" s="7">
        <f t="shared" si="1"/>
        <v>4481688.959999999</v>
      </c>
      <c r="S36" s="8">
        <f t="shared" si="2"/>
        <v>4567217.0239999993</v>
      </c>
      <c r="T36" s="8">
        <f t="shared" si="3"/>
        <v>46916018.943999991</v>
      </c>
      <c r="U36" s="9">
        <f>S36*(1-params!$B$4)</f>
        <v>3653773.6191999996</v>
      </c>
      <c r="V36" s="9">
        <f t="shared" si="4"/>
        <v>37532815.155199997</v>
      </c>
    </row>
    <row r="37" spans="1:22" x14ac:dyDescent="0.25">
      <c r="A37" s="5">
        <v>36</v>
      </c>
      <c r="B37" s="6">
        <v>46539</v>
      </c>
      <c r="C37" s="5">
        <f>ROUND(IFERROR((2^(A37/params!$B$2))+demandForecast!C36,1),0)</f>
        <v>260</v>
      </c>
      <c r="D37" s="5">
        <f>IFERROR((C37*params!$B$3),10)</f>
        <v>10400</v>
      </c>
      <c r="E37" s="5">
        <f>D37*params!$B$22</f>
        <v>374400</v>
      </c>
      <c r="F37" s="5">
        <f>((E37*params!$B$20)/1000)</f>
        <v>1254240</v>
      </c>
      <c r="G37" s="5">
        <f>((E37*params!$B$21)/1000)</f>
        <v>250848</v>
      </c>
      <c r="H37" s="5">
        <f>F37*params!$B$11*params!$B$12</f>
        <v>200678400</v>
      </c>
      <c r="I37" s="5">
        <f>G37*params!$B$11*params!$B$12</f>
        <v>40135680</v>
      </c>
      <c r="J37" s="7">
        <f>((E37*params!$B$20)/1000)*params!$B$18</f>
        <v>19189.871999999999</v>
      </c>
      <c r="K37" s="7">
        <f>((E37*params!$B$21)/1000)*params!$B$19</f>
        <v>11539.008</v>
      </c>
      <c r="L37" s="8">
        <f>E37*params!$B$11*params!$B$12</f>
        <v>59904000</v>
      </c>
      <c r="M37" s="7">
        <f>J37*params!$B$11*params!$B$12</f>
        <v>3070379.52</v>
      </c>
      <c r="N37" s="7">
        <f>K37*params!$B$11*params!$B$12</f>
        <v>1846241.28</v>
      </c>
      <c r="O37" s="8">
        <f>((L37-1000)/1000)*prices!$D$17</f>
        <v>91651.59</v>
      </c>
      <c r="P37" s="5">
        <f>params!$B$16</f>
        <v>1984.25</v>
      </c>
      <c r="Q37" s="8">
        <f t="shared" si="0"/>
        <v>93635.839999999997</v>
      </c>
      <c r="R37" s="7">
        <f t="shared" si="1"/>
        <v>4916620.8</v>
      </c>
      <c r="S37" s="8">
        <f t="shared" si="2"/>
        <v>5010256.6399999997</v>
      </c>
      <c r="T37" s="8">
        <f t="shared" si="3"/>
        <v>51926275.583999991</v>
      </c>
      <c r="U37" s="9">
        <f>S37*(1-params!$B$4)</f>
        <v>4008205.3119999999</v>
      </c>
      <c r="V37" s="9">
        <f t="shared" si="4"/>
        <v>41541020.467199996</v>
      </c>
    </row>
    <row r="38" spans="1:22" x14ac:dyDescent="0.25">
      <c r="A38" s="5">
        <v>37</v>
      </c>
      <c r="B38" s="6">
        <v>46569</v>
      </c>
      <c r="C38" s="5">
        <f>ROUND(IFERROR((2^(A38/params!$B$2))+demandForecast!C37,1),0)</f>
        <v>285</v>
      </c>
      <c r="D38" s="5">
        <f>IFERROR((C38*params!$B$3),10)</f>
        <v>11400</v>
      </c>
      <c r="E38" s="5">
        <f>D38*params!$B$22</f>
        <v>410400</v>
      </c>
      <c r="F38" s="5">
        <f>((E38*params!$B$20)/1000)</f>
        <v>1374840</v>
      </c>
      <c r="G38" s="5">
        <f>((E38*params!$B$21)/1000)</f>
        <v>274968</v>
      </c>
      <c r="H38" s="5">
        <f>F38*params!$B$11*params!$B$12</f>
        <v>219974400</v>
      </c>
      <c r="I38" s="5">
        <f>G38*params!$B$11*params!$B$12</f>
        <v>43994880</v>
      </c>
      <c r="J38" s="7">
        <f>((E38*params!$B$20)/1000)*params!$B$18</f>
        <v>21035.052</v>
      </c>
      <c r="K38" s="7">
        <f>((E38*params!$B$21)/1000)*params!$B$19</f>
        <v>12648.528</v>
      </c>
      <c r="L38" s="8">
        <f>E38*params!$B$11*params!$B$12</f>
        <v>65664000</v>
      </c>
      <c r="M38" s="7">
        <f>J38*params!$B$11*params!$B$12</f>
        <v>3365608.32</v>
      </c>
      <c r="N38" s="7">
        <f>K38*params!$B$11*params!$B$12</f>
        <v>2023764.48</v>
      </c>
      <c r="O38" s="8">
        <f>((L38-1000)/1000)*prices!$D$17</f>
        <v>100464.39</v>
      </c>
      <c r="P38" s="5">
        <f>params!$B$16</f>
        <v>1984.25</v>
      </c>
      <c r="Q38" s="8">
        <f t="shared" si="0"/>
        <v>102448.64</v>
      </c>
      <c r="R38" s="7">
        <f t="shared" si="1"/>
        <v>5389372.7999999998</v>
      </c>
      <c r="S38" s="8">
        <f t="shared" si="2"/>
        <v>5491821.4399999995</v>
      </c>
      <c r="T38" s="8">
        <f t="shared" si="3"/>
        <v>57418097.023999989</v>
      </c>
      <c r="U38" s="9">
        <f>S38*(1-params!$B$4)</f>
        <v>4393457.1519999998</v>
      </c>
      <c r="V38" s="9">
        <f t="shared" si="4"/>
        <v>45934477.619199999</v>
      </c>
    </row>
    <row r="39" spans="1:22" x14ac:dyDescent="0.25">
      <c r="A39" s="5">
        <v>38</v>
      </c>
      <c r="B39" s="6">
        <v>46600</v>
      </c>
      <c r="C39" s="5">
        <f>ROUND(IFERROR((2^(A39/params!$B$2))+demandForecast!C38,1),0)</f>
        <v>312</v>
      </c>
      <c r="D39" s="5">
        <f>IFERROR((C39*params!$B$3),10)</f>
        <v>12480</v>
      </c>
      <c r="E39" s="5">
        <f>D39*params!$B$22</f>
        <v>449280</v>
      </c>
      <c r="F39" s="5">
        <f>((E39*params!$B$20)/1000)</f>
        <v>1505088</v>
      </c>
      <c r="G39" s="5">
        <f>((E39*params!$B$21)/1000)</f>
        <v>301017.59999999998</v>
      </c>
      <c r="H39" s="5">
        <f>F39*params!$B$11*params!$B$12</f>
        <v>240814080</v>
      </c>
      <c r="I39" s="5">
        <f>G39*params!$B$11*params!$B$12</f>
        <v>48162816</v>
      </c>
      <c r="J39" s="7">
        <f>((E39*params!$B$20)/1000)*params!$B$18</f>
        <v>23027.846399999999</v>
      </c>
      <c r="K39" s="7">
        <f>((E39*params!$B$21)/1000)*params!$B$19</f>
        <v>13846.809599999999</v>
      </c>
      <c r="L39" s="8">
        <f>E39*params!$B$11*params!$B$12</f>
        <v>71884800</v>
      </c>
      <c r="M39" s="7">
        <f>J39*params!$B$11*params!$B$12</f>
        <v>3684455.4239999996</v>
      </c>
      <c r="N39" s="7">
        <f>K39*params!$B$11*params!$B$12</f>
        <v>2215489.5359999998</v>
      </c>
      <c r="O39" s="8">
        <f>((L39-1000)/1000)*prices!$D$17</f>
        <v>109982.21400000001</v>
      </c>
      <c r="P39" s="5">
        <f>params!$B$16</f>
        <v>1984.25</v>
      </c>
      <c r="Q39" s="8">
        <f t="shared" si="0"/>
        <v>111966.46400000001</v>
      </c>
      <c r="R39" s="7">
        <f t="shared" si="1"/>
        <v>5899944.959999999</v>
      </c>
      <c r="S39" s="8">
        <f t="shared" si="2"/>
        <v>6011911.4239999987</v>
      </c>
      <c r="T39" s="8">
        <f t="shared" si="3"/>
        <v>63430008.447999984</v>
      </c>
      <c r="U39" s="9">
        <f>S39*(1-params!$B$4)</f>
        <v>4809529.1391999992</v>
      </c>
      <c r="V39" s="9">
        <f t="shared" si="4"/>
        <v>50744006.758400001</v>
      </c>
    </row>
    <row r="40" spans="1:22" x14ac:dyDescent="0.25">
      <c r="A40" s="5">
        <v>39</v>
      </c>
      <c r="B40" s="6">
        <v>46631</v>
      </c>
      <c r="C40" s="5">
        <f>ROUND(IFERROR((2^(A40/params!$B$2))+demandForecast!C39,1),0)</f>
        <v>341</v>
      </c>
      <c r="D40" s="5">
        <f>IFERROR((C40*params!$B$3),10)</f>
        <v>13640</v>
      </c>
      <c r="E40" s="5">
        <f>D40*params!$B$22</f>
        <v>491040</v>
      </c>
      <c r="F40" s="5">
        <f>((E40*params!$B$20)/1000)</f>
        <v>1644984</v>
      </c>
      <c r="G40" s="5">
        <f>((E40*params!$B$21)/1000)</f>
        <v>328996.8</v>
      </c>
      <c r="H40" s="5">
        <f>F40*params!$B$11*params!$B$12</f>
        <v>263197440</v>
      </c>
      <c r="I40" s="5">
        <f>G40*params!$B$11*params!$B$12</f>
        <v>52639488</v>
      </c>
      <c r="J40" s="7">
        <f>((E40*params!$B$20)/1000)*params!$B$18</f>
        <v>25168.2552</v>
      </c>
      <c r="K40" s="7">
        <f>((E40*params!$B$21)/1000)*params!$B$19</f>
        <v>15133.852799999999</v>
      </c>
      <c r="L40" s="8">
        <f>E40*params!$B$11*params!$B$12</f>
        <v>78566400</v>
      </c>
      <c r="M40" s="7">
        <f>J40*params!$B$11*params!$B$12</f>
        <v>4026920.8319999999</v>
      </c>
      <c r="N40" s="7">
        <f>K40*params!$B$11*params!$B$12</f>
        <v>2421416.4479999999</v>
      </c>
      <c r="O40" s="8">
        <f>((L40-1000)/1000)*prices!$D$17</f>
        <v>120205.06199999999</v>
      </c>
      <c r="P40" s="5">
        <f>params!$B$16</f>
        <v>1984.25</v>
      </c>
      <c r="Q40" s="8">
        <f t="shared" si="0"/>
        <v>122189.31199999999</v>
      </c>
      <c r="R40" s="7">
        <f t="shared" si="1"/>
        <v>6448337.2799999993</v>
      </c>
      <c r="S40" s="8">
        <f t="shared" si="2"/>
        <v>6570526.5919999992</v>
      </c>
      <c r="T40" s="8">
        <f t="shared" si="3"/>
        <v>70000535.039999977</v>
      </c>
      <c r="U40" s="9">
        <f>S40*(1-params!$B$4)</f>
        <v>5256421.2736</v>
      </c>
      <c r="V40" s="9">
        <f t="shared" si="4"/>
        <v>56000428.031999998</v>
      </c>
    </row>
    <row r="41" spans="1:22" x14ac:dyDescent="0.25">
      <c r="A41" s="5">
        <v>40</v>
      </c>
      <c r="B41" s="6">
        <v>46661</v>
      </c>
      <c r="C41" s="5">
        <f>ROUND(IFERROR((2^(A41/params!$B$2))+demandForecast!C40,1),0)</f>
        <v>373</v>
      </c>
      <c r="D41" s="5">
        <f>IFERROR((C41*params!$B$3),10)</f>
        <v>14920</v>
      </c>
      <c r="E41" s="5">
        <f>D41*params!$B$22</f>
        <v>537120</v>
      </c>
      <c r="F41" s="5">
        <f>((E41*params!$B$20)/1000)</f>
        <v>1799352</v>
      </c>
      <c r="G41" s="5">
        <f>((E41*params!$B$21)/1000)</f>
        <v>359870.4</v>
      </c>
      <c r="H41" s="5">
        <f>F41*params!$B$11*params!$B$12</f>
        <v>287896320</v>
      </c>
      <c r="I41" s="5">
        <f>G41*params!$B$11*params!$B$12</f>
        <v>57579264</v>
      </c>
      <c r="J41" s="7">
        <f>((E41*params!$B$20)/1000)*params!$B$18</f>
        <v>27530.085599999999</v>
      </c>
      <c r="K41" s="7">
        <f>((E41*params!$B$21)/1000)*params!$B$19</f>
        <v>16554.038400000001</v>
      </c>
      <c r="L41" s="8">
        <f>E41*params!$B$11*params!$B$12</f>
        <v>85939200</v>
      </c>
      <c r="M41" s="7">
        <f>J41*params!$B$11*params!$B$12</f>
        <v>4404813.6959999995</v>
      </c>
      <c r="N41" s="7">
        <f>K41*params!$B$11*params!$B$12</f>
        <v>2648646.1440000003</v>
      </c>
      <c r="O41" s="8">
        <f>((L41-1000)/1000)*prices!$D$17</f>
        <v>131485.446</v>
      </c>
      <c r="P41" s="5">
        <f>params!$B$16</f>
        <v>1984.25</v>
      </c>
      <c r="Q41" s="8">
        <f t="shared" si="0"/>
        <v>133469.696</v>
      </c>
      <c r="R41" s="7">
        <f t="shared" si="1"/>
        <v>7053459.8399999999</v>
      </c>
      <c r="S41" s="8">
        <f t="shared" si="2"/>
        <v>7186929.5360000003</v>
      </c>
      <c r="T41" s="8">
        <f t="shared" si="3"/>
        <v>77187464.575999975</v>
      </c>
      <c r="U41" s="9">
        <f>S41*(1-params!$B$4)</f>
        <v>5749543.628800001</v>
      </c>
      <c r="V41" s="9">
        <f t="shared" si="4"/>
        <v>61749971.660799995</v>
      </c>
    </row>
    <row r="42" spans="1:22" x14ac:dyDescent="0.25">
      <c r="A42" s="5">
        <v>41</v>
      </c>
      <c r="B42" s="6">
        <v>46692</v>
      </c>
      <c r="C42" s="5">
        <f>ROUND(IFERROR((2^(A42/params!$B$2))+demandForecast!C41,1),0)</f>
        <v>408</v>
      </c>
      <c r="D42" s="5">
        <f>IFERROR((C42*params!$B$3),10)</f>
        <v>16320</v>
      </c>
      <c r="E42" s="5">
        <f>D42*params!$B$22</f>
        <v>587520</v>
      </c>
      <c r="F42" s="5">
        <f>((E42*params!$B$20)/1000)</f>
        <v>1968192</v>
      </c>
      <c r="G42" s="5">
        <f>((E42*params!$B$21)/1000)</f>
        <v>393638.40000000002</v>
      </c>
      <c r="H42" s="5">
        <f>F42*params!$B$11*params!$B$12</f>
        <v>314910720</v>
      </c>
      <c r="I42" s="5">
        <f>G42*params!$B$11*params!$B$12</f>
        <v>62982144</v>
      </c>
      <c r="J42" s="7">
        <f>((E42*params!$B$20)/1000)*params!$B$18</f>
        <v>30113.337599999999</v>
      </c>
      <c r="K42" s="7">
        <f>((E42*params!$B$21)/1000)*params!$B$19</f>
        <v>18107.366399999999</v>
      </c>
      <c r="L42" s="8">
        <f>E42*params!$B$11*params!$B$12</f>
        <v>94003200</v>
      </c>
      <c r="M42" s="7">
        <f>J42*params!$B$11*params!$B$12</f>
        <v>4818134.0159999998</v>
      </c>
      <c r="N42" s="7">
        <f>K42*params!$B$11*params!$B$12</f>
        <v>2897178.6239999998</v>
      </c>
      <c r="O42" s="8">
        <f>((L42-1000)/1000)*prices!$D$17</f>
        <v>143823.36600000001</v>
      </c>
      <c r="P42" s="5">
        <f>params!$B$16</f>
        <v>1984.25</v>
      </c>
      <c r="Q42" s="8">
        <f t="shared" si="0"/>
        <v>145807.61600000001</v>
      </c>
      <c r="R42" s="7">
        <f t="shared" si="1"/>
        <v>7715312.6399999997</v>
      </c>
      <c r="S42" s="8">
        <f t="shared" si="2"/>
        <v>7861120.2560000001</v>
      </c>
      <c r="T42" s="8">
        <f t="shared" si="3"/>
        <v>85048584.831999972</v>
      </c>
      <c r="U42" s="9">
        <f>S42*(1-params!$B$4)</f>
        <v>6288896.2048000004</v>
      </c>
      <c r="V42" s="9">
        <f t="shared" si="4"/>
        <v>68038867.86559999</v>
      </c>
    </row>
    <row r="43" spans="1:22" x14ac:dyDescent="0.25">
      <c r="A43" s="5">
        <v>42</v>
      </c>
      <c r="B43" s="6">
        <v>46722</v>
      </c>
      <c r="C43" s="5">
        <f>ROUND(IFERROR((2^(A43/params!$B$2))+demandForecast!C42,1),0)</f>
        <v>446</v>
      </c>
      <c r="D43" s="5">
        <f>IFERROR((C43*params!$B$3),10)</f>
        <v>17840</v>
      </c>
      <c r="E43" s="5">
        <f>D43*params!$B$22</f>
        <v>642240</v>
      </c>
      <c r="F43" s="5">
        <f>((E43*params!$B$20)/1000)</f>
        <v>2151504</v>
      </c>
      <c r="G43" s="5">
        <f>((E43*params!$B$21)/1000)</f>
        <v>430300.8</v>
      </c>
      <c r="H43" s="5">
        <f>F43*params!$B$11*params!$B$12</f>
        <v>344240640</v>
      </c>
      <c r="I43" s="5">
        <f>G43*params!$B$11*params!$B$12</f>
        <v>68848128</v>
      </c>
      <c r="J43" s="7">
        <f>((E43*params!$B$20)/1000)*params!$B$18</f>
        <v>32918.011200000001</v>
      </c>
      <c r="K43" s="7">
        <f>((E43*params!$B$21)/1000)*params!$B$19</f>
        <v>19793.836799999997</v>
      </c>
      <c r="L43" s="8">
        <f>E43*params!$B$11*params!$B$12</f>
        <v>102758400</v>
      </c>
      <c r="M43" s="7">
        <f>J43*params!$B$11*params!$B$12</f>
        <v>5266881.7920000004</v>
      </c>
      <c r="N43" s="7">
        <f>K43*params!$B$11*params!$B$12</f>
        <v>3167013.8879999993</v>
      </c>
      <c r="O43" s="8">
        <f>((L43-1000)/1000)*prices!$D$17</f>
        <v>157218.82199999999</v>
      </c>
      <c r="P43" s="5">
        <f>params!$B$16</f>
        <v>1984.25</v>
      </c>
      <c r="Q43" s="8">
        <f t="shared" si="0"/>
        <v>159203.07199999999</v>
      </c>
      <c r="R43" s="7">
        <f t="shared" si="1"/>
        <v>8433895.6799999997</v>
      </c>
      <c r="S43" s="8">
        <f t="shared" si="2"/>
        <v>8593098.7520000003</v>
      </c>
      <c r="T43" s="8">
        <f t="shared" si="3"/>
        <v>93641683.583999977</v>
      </c>
      <c r="U43" s="9">
        <f>S43*(1-params!$B$4)</f>
        <v>6874479.001600001</v>
      </c>
      <c r="V43" s="9">
        <f t="shared" si="4"/>
        <v>74913346.867199987</v>
      </c>
    </row>
    <row r="44" spans="1:22" x14ac:dyDescent="0.25">
      <c r="A44" s="5">
        <v>43</v>
      </c>
      <c r="B44" s="6">
        <v>46753</v>
      </c>
      <c r="C44" s="5">
        <f>ROUND(IFERROR((2^(A44/params!$B$2))+demandForecast!C43,1),0)</f>
        <v>487</v>
      </c>
      <c r="D44" s="5">
        <f>IFERROR((C44*params!$B$3),10)</f>
        <v>19480</v>
      </c>
      <c r="E44" s="5">
        <f>D44*params!$B$22</f>
        <v>701280</v>
      </c>
      <c r="F44" s="5">
        <f>((E44*params!$B$20)/1000)</f>
        <v>2349288</v>
      </c>
      <c r="G44" s="5">
        <f>((E44*params!$B$21)/1000)</f>
        <v>469857.6</v>
      </c>
      <c r="H44" s="5">
        <f>F44*params!$B$11*params!$B$12</f>
        <v>375886080</v>
      </c>
      <c r="I44" s="5">
        <f>G44*params!$B$11*params!$B$12</f>
        <v>75177216</v>
      </c>
      <c r="J44" s="7">
        <f>((E44*params!$B$20)/1000)*params!$B$18</f>
        <v>35944.106399999997</v>
      </c>
      <c r="K44" s="7">
        <f>((E44*params!$B$21)/1000)*params!$B$19</f>
        <v>21613.4496</v>
      </c>
      <c r="L44" s="8">
        <f>E44*params!$B$11*params!$B$12</f>
        <v>112204800</v>
      </c>
      <c r="M44" s="7">
        <f>J44*params!$B$11*params!$B$12</f>
        <v>5751057.0239999993</v>
      </c>
      <c r="N44" s="7">
        <f>K44*params!$B$11*params!$B$12</f>
        <v>3458151.9359999998</v>
      </c>
      <c r="O44" s="8">
        <f>((L44-1000)/1000)*prices!$D$17</f>
        <v>171671.81400000001</v>
      </c>
      <c r="P44" s="5">
        <f>params!$B$16</f>
        <v>1984.25</v>
      </c>
      <c r="Q44" s="8">
        <f t="shared" si="0"/>
        <v>173656.06400000001</v>
      </c>
      <c r="R44" s="7">
        <f t="shared" si="1"/>
        <v>9209208.959999999</v>
      </c>
      <c r="S44" s="8">
        <f t="shared" si="2"/>
        <v>9382865.0239999983</v>
      </c>
      <c r="T44" s="8">
        <f t="shared" si="3"/>
        <v>103024548.60799998</v>
      </c>
      <c r="U44" s="9">
        <f>S44*(1-params!$B$4)</f>
        <v>7506292.019199999</v>
      </c>
      <c r="V44" s="9">
        <f t="shared" si="4"/>
        <v>82419638.886399984</v>
      </c>
    </row>
    <row r="45" spans="1:22" x14ac:dyDescent="0.25">
      <c r="A45" s="5">
        <v>44</v>
      </c>
      <c r="B45" s="6">
        <v>46784</v>
      </c>
      <c r="C45" s="5">
        <f>ROUND(IFERROR((2^(A45/params!$B$2))+demandForecast!C44,1),0)</f>
        <v>532</v>
      </c>
      <c r="D45" s="5">
        <f>IFERROR((C45*params!$B$3),10)</f>
        <v>21280</v>
      </c>
      <c r="E45" s="5">
        <f>D45*params!$B$22</f>
        <v>766080</v>
      </c>
      <c r="F45" s="5">
        <f>((E45*params!$B$20)/1000)</f>
        <v>2566368</v>
      </c>
      <c r="G45" s="5">
        <f>((E45*params!$B$21)/1000)</f>
        <v>513273.59999999998</v>
      </c>
      <c r="H45" s="5">
        <f>F45*params!$B$11*params!$B$12</f>
        <v>410618880</v>
      </c>
      <c r="I45" s="5">
        <f>G45*params!$B$11*params!$B$12</f>
        <v>82123776</v>
      </c>
      <c r="J45" s="7">
        <f>((E45*params!$B$20)/1000)*params!$B$18</f>
        <v>39265.430399999997</v>
      </c>
      <c r="K45" s="7">
        <f>((E45*params!$B$21)/1000)*params!$B$19</f>
        <v>23610.585599999999</v>
      </c>
      <c r="L45" s="8">
        <f>E45*params!$B$11*params!$B$12</f>
        <v>122572800</v>
      </c>
      <c r="M45" s="7">
        <f>J45*params!$B$11*params!$B$12</f>
        <v>6282468.8640000001</v>
      </c>
      <c r="N45" s="7">
        <f>K45*params!$B$11*params!$B$12</f>
        <v>3777693.6959999995</v>
      </c>
      <c r="O45" s="8">
        <f>((L45-1000)/1000)*prices!$D$17</f>
        <v>187534.85400000002</v>
      </c>
      <c r="P45" s="5">
        <f>params!$B$16</f>
        <v>1984.25</v>
      </c>
      <c r="Q45" s="8">
        <f t="shared" si="0"/>
        <v>189519.10400000002</v>
      </c>
      <c r="R45" s="7">
        <f t="shared" si="1"/>
        <v>10060162.559999999</v>
      </c>
      <c r="S45" s="8">
        <f t="shared" si="2"/>
        <v>10249681.663999999</v>
      </c>
      <c r="T45" s="8">
        <f t="shared" si="3"/>
        <v>113274230.27199998</v>
      </c>
      <c r="U45" s="9">
        <f>S45*(1-params!$B$4)</f>
        <v>8199745.3311999999</v>
      </c>
      <c r="V45" s="9">
        <f t="shared" si="4"/>
        <v>90619384.217599988</v>
      </c>
    </row>
    <row r="46" spans="1:22" x14ac:dyDescent="0.25">
      <c r="A46" s="5">
        <v>45</v>
      </c>
      <c r="B46" s="6">
        <v>46813</v>
      </c>
      <c r="C46" s="5">
        <f>ROUND(IFERROR((2^(A46/params!$B$2))+demandForecast!C45,1),0)</f>
        <v>581</v>
      </c>
      <c r="D46" s="5">
        <f>IFERROR((C46*params!$B$3),10)</f>
        <v>23240</v>
      </c>
      <c r="E46" s="5">
        <f>D46*params!$B$22</f>
        <v>836640</v>
      </c>
      <c r="F46" s="5">
        <f>((E46*params!$B$20)/1000)</f>
        <v>2802744</v>
      </c>
      <c r="G46" s="5">
        <f>((E46*params!$B$21)/1000)</f>
        <v>560548.80000000005</v>
      </c>
      <c r="H46" s="5">
        <f>F46*params!$B$11*params!$B$12</f>
        <v>448439040</v>
      </c>
      <c r="I46" s="5">
        <f>G46*params!$B$11*params!$B$12</f>
        <v>89687808</v>
      </c>
      <c r="J46" s="7">
        <f>((E46*params!$B$20)/1000)*params!$B$18</f>
        <v>42881.983199999995</v>
      </c>
      <c r="K46" s="7">
        <f>((E46*params!$B$21)/1000)*params!$B$19</f>
        <v>25785.2448</v>
      </c>
      <c r="L46" s="8">
        <f>E46*params!$B$11*params!$B$12</f>
        <v>133862400</v>
      </c>
      <c r="M46" s="7">
        <f>J46*params!$B$11*params!$B$12</f>
        <v>6861117.311999999</v>
      </c>
      <c r="N46" s="7">
        <f>K46*params!$B$11*params!$B$12</f>
        <v>4125639.1680000001</v>
      </c>
      <c r="O46" s="8">
        <f>((L46-1000)/1000)*prices!$D$17</f>
        <v>204807.94199999998</v>
      </c>
      <c r="P46" s="5">
        <f>params!$B$16</f>
        <v>1984.25</v>
      </c>
      <c r="Q46" s="8">
        <f t="shared" si="0"/>
        <v>206792.19199999998</v>
      </c>
      <c r="R46" s="7">
        <f t="shared" si="1"/>
        <v>10986756.479999999</v>
      </c>
      <c r="S46" s="8">
        <f t="shared" si="2"/>
        <v>11193548.671999998</v>
      </c>
      <c r="T46" s="8">
        <f t="shared" si="3"/>
        <v>124467778.94399998</v>
      </c>
      <c r="U46" s="9">
        <f>S46*(1-params!$B$4)</f>
        <v>8954838.9375999998</v>
      </c>
      <c r="V46" s="9">
        <f t="shared" si="4"/>
        <v>99574223.15519999</v>
      </c>
    </row>
    <row r="47" spans="1:22" x14ac:dyDescent="0.25">
      <c r="A47" s="5">
        <v>46</v>
      </c>
      <c r="B47" s="6">
        <v>46844</v>
      </c>
      <c r="C47" s="5">
        <f>ROUND(IFERROR((2^(A47/params!$B$2))+demandForecast!C46,1),0)</f>
        <v>635</v>
      </c>
      <c r="D47" s="5">
        <f>IFERROR((C47*params!$B$3),10)</f>
        <v>25400</v>
      </c>
      <c r="E47" s="5">
        <f>D47*params!$B$22</f>
        <v>914400</v>
      </c>
      <c r="F47" s="5">
        <f>((E47*params!$B$20)/1000)</f>
        <v>3063240</v>
      </c>
      <c r="G47" s="5">
        <f>((E47*params!$B$21)/1000)</f>
        <v>612648</v>
      </c>
      <c r="H47" s="5">
        <f>F47*params!$B$11*params!$B$12</f>
        <v>490118400</v>
      </c>
      <c r="I47" s="5">
        <f>G47*params!$B$11*params!$B$12</f>
        <v>98023680</v>
      </c>
      <c r="J47" s="7">
        <f>((E47*params!$B$20)/1000)*params!$B$18</f>
        <v>46867.572</v>
      </c>
      <c r="K47" s="7">
        <f>((E47*params!$B$21)/1000)*params!$B$19</f>
        <v>28181.808000000001</v>
      </c>
      <c r="L47" s="8">
        <f>E47*params!$B$11*params!$B$12</f>
        <v>146304000</v>
      </c>
      <c r="M47" s="7">
        <f>J47*params!$B$11*params!$B$12</f>
        <v>7498811.5199999996</v>
      </c>
      <c r="N47" s="7">
        <f>K47*params!$B$11*params!$B$12</f>
        <v>4509089.28</v>
      </c>
      <c r="O47" s="8">
        <f>((L47-1000)/1000)*prices!$D$17</f>
        <v>223843.59</v>
      </c>
      <c r="P47" s="5">
        <f>params!$B$16</f>
        <v>1984.25</v>
      </c>
      <c r="Q47" s="8">
        <f t="shared" si="0"/>
        <v>225827.84</v>
      </c>
      <c r="R47" s="7">
        <f t="shared" si="1"/>
        <v>12007900.800000001</v>
      </c>
      <c r="S47" s="8">
        <f t="shared" si="2"/>
        <v>12233728.640000001</v>
      </c>
      <c r="T47" s="8">
        <f t="shared" si="3"/>
        <v>136701507.58399999</v>
      </c>
      <c r="U47" s="9">
        <f>S47*(1-params!$B$4)</f>
        <v>9786982.9120000005</v>
      </c>
      <c r="V47" s="9">
        <f t="shared" si="4"/>
        <v>109361206.06719999</v>
      </c>
    </row>
    <row r="48" spans="1:22" x14ac:dyDescent="0.25">
      <c r="A48" s="5">
        <v>47</v>
      </c>
      <c r="B48" s="6">
        <v>46874</v>
      </c>
      <c r="C48" s="5">
        <f>ROUND(IFERROR((2^(A48/params!$B$2))+demandForecast!C47,1),0)</f>
        <v>694</v>
      </c>
      <c r="D48" s="5">
        <f>IFERROR((C48*params!$B$3),10)</f>
        <v>27760</v>
      </c>
      <c r="E48" s="5">
        <f>D48*params!$B$22</f>
        <v>999360</v>
      </c>
      <c r="F48" s="5">
        <f>((E48*params!$B$20)/1000)</f>
        <v>3347856</v>
      </c>
      <c r="G48" s="5">
        <f>((E48*params!$B$21)/1000)</f>
        <v>669571.19999999995</v>
      </c>
      <c r="H48" s="5">
        <f>F48*params!$B$11*params!$B$12</f>
        <v>535656960</v>
      </c>
      <c r="I48" s="5">
        <f>G48*params!$B$11*params!$B$12</f>
        <v>107131392</v>
      </c>
      <c r="J48" s="7">
        <f>((E48*params!$B$20)/1000)*params!$B$18</f>
        <v>51222.196799999998</v>
      </c>
      <c r="K48" s="7">
        <f>((E48*params!$B$21)/1000)*params!$B$19</f>
        <v>30800.275199999996</v>
      </c>
      <c r="L48" s="8">
        <f>E48*params!$B$11*params!$B$12</f>
        <v>159897600</v>
      </c>
      <c r="M48" s="7">
        <f>J48*params!$B$11*params!$B$12</f>
        <v>8195551.4879999999</v>
      </c>
      <c r="N48" s="7">
        <f>K48*params!$B$11*params!$B$12</f>
        <v>4928044.0319999997</v>
      </c>
      <c r="O48" s="8">
        <f>((L48-1000)/1000)*prices!$D$17</f>
        <v>244641.79800000001</v>
      </c>
      <c r="P48" s="5">
        <f>params!$B$16</f>
        <v>1984.25</v>
      </c>
      <c r="Q48" s="8">
        <f t="shared" si="0"/>
        <v>246626.04800000001</v>
      </c>
      <c r="R48" s="7">
        <f t="shared" si="1"/>
        <v>13123595.52</v>
      </c>
      <c r="S48" s="8">
        <f t="shared" si="2"/>
        <v>13370221.568</v>
      </c>
      <c r="T48" s="8">
        <f t="shared" si="3"/>
        <v>150071729.15199998</v>
      </c>
      <c r="U48" s="9">
        <f>S48*(1-params!$B$4)</f>
        <v>10696177.2544</v>
      </c>
      <c r="V48" s="9">
        <f t="shared" si="4"/>
        <v>120057383.32159999</v>
      </c>
    </row>
    <row r="49" spans="1:22" x14ac:dyDescent="0.25">
      <c r="A49" s="5">
        <v>48</v>
      </c>
      <c r="B49" s="6">
        <v>46905</v>
      </c>
      <c r="C49" s="5">
        <f>ROUND(IFERROR((2^(A49/params!$B$2))+demandForecast!C48,1),0)</f>
        <v>758</v>
      </c>
      <c r="D49" s="5">
        <f>IFERROR((C49*params!$B$3),10)</f>
        <v>30320</v>
      </c>
      <c r="E49" s="5">
        <f>D49*params!$B$22</f>
        <v>1091520</v>
      </c>
      <c r="F49" s="5">
        <f>((E49*params!$B$20)/1000)</f>
        <v>3656592</v>
      </c>
      <c r="G49" s="5">
        <f>((E49*params!$B$21)/1000)</f>
        <v>731318.4</v>
      </c>
      <c r="H49" s="5">
        <f>F49*params!$B$11*params!$B$12</f>
        <v>585054720</v>
      </c>
      <c r="I49" s="5">
        <f>G49*params!$B$11*params!$B$12</f>
        <v>117010944</v>
      </c>
      <c r="J49" s="7">
        <f>((E49*params!$B$20)/1000)*params!$B$18</f>
        <v>55945.857599999996</v>
      </c>
      <c r="K49" s="7">
        <f>((E49*params!$B$21)/1000)*params!$B$19</f>
        <v>33640.646399999998</v>
      </c>
      <c r="L49" s="8">
        <f>E49*params!$B$11*params!$B$12</f>
        <v>174643200</v>
      </c>
      <c r="M49" s="7">
        <f>J49*params!$B$11*params!$B$12</f>
        <v>8951337.216</v>
      </c>
      <c r="N49" s="7">
        <f>K49*params!$B$11*params!$B$12</f>
        <v>5382503.4239999996</v>
      </c>
      <c r="O49" s="8">
        <f>((L49-1000)/1000)*prices!$D$17</f>
        <v>267202.56600000005</v>
      </c>
      <c r="P49" s="5">
        <f>params!$B$16</f>
        <v>1984.25</v>
      </c>
      <c r="Q49" s="8">
        <f t="shared" si="0"/>
        <v>269186.81600000005</v>
      </c>
      <c r="R49" s="7">
        <f t="shared" si="1"/>
        <v>14333840.640000001</v>
      </c>
      <c r="S49" s="8">
        <f t="shared" si="2"/>
        <v>14603027.456</v>
      </c>
      <c r="T49" s="8">
        <f t="shared" si="3"/>
        <v>164674756.60799998</v>
      </c>
      <c r="U49" s="9">
        <f>S49*(1-params!$B$4)</f>
        <v>11682421.9648</v>
      </c>
      <c r="V49" s="9">
        <f t="shared" si="4"/>
        <v>131739805.28639999</v>
      </c>
    </row>
    <row r="50" spans="1:22" x14ac:dyDescent="0.25">
      <c r="B50" s="2"/>
    </row>
    <row r="51" spans="1:22" x14ac:dyDescent="0.25">
      <c r="B51" s="2"/>
    </row>
  </sheetData>
  <pageMargins left="0.7" right="0.7" top="0.75" bottom="0.75" header="0.3" footer="0.3"/>
  <ignoredErrors>
    <ignoredError sqref="R2:R49" formula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prices</vt:lpstr>
      <vt:lpstr>demandForecast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Fawad Nazir</cp:lastModifiedBy>
  <cp:revision/>
  <dcterms:created xsi:type="dcterms:W3CDTF">2024-05-08T03:54:22Z</dcterms:created>
  <dcterms:modified xsi:type="dcterms:W3CDTF">2024-05-14T04:38:49Z</dcterms:modified>
  <cp:category/>
  <cp:contentStatus/>
</cp:coreProperties>
</file>