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ables/table32.xml" ContentType="application/vnd.openxmlformats-officedocument.spreadsheetml.table+xml"/>
  <Override PartName="/xl/tables/table9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30.xml" ContentType="application/vnd.openxmlformats-officedocument.spreadsheetml.table+xml"/>
  <Override PartName="/xl/tables/table3.xml" ContentType="application/vnd.openxmlformats-officedocument.spreadsheetml.table+xml"/>
  <Override PartName="/xl/tables/table29.xml" ContentType="application/vnd.openxmlformats-officedocument.spreadsheetml.table+xml"/>
  <Override PartName="/xl/tables/table27.xml" ContentType="application/vnd.openxmlformats-officedocument.spreadsheetml.table+xml"/>
  <Override PartName="/xl/worksheets/sheet2.xml" ContentType="application/vnd.openxmlformats-officedocument.spreadsheetml.worksheet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8.xml" ContentType="application/vnd.openxmlformats-officedocument.spreadsheetml.table+xml"/>
  <Override PartName="/xl/tables/table15.xml" ContentType="application/vnd.openxmlformats-officedocument.spreadsheetml.table+xml"/>
  <Override PartName="/xl/tables/table20.xml" ContentType="application/vnd.openxmlformats-officedocument.spreadsheetml.table+xml"/>
  <Override PartName="/xl/tables/table14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customXml/itemProps3.xml" ContentType="application/vnd.openxmlformats-officedocument.customXmlProperties+xml"/>
  <Override PartName="/xl/tables/table21.xml" ContentType="application/vnd.openxmlformats-officedocument.spreadsheetml.table+xml"/>
  <Override PartName="/xl/tables/table11.xml" ContentType="application/vnd.openxmlformats-officedocument.spreadsheetml.tabl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connections.xml" ContentType="application/vnd.openxmlformats-officedocument.spreadsheetml.connections+xml"/>
  <Override PartName="/xl/tables/table28.xml" ContentType="application/vnd.openxmlformats-officedocument.spreadsheetml.tabl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/>
  <bookViews>
    <workbookView xWindow="360" yWindow="15" windowWidth="20955" windowHeight="9720" activeTab="0"/>
  </bookViews>
  <sheets>
    <sheet name="CSE CGG" sheetId="1" state="visible" r:id="rId5"/>
    <sheet name="Reference" sheetId="2" state="visible" r:id="rId6"/>
  </sheets>
  <definedNames>
    <definedName name="_xlcn.WorksheetConnection_AcademicPlan.xlsxArtMinor" hidden="1">ArtMinor[]</definedName>
    <definedName name="_xlcn.WorksheetConnection_AcademicPlan.xlsxGameMinor" hidden="1">GameMinor[]</definedName>
    <definedName name="_xlcn.WorksheetConnection_AcademicPlan.xlsxHS" hidden="1">HS[]</definedName>
  </definedNames>
  <calcPr/>
  <extLst>
    <ext xmlns:x15="http://schemas.microsoft.com/office/spreadsheetml/2010/11/main" uri="{D0CA8CA8-9F24-4464-BF8E-62219DCF47F9}"/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991EB-B4D6-4C2A-9D52-E05E2B92A86D}" keepAlive="1" name="ThisWorkbookDataModel" description="Data Model" type="5" background="1" minRefreshableVersion="5" refreshedVersion="8">
    <dbPr connection="Data Model Connection" command="Model" commandType="1"/>
    <olapPr rowDrillCount="1000" sendLocale="1"/>
  </connection>
  <connection id="2" xr16:uid="{797974BE-D162-4210-85B9-0DE0163DBF5B}" name="WorksheetConnection_Academic Plan.xlsx!ArtMinor" type="102" minRefreshableVersion="5" refreshedVersion="8">
    <extLst>
      <ext xmlns:x15="http://schemas.microsoft.com/office/spreadsheetml/2010/11/main" uri="{DE250136-89BD-433C-8126-D09CA5730AF9}">
        <x15:connection id="ArtMinor">
          <x15:rangePr sourceName="_xlcn.WorksheetConnection_AcademicPlan.xlsxArtMinor"/>
        </x15:connection>
      </ext>
    </extLst>
  </connection>
  <connection id="3" xr16:uid="{7B9C5D96-21CF-4387-A5B6-5E6ED8CC6126}" name="WorksheetConnection_Academic Plan.xlsx!GameMinor" type="102" minRefreshableVersion="5" refreshedVersion="8">
    <extLst>
      <ext xmlns:x15="http://schemas.microsoft.com/office/spreadsheetml/2010/11/main" uri="{DE250136-89BD-433C-8126-D09CA5730AF9}">
        <x15:connection id="GameMinor">
          <x15:rangePr sourceName="_xlcn.WorksheetConnection_AcademicPlan.xlsxGameMinor"/>
        </x15:connection>
      </ext>
    </extLst>
  </connection>
  <connection id="4" xr16:uid="{81927B19-9A8C-4099-9FDC-4CE48A3BCE4F}" name="WorksheetConnection_Academic Plan.xlsx!HS" type="102" minRefreshableVersion="5" refreshedVersion="8">
    <extLst>
      <ext xmlns:x15="http://schemas.microsoft.com/office/spreadsheetml/2010/11/main" uri="{DE250136-89BD-433C-8126-D09CA5730AF9}">
        <x15:connection id="HS">
          <x15:rangePr sourceName="_xlcn.WorksheetConnection_AcademicPlan.xlsxHS"/>
        </x15:connection>
      </ext>
    </extLst>
  </connection>
</connections>
</file>

<file path=xl/sharedStrings.xml><?xml version="1.0" encoding="utf-8"?>
<sst xmlns="http://schemas.openxmlformats.org/spreadsheetml/2006/main" count="256" uniqueCount="256">
  <si>
    <t xml:space="preserve">Studio Art Minor</t>
  </si>
  <si>
    <t xml:space="preserve">Computer Science Core</t>
  </si>
  <si>
    <t>Summary</t>
  </si>
  <si>
    <t xml:space="preserve">High School</t>
  </si>
  <si>
    <t xml:space="preserve">Autumn 2020</t>
  </si>
  <si>
    <t xml:space="preserve">Autumn 2021</t>
  </si>
  <si>
    <t xml:space="preserve">Autumn 2022</t>
  </si>
  <si>
    <t xml:space="preserve">Autumn 2023</t>
  </si>
  <si>
    <t xml:space="preserve">Autumn 2024</t>
  </si>
  <si>
    <t xml:space="preserve">Autumn 2025</t>
  </si>
  <si>
    <t>Name</t>
  </si>
  <si>
    <t xml:space="preserve">Course Number</t>
  </si>
  <si>
    <t>Semester</t>
  </si>
  <si>
    <t>AH</t>
  </si>
  <si>
    <t>EH</t>
  </si>
  <si>
    <t>GH</t>
  </si>
  <si>
    <t>Grade</t>
  </si>
  <si>
    <t>GPA</t>
  </si>
  <si>
    <t>Type</t>
  </si>
  <si>
    <t>Points</t>
  </si>
  <si>
    <t xml:space="preserve">Intro to Art</t>
  </si>
  <si>
    <t xml:space="preserve">ART 2000</t>
  </si>
  <si>
    <t>SP21</t>
  </si>
  <si>
    <t>A</t>
  </si>
  <si>
    <t xml:space="preserve">Software I</t>
  </si>
  <si>
    <t xml:space="preserve">CSE 2221</t>
  </si>
  <si>
    <t>AU23</t>
  </si>
  <si>
    <t>Overall</t>
  </si>
  <si>
    <t xml:space="preserve">AP Calc AB</t>
  </si>
  <si>
    <t xml:space="preserve">MATH 1151</t>
  </si>
  <si>
    <t>EM</t>
  </si>
  <si>
    <t xml:space="preserve">Material Science</t>
  </si>
  <si>
    <t xml:space="preserve">MATSCEN 2010</t>
  </si>
  <si>
    <t>B+</t>
  </si>
  <si>
    <t>Anatomy</t>
  </si>
  <si>
    <t xml:space="preserve">ANATOMY 3300.01</t>
  </si>
  <si>
    <t>C</t>
  </si>
  <si>
    <t xml:space="preserve">Photo I</t>
  </si>
  <si>
    <t xml:space="preserve">ART 2555</t>
  </si>
  <si>
    <t>B</t>
  </si>
  <si>
    <t xml:space="preserve">SW I</t>
  </si>
  <si>
    <t xml:space="preserve">FDN II</t>
  </si>
  <si>
    <t xml:space="preserve">CSE 2331</t>
  </si>
  <si>
    <t>IP</t>
  </si>
  <si>
    <t xml:space="preserve">Princ Prog Lang</t>
  </si>
  <si>
    <t xml:space="preserve">CSE 3341</t>
  </si>
  <si>
    <t xml:space="preserve">Digital Art</t>
  </si>
  <si>
    <t xml:space="preserve">ART 3000</t>
  </si>
  <si>
    <t>SU21</t>
  </si>
  <si>
    <t xml:space="preserve">Software II</t>
  </si>
  <si>
    <t xml:space="preserve">CSE 2231</t>
  </si>
  <si>
    <t>SP24</t>
  </si>
  <si>
    <t>Engineering</t>
  </si>
  <si>
    <t xml:space="preserve">AP Calc BC</t>
  </si>
  <si>
    <t xml:space="preserve">MATH 1152</t>
  </si>
  <si>
    <t xml:space="preserve">Writing GE</t>
  </si>
  <si>
    <t xml:space="preserve">ENGR 2367.01H</t>
  </si>
  <si>
    <t>EN</t>
  </si>
  <si>
    <t>SciFi/Fantasy</t>
  </si>
  <si>
    <t xml:space="preserve">ENGLISH 3372</t>
  </si>
  <si>
    <t>A-</t>
  </si>
  <si>
    <t xml:space="preserve">FDN Math</t>
  </si>
  <si>
    <t xml:space="preserve">MATH 3345</t>
  </si>
  <si>
    <t xml:space="preserve">Systems I</t>
  </si>
  <si>
    <t xml:space="preserve">CSE 2421</t>
  </si>
  <si>
    <t xml:space="preserve">Intro to SE</t>
  </si>
  <si>
    <t xml:space="preserve">CSE 3231</t>
  </si>
  <si>
    <t>Drawing</t>
  </si>
  <si>
    <t xml:space="preserve">ART 2100</t>
  </si>
  <si>
    <t xml:space="preserve">Foundations I</t>
  </si>
  <si>
    <t xml:space="preserve">CSE 2321</t>
  </si>
  <si>
    <t xml:space="preserve">Art Minor</t>
  </si>
  <si>
    <t xml:space="preserve">AP Chem</t>
  </si>
  <si>
    <t xml:space="preserve">CHEM 1210</t>
  </si>
  <si>
    <t xml:space="preserve">Physics EM</t>
  </si>
  <si>
    <t xml:space="preserve">PHYSICS 1251</t>
  </si>
  <si>
    <t>W</t>
  </si>
  <si>
    <t xml:space="preserve">OChem II</t>
  </si>
  <si>
    <t xml:space="preserve">CHEM 2520</t>
  </si>
  <si>
    <t xml:space="preserve">Intro to Ling</t>
  </si>
  <si>
    <t xml:space="preserve">LING 2000</t>
  </si>
  <si>
    <t xml:space="preserve">3D Model/Sculp</t>
  </si>
  <si>
    <t xml:space="preserve">ART 3101</t>
  </si>
  <si>
    <t xml:space="preserve">Intro to CG</t>
  </si>
  <si>
    <t xml:space="preserve">CSE 3541</t>
  </si>
  <si>
    <t>Photography</t>
  </si>
  <si>
    <t>AU22</t>
  </si>
  <si>
    <t xml:space="preserve">Foundations II</t>
  </si>
  <si>
    <t>AU24</t>
  </si>
  <si>
    <t xml:space="preserve">Game Minor</t>
  </si>
  <si>
    <t xml:space="preserve">AP Econ Macro</t>
  </si>
  <si>
    <t xml:space="preserve">ECON 2002.01</t>
  </si>
  <si>
    <t xml:space="preserve">Engineering Stat</t>
  </si>
  <si>
    <t xml:space="preserve">STAT 3450.01</t>
  </si>
  <si>
    <t xml:space="preserve">Ochem Lab II</t>
  </si>
  <si>
    <t xml:space="preserve">CHEM 2550</t>
  </si>
  <si>
    <t xml:space="preserve">Digital Logic</t>
  </si>
  <si>
    <t xml:space="preserve">ECE 2060</t>
  </si>
  <si>
    <t xml:space="preserve">3D Animation I</t>
  </si>
  <si>
    <t xml:space="preserve">ACCAD 5002</t>
  </si>
  <si>
    <t xml:space="preserve">Geometric Model</t>
  </si>
  <si>
    <t xml:space="preserve">CSE 5543</t>
  </si>
  <si>
    <t>Ceramics</t>
  </si>
  <si>
    <t xml:space="preserve">ART 3012</t>
  </si>
  <si>
    <t xml:space="preserve">AP Econ Micro</t>
  </si>
  <si>
    <t xml:space="preserve">ECON 2001.01</t>
  </si>
  <si>
    <t xml:space="preserve">Calc III</t>
  </si>
  <si>
    <t xml:space="preserve">MATH 2153</t>
  </si>
  <si>
    <t>PA</t>
  </si>
  <si>
    <t xml:space="preserve">Systems II</t>
  </si>
  <si>
    <t xml:space="preserve">CSE 2431</t>
  </si>
  <si>
    <t>SP25</t>
  </si>
  <si>
    <t xml:space="preserve">AP Gov</t>
  </si>
  <si>
    <t xml:space="preserve">POLITSC 1100</t>
  </si>
  <si>
    <t>Sem</t>
  </si>
  <si>
    <t>AU25</t>
  </si>
  <si>
    <t xml:space="preserve">AP Lang</t>
  </si>
  <si>
    <t xml:space="preserve">ENGLISH 1167H</t>
  </si>
  <si>
    <t>Cum</t>
  </si>
  <si>
    <t xml:space="preserve">Computer Animation Minor</t>
  </si>
  <si>
    <t>Ethics</t>
  </si>
  <si>
    <t xml:space="preserve">CSE 2501</t>
  </si>
  <si>
    <t>SU25</t>
  </si>
  <si>
    <t xml:space="preserve">AP Lit</t>
  </si>
  <si>
    <t xml:space="preserve">ENGLISH 1110.01</t>
  </si>
  <si>
    <t xml:space="preserve">Interactive Sys</t>
  </si>
  <si>
    <t xml:space="preserve">CSE 3902</t>
  </si>
  <si>
    <t xml:space="preserve">AP Physics</t>
  </si>
  <si>
    <t xml:space="preserve">PHYSICS 1250</t>
  </si>
  <si>
    <t xml:space="preserve">Spring 2021</t>
  </si>
  <si>
    <t xml:space="preserve">Spring 2022</t>
  </si>
  <si>
    <t xml:space="preserve">Spring 2023</t>
  </si>
  <si>
    <t xml:space="preserve">Spring 2024</t>
  </si>
  <si>
    <t xml:space="preserve">Spring 2025</t>
  </si>
  <si>
    <t xml:space="preserve">Spring 2026</t>
  </si>
  <si>
    <t xml:space="preserve">AP Psych</t>
  </si>
  <si>
    <t xml:space="preserve">PSYCH 1100</t>
  </si>
  <si>
    <t xml:space="preserve">Intro to Network</t>
  </si>
  <si>
    <t xml:space="preserve">CSE 3461</t>
  </si>
  <si>
    <t xml:space="preserve">AP Stats</t>
  </si>
  <si>
    <t xml:space="preserve">STAT 1450</t>
  </si>
  <si>
    <t xml:space="preserve">Bio I</t>
  </si>
  <si>
    <t xml:space="preserve">BIOLOGY 1113</t>
  </si>
  <si>
    <t>D+</t>
  </si>
  <si>
    <t xml:space="preserve">SW II</t>
  </si>
  <si>
    <t xml:space="preserve">RT Rendering</t>
  </si>
  <si>
    <t xml:space="preserve">CSE 5542</t>
  </si>
  <si>
    <t>Game/Animation</t>
  </si>
  <si>
    <t>APUSH</t>
  </si>
  <si>
    <t xml:space="preserve">HISTORY 1151</t>
  </si>
  <si>
    <t xml:space="preserve">Chinese Dance</t>
  </si>
  <si>
    <t xml:space="preserve">DANCE 2190</t>
  </si>
  <si>
    <t xml:space="preserve">Linear Algebra</t>
  </si>
  <si>
    <t xml:space="preserve">MATH 2568</t>
  </si>
  <si>
    <t>C-</t>
  </si>
  <si>
    <t xml:space="preserve">FDN I</t>
  </si>
  <si>
    <t xml:space="preserve">Adv CG**</t>
  </si>
  <si>
    <t xml:space="preserve">CSE 5545</t>
  </si>
  <si>
    <t>Capstone*</t>
  </si>
  <si>
    <t xml:space="preserve">CSE 5912 or 5913</t>
  </si>
  <si>
    <t>SP26</t>
  </si>
  <si>
    <t xml:space="preserve">HISTORY 1152</t>
  </si>
  <si>
    <t xml:space="preserve">Ochem I</t>
  </si>
  <si>
    <t xml:space="preserve">CHEM 2510</t>
  </si>
  <si>
    <t xml:space="preserve">PHILOS 1332</t>
  </si>
  <si>
    <t xml:space="preserve">Solar System</t>
  </si>
  <si>
    <t xml:space="preserve">ASTRON 2140</t>
  </si>
  <si>
    <t xml:space="preserve">Ochem Lab I</t>
  </si>
  <si>
    <t xml:space="preserve">CHEM 2540</t>
  </si>
  <si>
    <t xml:space="preserve">Analog Circuits</t>
  </si>
  <si>
    <t xml:space="preserve">ECE 2020</t>
  </si>
  <si>
    <t xml:space="preserve">Western Art</t>
  </si>
  <si>
    <t xml:space="preserve">HISTART 2001</t>
  </si>
  <si>
    <t>B-</t>
  </si>
  <si>
    <t xml:space="preserve">Computer Science Electives</t>
  </si>
  <si>
    <t xml:space="preserve">Autumn 2019</t>
  </si>
  <si>
    <t xml:space="preserve">General Education Requirements</t>
  </si>
  <si>
    <t xml:space="preserve">FEH I</t>
  </si>
  <si>
    <t xml:space="preserve">ENGR 1281.01H</t>
  </si>
  <si>
    <t xml:space="preserve">Summer 2021</t>
  </si>
  <si>
    <t xml:space="preserve">Summer 2022</t>
  </si>
  <si>
    <t xml:space="preserve">Summer 2023</t>
  </si>
  <si>
    <t xml:space="preserve">Summer 2024</t>
  </si>
  <si>
    <t xml:space="preserve">Summer 2025</t>
  </si>
  <si>
    <t xml:space="preserve">Summer 2026</t>
  </si>
  <si>
    <t xml:space="preserve">Social Science I</t>
  </si>
  <si>
    <t>HS</t>
  </si>
  <si>
    <t xml:space="preserve">Adv CG</t>
  </si>
  <si>
    <t>Survey</t>
  </si>
  <si>
    <t xml:space="preserve">ENGR 11015</t>
  </si>
  <si>
    <t xml:space="preserve">Social Science II</t>
  </si>
  <si>
    <t xml:space="preserve">Gen Chem I</t>
  </si>
  <si>
    <t>Culture</t>
  </si>
  <si>
    <t xml:space="preserve">Engr Math</t>
  </si>
  <si>
    <t xml:space="preserve">MATH 1172</t>
  </si>
  <si>
    <t xml:space="preserve">Writing I</t>
  </si>
  <si>
    <t xml:space="preserve">General Engineering Requirements</t>
  </si>
  <si>
    <t xml:space="preserve">Chinese I</t>
  </si>
  <si>
    <t xml:space="preserve">CHINESE 1101.01</t>
  </si>
  <si>
    <t>History</t>
  </si>
  <si>
    <t>Diversity</t>
  </si>
  <si>
    <t xml:space="preserve">Calc I</t>
  </si>
  <si>
    <t xml:space="preserve">Writing II</t>
  </si>
  <si>
    <t xml:space="preserve">ENGR 2367.01</t>
  </si>
  <si>
    <t>AU20</t>
  </si>
  <si>
    <t xml:space="preserve">Calc II</t>
  </si>
  <si>
    <t xml:space="preserve">Visual/Perf Arts</t>
  </si>
  <si>
    <t xml:space="preserve">CHINESE 4405</t>
  </si>
  <si>
    <t>SP20</t>
  </si>
  <si>
    <t xml:space="preserve">Physical Science</t>
  </si>
  <si>
    <t xml:space="preserve">Spring 2020</t>
  </si>
  <si>
    <t>Literature</t>
  </si>
  <si>
    <t xml:space="preserve">ENGR 1100.15</t>
  </si>
  <si>
    <t>AU19</t>
  </si>
  <si>
    <t>SP23</t>
  </si>
  <si>
    <t xml:space="preserve">ENGR 1281.01</t>
  </si>
  <si>
    <t xml:space="preserve">FEH II</t>
  </si>
  <si>
    <t xml:space="preserve">ENGR 1282.01H</t>
  </si>
  <si>
    <t xml:space="preserve">ENGR 1282.01</t>
  </si>
  <si>
    <t>Statics</t>
  </si>
  <si>
    <t xml:space="preserve">MECHENG 2010</t>
  </si>
  <si>
    <t xml:space="preserve">Gen Chem II</t>
  </si>
  <si>
    <t xml:space="preserve">CHEM 1220</t>
  </si>
  <si>
    <t xml:space="preserve">Uncounted Courses</t>
  </si>
  <si>
    <t xml:space="preserve">Chinese Film</t>
  </si>
  <si>
    <t>Improv</t>
  </si>
  <si>
    <t xml:space="preserve">DANCE 2121</t>
  </si>
  <si>
    <t xml:space="preserve">Required Non-Major Courses</t>
  </si>
  <si>
    <t>Politsc</t>
  </si>
  <si>
    <t xml:space="preserve">Found of Math</t>
  </si>
  <si>
    <t xml:space="preserve">Improv Dance</t>
  </si>
  <si>
    <t>Stats</t>
  </si>
  <si>
    <t xml:space="preserve">MECHENG 2010H</t>
  </si>
  <si>
    <t xml:space="preserve">Elective (Chem)</t>
  </si>
  <si>
    <t xml:space="preserve">Ochem I Lab</t>
  </si>
  <si>
    <t xml:space="preserve">Art History 1</t>
  </si>
  <si>
    <t xml:space="preserve">ANATMOY 3300.01</t>
  </si>
  <si>
    <t>AU21</t>
  </si>
  <si>
    <t>SP22</t>
  </si>
  <si>
    <t xml:space="preserve">Game Studies Minor</t>
  </si>
  <si>
    <t xml:space="preserve">VG Anaylsis</t>
  </si>
  <si>
    <t xml:space="preserve">ENGLISH 2463</t>
  </si>
  <si>
    <t xml:space="preserve">VG and Society</t>
  </si>
  <si>
    <t xml:space="preserve">COMM 3513</t>
  </si>
  <si>
    <t xml:space="preserve">Intro to GD</t>
  </si>
  <si>
    <t xml:space="preserve">DESIGN 3104</t>
  </si>
  <si>
    <t xml:space="preserve">Music of VG</t>
  </si>
  <si>
    <t xml:space="preserve">MUSIC 2254</t>
  </si>
  <si>
    <t>SU24</t>
  </si>
  <si>
    <t xml:space="preserve">Intermediate GD</t>
  </si>
  <si>
    <t xml:space="preserve">DESIGN 4104</t>
  </si>
  <si>
    <t>Earned</t>
  </si>
  <si>
    <t>Graded</t>
  </si>
  <si>
    <t>C+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</si>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</sst>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0.000000"/>
      <color theme="1"/>
      <name val="Noto Sans"/>
    </font>
    <font>
      <sz val="10.000000"/>
      <name val="Noto Sans"/>
    </font>
    <font>
      <b/>
      <sz val="10.000000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B8A5DE"/>
        <bgColor rgb="FFB8A5DE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double">
        <color auto="1"/>
      </top>
      <bottom style="thin">
        <color auto="1"/>
      </bottom>
      <diagonal style="none"/>
    </border>
    <border>
      <left style="none"/>
      <right style="none"/>
      <top style="double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double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1" fillId="0" borderId="0" numFmtId="0" xfId="0" applyFont="1" applyAlignment="1">
      <alignment vertical="center"/>
    </xf>
    <xf fontId="1" fillId="0" borderId="1" numFmtId="0" xfId="0" applyFont="1" applyBorder="1" applyAlignment="1">
      <alignment vertical="center"/>
    </xf>
    <xf fontId="1" fillId="0" borderId="0" numFmtId="0" xfId="0" applyFont="1"/>
    <xf fontId="1" fillId="0" borderId="0" numFmtId="0" xfId="0" applyFont="1" applyAlignment="1">
      <alignment horizontal="center"/>
    </xf>
    <xf fontId="2" fillId="2" borderId="2" numFmtId="0" xfId="0" applyFont="1" applyFill="1" applyBorder="1" applyAlignment="1">
      <alignment horizontal="center" vertical="center"/>
    </xf>
    <xf fontId="2" fillId="2" borderId="3" numFmtId="0" xfId="0" applyFont="1" applyFill="1" applyBorder="1" applyAlignment="1">
      <alignment horizontal="center" vertical="center"/>
    </xf>
    <xf fontId="2" fillId="2" borderId="4" numFmtId="0" xfId="0" applyFont="1" applyFill="1" applyBorder="1" applyAlignment="1">
      <alignment horizontal="center" vertical="center"/>
    </xf>
    <xf fontId="2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/>
    </xf>
    <xf fontId="1" fillId="0" borderId="0" numFmtId="2" xfId="0" applyNumberFormat="1" applyFont="1" applyAlignment="1">
      <alignment horizontal="center" vertical="center"/>
    </xf>
    <xf fontId="1" fillId="0" borderId="0" numFmtId="2" xfId="0" applyNumberFormat="1" applyFont="1" applyAlignment="1">
      <alignment horizontal="center"/>
    </xf>
    <xf fontId="1" fillId="0" borderId="0" numFmtId="0" xfId="0" applyFont="1" applyAlignment="1">
      <alignment horizontal="left" vertical="center"/>
    </xf>
    <xf fontId="2" fillId="0" borderId="0" numFmtId="0" xfId="0" applyFont="1" applyAlignment="1">
      <alignment horizontal="center" vertical="center"/>
    </xf>
    <xf fontId="2" fillId="0" borderId="0" numFmtId="2" xfId="0" applyNumberFormat="1" applyFont="1" applyAlignment="1">
      <alignment horizontal="center" vertical="center"/>
    </xf>
    <xf fontId="1" fillId="0" borderId="0" numFmtId="2" xfId="0" applyNumberFormat="1" applyFont="1" applyAlignment="1">
      <alignment vertical="center"/>
    </xf>
    <xf fontId="2" fillId="0" borderId="5" numFmtId="0" xfId="0" applyFont="1" applyBorder="1" applyAlignment="1">
      <alignment horizont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/>
    </xf>
    <xf fontId="2" fillId="0" borderId="7" numFmtId="2" xfId="0" applyNumberFormat="1" applyFont="1" applyBorder="1" applyAlignment="1">
      <alignment horizontal="center"/>
    </xf>
    <xf fontId="2" fillId="0" borderId="8" numFmtId="0" xfId="0" applyFont="1" applyBorder="1" applyAlignment="1">
      <alignment horizontal="center"/>
    </xf>
    <xf fontId="2" fillId="0" borderId="9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/>
    </xf>
    <xf fontId="2" fillId="0" borderId="10" numFmtId="2" xfId="0" applyNumberFormat="1" applyFont="1" applyBorder="1" applyAlignment="1">
      <alignment horizontal="center"/>
    </xf>
    <xf fontId="1" fillId="0" borderId="0" numFmtId="0" xfId="0" applyFont="1" applyAlignment="1">
      <alignment vertical="center" wrapText="1"/>
    </xf>
    <xf fontId="1" fillId="0" borderId="11" numFmtId="0" xfId="0" applyFont="1" applyBorder="1" applyAlignment="1">
      <alignment vertical="center"/>
    </xf>
    <xf fontId="1" fillId="2" borderId="12" numFmtId="0" xfId="0" applyFont="1" applyFill="1" applyBorder="1" applyAlignment="1">
      <alignment vertical="center"/>
    </xf>
    <xf fontId="2" fillId="0" borderId="0" numFmtId="0" xfId="0" applyFont="1" applyAlignment="1">
      <alignment horizontal="left" vertical="center"/>
    </xf>
    <xf fontId="0" fillId="0" borderId="0" numFmtId="0" xfId="0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164" xfId="0" applyNumberFormat="1"/>
  </cellXfs>
  <cellStyles count="1">
    <cellStyle name="Normal" xfId="0" builtinId="0"/>
  </cellStyles>
  <dxfs count="237"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b val="0"/>
        <i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bottom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fill>
        <patternFill patternType="solid">
          <fgColor rgb="FFE4D9FF"/>
          <bgColor rgb="FFE4D9FF"/>
        </patternFill>
      </fill>
    </dxf>
    <dxf>
      <border>
        <left/>
        <right/>
        <top/>
        <bottom style="medium">
          <color auto="1"/>
        </bottom>
        <diagonal/>
      </border>
    </dxf>
    <dxf>
      <font>
        <b/>
        <i val="0"/>
      </font>
      <border>
        <left/>
        <right/>
        <top style="double">
          <color auto="1"/>
        </top>
        <bottom/>
        <diagon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fgColor rgb="FF463F53"/>
          <bgColor rgb="FF463F53"/>
        </patternFill>
      </fill>
    </dxf>
    <dxf>
      <border>
        <left/>
        <right/>
        <top/>
        <bottom style="medium">
          <color theme="0" tint="-0.24994659260841701"/>
        </bottom>
        <diagonal/>
      </border>
    </dxf>
    <dxf>
      <border>
        <left/>
        <right/>
        <top style="double">
          <color theme="0" tint="-0.24994659260841701"/>
        </top>
        <bottom/>
        <diagon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diagonal/>
      </border>
    </dxf>
  </dxfs>
  <tableStyles count="2" defaultTableStyle="TableStyleMedium2" defaultPivotStyle="PivotStyleLight16">
    <tableStyle name="Fav" pivot="0" count="4">
      <tableStyleElement type="firstRowStripe" size="1" dxfId="229"/>
      <tableStyleElement type="headerRow" size="1" dxfId="230"/>
      <tableStyleElement type="totalRow" size="1" dxfId="231"/>
      <tableStyleElement type="wholeTable" size="1" dxfId="232"/>
    </tableStyle>
    <tableStyle name="Fav 2" pivot="0" count="4">
      <tableStyleElement type="firstRowStripe" size="1" dxfId="233"/>
      <tableStyleElement type="headerRow" size="1" dxfId="234"/>
      <tableStyleElement type="totalRow" size="1" dxfId="235"/>
      <tableStyleElement type="wholeTable" size="1" dxfId="2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customXml" Target="../customXml/item1.xml"/><Relationship  Id="rId3" Type="http://schemas.openxmlformats.org/officeDocument/2006/relationships/customXml" Target="../customXml/item2.xml"/><Relationship  Id="rId4" Type="http://schemas.openxmlformats.org/officeDocument/2006/relationships/customXml" Target="../customXml/item3.xml"/><Relationship  Id="rId5" Type="http://schemas.openxmlformats.org/officeDocument/2006/relationships/worksheet" Target="worksheets/sheet1.xml"/><Relationship  Id="rId6" Type="http://schemas.openxmlformats.org/officeDocument/2006/relationships/worksheet" Target="worksheets/sheet2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Summary" ref="T3:Y8">
  <autoFilter ref="T3:Y8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tableColumns count="6">
    <tableColumn id="1" name="Type" dataDxfId="0"/>
    <tableColumn id="2" name="AH" dataDxfId="1"/>
    <tableColumn id="3" name="EH" dataDxfId="2"/>
    <tableColumn id="4" name="GH" dataDxfId="3"/>
    <tableColumn id="5" name="Points" dataDxfId="4"/>
    <tableColumn id="6" name="GPA" dataDxfId="5"/>
  </tableColumns>
  <tableStyleInfo name="Fav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ArtMinor" ref="B3:I9" totalsRowCount="1">
  <autoFilter ref="B3: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6"/>
    <tableColumn id="2" name="Course Number" dataDxfId="7"/>
    <tableColumn id="3" name="Semester" dataDxfId="8"/>
    <tableColumn id="4" name="AH" totalsRowFunction="sum" dataDxfId="9"/>
    <tableColumn id="5" name="EH" totalsRowFunction="sum" dataDxfId="10"/>
    <tableColumn id="6" name="GH" totalsRowFunction="sum" dataDxfId="11"/>
    <tableColumn id="7" name="Grade" totalsRowFunction="custom" dataDxfId="12">
      <totalsRowFormula>ArtMinor[[#Totals],[GPA]]*ArtMinor[[#Totals],[GH]]</totalsRowFormula>
    </tableColumn>
    <tableColumn id="8" name="GPA" totalsRowFunction="custom" dataDxfId="13">
      <totalsRowFormula>IFERROR(SUM(ArtMinor[GPA]*ArtMinor[GH])/ArtMinor[[#Totals],[GH]],0)</totalsRowFormula>
    </tableColumn>
  </tableColumns>
  <tableStyleInfo name="Fav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GameMinor" ref="B62:I68" totalsRowCount="1">
  <autoFilter ref="B62:I6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14"/>
    <tableColumn id="2" name="Course Number" dataDxfId="15"/>
    <tableColumn id="3" name="Semester" dataDxfId="16"/>
    <tableColumn id="4" name="AH" totalsRowFunction="sum" dataDxfId="17"/>
    <tableColumn id="5" name="EH" totalsRowFunction="sum" dataDxfId="18"/>
    <tableColumn id="6" name="GH" totalsRowFunction="sum" dataDxfId="19"/>
    <tableColumn id="7" name="Grade" totalsRowFunction="custom" dataDxfId="20">
      <totalsRowFormula>GameMinor[[#Totals],[GPA]]*GameMinor[[#Totals],[GH]]</totalsRowFormula>
    </tableColumn>
    <tableColumn id="8" name="GPA" totalsRowFunction="custom" dataDxfId="21">
      <totalsRowFormula>IFERROR(SUM(GameMinor[GPA]*GameMinor[GH])/GameMinor[[#Totals],[GH]],0)</totalsRowFormula>
    </tableColumn>
  </tableColumns>
  <tableStyleInfo name="Fav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GenEd" ref="B22:I33" totalsRowCount="1">
  <autoFilter ref="B22:I3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22"/>
    <tableColumn id="2" name="Course Number" dataDxfId="23"/>
    <tableColumn id="3" name="Semester" dataDxfId="24"/>
    <tableColumn id="4" name="AH" totalsRowFunction="sum" dataDxfId="25"/>
    <tableColumn id="5" name="EH" totalsRowFunction="sum" dataDxfId="26"/>
    <tableColumn id="6" name="GH" totalsRowFunction="sum" dataDxfId="27"/>
    <tableColumn id="7" name="Grade" totalsRowFunction="custom" dataDxfId="28">
      <totalsRowFormula>GenEd[[#Totals],[GPA]]*GenEd[[#Totals],[GH]]</totalsRowFormula>
    </tableColumn>
    <tableColumn id="8" name="GPA" totalsRowFunction="custom" dataDxfId="29">
      <totalsRowFormula>IFERROR(SUM(GenEd[GPA]*GenEd[GH])/GenEd[[#Totals],[GH]],0)</totalsRowFormula>
    </tableColumn>
  </tableColumns>
  <tableStyleInfo name="Fav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GenEng" ref="K27:R35" totalsRowCount="1">
  <autoFilter ref="K27:R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30"/>
    <tableColumn id="2" name="Course Number" dataDxfId="31"/>
    <tableColumn id="3" name="Semester" dataDxfId="32"/>
    <tableColumn id="4" name="AH" totalsRowFunction="sum" dataDxfId="33"/>
    <tableColumn id="5" name="EH" totalsRowFunction="sum" dataDxfId="34"/>
    <tableColumn id="6" name="GH" totalsRowFunction="sum" dataDxfId="35"/>
    <tableColumn id="7" name="Grade" totalsRowFunction="custom" dataDxfId="36">
      <totalsRowFormula>GenEng[[#Totals],[GPA]]*GenEng[[#Totals],[GH]]</totalsRowFormula>
    </tableColumn>
    <tableColumn id="8" name="GPA" totalsRowFunction="custom" dataDxfId="37">
      <totalsRowFormula>IFERROR(SUM(GenEng[GPA]*GenEng[GH])/GenEng[[#Totals],[GH]],0)</totalsRowFormula>
    </tableColumn>
  </tableColumns>
  <tableStyleInfo name="Fav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NonMajor" ref="K38:R46" totalsRowCount="1">
  <autoFilter ref="K38:R4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38"/>
    <tableColumn id="2" name="Course Number" dataDxfId="39"/>
    <tableColumn id="3" name="Semester" dataDxfId="40"/>
    <tableColumn id="4" name="AH" totalsRowFunction="sum" dataDxfId="41"/>
    <tableColumn id="5" name="EH" totalsRowFunction="sum" dataDxfId="42"/>
    <tableColumn id="6" name="GH" totalsRowFunction="sum" dataDxfId="43"/>
    <tableColumn id="7" name="Grade" totalsRowFunction="custom" dataDxfId="44">
      <totalsRowFormula>NonMajor[[#Totals],[GPA]]*NonMajor[[#Totals],[GH]]</totalsRowFormula>
    </tableColumn>
    <tableColumn id="8" name="GPA" totalsRowFunction="custom" dataDxfId="45">
      <totalsRowFormula>IFERROR(SUM(NonMajor[GPA]*NonMajor[GH])/NonMajor[[#Totals],[GH]],0)</totalsRowFormula>
    </tableColumn>
  </tableColumns>
  <tableStyleInfo name="Fav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Uncounted" ref="B36:I59" totalsRowCount="1">
  <autoFilter ref="B36:I5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46"/>
    <tableColumn id="2" name="Course Number" dataDxfId="47"/>
    <tableColumn id="3" name="Semester" dataDxfId="48"/>
    <tableColumn id="4" name="AH" totalsRowFunction="sum" dataDxfId="49"/>
    <tableColumn id="5" name="EH" totalsRowFunction="sum" dataDxfId="50"/>
    <tableColumn id="6" name="GH" totalsRowFunction="sum" dataDxfId="51"/>
    <tableColumn id="7" name="Grade" totalsRowFunction="custom" dataDxfId="52">
      <totalsRowFormula>Uncounted[[#Totals],[GPA]]*Uncounted[[#Totals],[GH]]</totalsRowFormula>
    </tableColumn>
    <tableColumn id="8" name="GPA" totalsRowFunction="custom" dataDxfId="53">
      <totalsRowFormula>IFERROR(SUM(Uncounted[GPA]*Uncounted[GH])/Uncounted[[#Totals],[GH]],0)</totalsRowFormula>
    </tableColumn>
  </tableColumns>
  <tableStyleInfo name="Fav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Core" ref="K3:R17" totalsRowCount="1">
  <autoFilter ref="K3:R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54"/>
    <tableColumn id="2" name="Course Number" dataDxfId="55"/>
    <tableColumn id="3" name="Semester" dataDxfId="56"/>
    <tableColumn id="4" name="AH" totalsRowFunction="sum" dataDxfId="57"/>
    <tableColumn id="5" name="EH" totalsRowFunction="sum" dataDxfId="58"/>
    <tableColumn id="6" name="GH" totalsRowFunction="sum" dataDxfId="59"/>
    <tableColumn id="7" name="Grade" totalsRowFunction="custom" dataDxfId="60">
      <totalsRowFormula>Core[[#Totals],[GPA]]*Core[[#Totals],[GH]]</totalsRowFormula>
    </tableColumn>
    <tableColumn id="8" name="GPA" totalsRowFunction="custom" dataDxfId="61">
      <totalsRowFormula>IFERROR(SUM(Core[GPA]*Core[GH])/Core[[#Totals],[GH]],0)</totalsRowFormula>
    </tableColumn>
  </tableColumns>
  <tableStyleInfo name="Fav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Electives" ref="K20:R24" totalsRowCount="1">
  <autoFilter ref="K20:R2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62"/>
    <tableColumn id="2" name="Course Number" dataDxfId="63"/>
    <tableColumn id="3" name="Semester" dataDxfId="64"/>
    <tableColumn id="4" name="AH" totalsRowFunction="sum" dataDxfId="65"/>
    <tableColumn id="5" name="EH" totalsRowFunction="sum" dataDxfId="66"/>
    <tableColumn id="6" name="GH" totalsRowFunction="sum" dataDxfId="67"/>
    <tableColumn id="7" name="Grade" totalsRowFunction="custom" dataDxfId="68">
      <totalsRowFormula>Electives[[#Totals],[GPA]]*Electives[[#Totals],[GH]]</totalsRowFormula>
    </tableColumn>
    <tableColumn id="8" name="GPA" totalsRowFunction="custom" dataDxfId="69">
      <totalsRowFormula>IFERROR(SUM(Electives[GPA]*Electives[GH])/Electives[[#Totals],[GH]],0)</totalsRowFormula>
    </tableColumn>
  </tableColumns>
  <tableStyleInfo name="Fav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HS" ref="AA3:AG17" totalsRowCount="1">
  <autoFilter ref="AA3:AG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70"/>
    <tableColumn id="2" name="Course Number" dataDxfId="71"/>
    <tableColumn id="3" name="AH" totalsRowFunction="sum" dataDxfId="72"/>
    <tableColumn id="4" name="EH" totalsRowFunction="sum" dataDxfId="73"/>
    <tableColumn id="5" name="GH" totalsRowFunction="sum" dataDxfId="74"/>
    <tableColumn id="6" name="Grade" totalsRowFunction="custom" dataDxfId="75">
      <totalsRowFormula>HS[[#Totals],[GPA]]*HS[[#Totals],[GH]]</totalsRowFormula>
    </tableColumn>
    <tableColumn id="7" name="GPA" totalsRowFunction="custom" dataDxfId="76">
      <totalsRowFormula>IFERROR(SUM(HS[GPA]*HS[GH])/HS[[#Totals],[GH]],0)</totalsRowFormula>
    </tableColumn>
  </tableColumns>
  <tableStyleInfo name="Fav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AU_19" ref="AA21:AG27" totalsRowCount="1">
  <autoFilter ref="AA21:AG2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77"/>
    <tableColumn id="2" name="Course Number" dataDxfId="78"/>
    <tableColumn id="3" name="AH" totalsRowFunction="sum" dataDxfId="79"/>
    <tableColumn id="4" name="EH" totalsRowFunction="sum" dataDxfId="80"/>
    <tableColumn id="5" name="GH" totalsRowFunction="sum" dataDxfId="81"/>
    <tableColumn id="6" name="Grade" totalsRowFunction="custom" dataDxfId="82">
      <totalsRowFormula>AU_19[[#Totals],[GPA]]*AU_19[[#Totals],[GH]]</totalsRowFormula>
    </tableColumn>
    <tableColumn id="7" name="GPA" totalsRowFunction="custom" dataDxfId="83">
      <totalsRowFormula>IFERROR(SUM(AU_19[GPA]*AU_19[GH])/AU_19[[#Totals],[GH]],0)</totalsRowFormula>
    </tableColumn>
  </tableColumns>
  <tableStyleInfo name="Fav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SP_20" ref="AA31:AG37" totalsRowCount="1">
  <autoFilter ref="AA31:AG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84"/>
    <tableColumn id="2" name="Course Number" dataDxfId="85"/>
    <tableColumn id="3" name="AH" totalsRowFunction="sum" dataDxfId="86"/>
    <tableColumn id="4" name="EH" totalsRowFunction="sum" dataDxfId="87"/>
    <tableColumn id="5" name="GH" totalsRowFunction="sum" dataDxfId="88"/>
    <tableColumn id="6" name="Grade" totalsRowFunction="custom" dataDxfId="89">
      <totalsRowFormula>SP_20[[#Totals],[GPA]]*SP_20[[#Totals],[GH]]</totalsRowFormula>
    </tableColumn>
    <tableColumn id="7" name="GPA" totalsRowFunction="custom" dataDxfId="90">
      <totalsRowFormula>IFERROR(SUM(SP_20[GPA]*SP_20[GH])/SP_20[[#Totals],[GH]],0)</totalsRowFormula>
    </tableColumn>
  </tableColumns>
  <tableStyleInfo name="Fav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AU_20" ref="AI3:AO9" totalsRowCount="1">
  <autoFilter ref="AI3:AO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91"/>
    <tableColumn id="2" name="Course Number" dataDxfId="92"/>
    <tableColumn id="3" name="AH" totalsRowFunction="sum" dataDxfId="93"/>
    <tableColumn id="4" name="EH" totalsRowFunction="sum" dataDxfId="94"/>
    <tableColumn id="5" name="GH" totalsRowFunction="sum" dataDxfId="95"/>
    <tableColumn id="6" name="Grade" totalsRowFunction="custom" dataDxfId="96">
      <totalsRowFormula>AU_20[[#Totals],[GPA]]*AU_20[[#Totals],[GH]]</totalsRowFormula>
    </tableColumn>
    <tableColumn id="7" name="GPA" totalsRowFunction="custom" dataDxfId="97">
      <totalsRowFormula>IFERROR(SUM(AU_20[GPA]*AU_20[GH])/AU_20[[#Totals],[GH]],0)</totalsRowFormula>
    </tableColumn>
  </tableColumns>
  <tableStyleInfo name="Fav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SP_21" ref="AI13:AO19" totalsRowCount="1">
  <autoFilter ref="AI13:AO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98"/>
    <tableColumn id="2" name="Course Number" dataDxfId="99"/>
    <tableColumn id="3" name="AH" totalsRowFunction="sum" dataDxfId="100"/>
    <tableColumn id="4" name="EH" totalsRowFunction="sum" dataDxfId="101"/>
    <tableColumn id="5" name="GH" totalsRowFunction="sum" dataDxfId="102"/>
    <tableColumn id="6" name="Grade" totalsRowFunction="custom" dataDxfId="103">
      <totalsRowFormula>SP_21[[#Totals],[GPA]]*SP_21[[#Totals],[GH]]</totalsRowFormula>
    </tableColumn>
    <tableColumn id="7" name="GPA" totalsRowFunction="custom" dataDxfId="104">
      <totalsRowFormula>IFERROR(SUM(SP_21[GPA]*SP_21[GH])/SP_21[[#Totals],[GH]],0)</totalsRowFormula>
    </tableColumn>
  </tableColumns>
  <tableStyleInfo name="Fav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SU_21" ref="AI23:AO29" totalsRowCount="1">
  <autoFilter ref="AI23:AO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05"/>
    <tableColumn id="2" name="Course Number" dataDxfId="106"/>
    <tableColumn id="3" name="AH" totalsRowFunction="sum" dataDxfId="107"/>
    <tableColumn id="4" name="EH" totalsRowFunction="sum" dataDxfId="108"/>
    <tableColumn id="5" name="GH" totalsRowFunction="sum" dataDxfId="109"/>
    <tableColumn id="6" name="Grade" totalsRowFunction="custom" dataDxfId="110">
      <totalsRowFormula>SU_21[[#Totals],[GPA]]*SU_21[[#Totals],[GH]]</totalsRowFormula>
    </tableColumn>
    <tableColumn id="7" name="GPA" totalsRowFunction="custom" dataDxfId="111">
      <totalsRowFormula>IFERROR(SUM(SU_21[GPA]*SU_21[GH])/SU_21[[#Totals],[GH]],0)</totalsRowFormula>
    </tableColumn>
  </tableColumns>
  <tableStyleInfo name="Fav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AU_21" ref="AQ3:AW9" totalsRowCount="1">
  <autoFilter ref="AQ3:AW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12"/>
    <tableColumn id="2" name="Course Number" dataDxfId="113"/>
    <tableColumn id="3" name="AH" totalsRowFunction="sum" dataDxfId="114"/>
    <tableColumn id="4" name="EH" totalsRowFunction="sum" dataDxfId="115"/>
    <tableColumn id="5" name="GH" totalsRowFunction="sum" dataDxfId="116"/>
    <tableColumn id="6" name="Grade" totalsRowFunction="custom" dataDxfId="117">
      <totalsRowFormula>AU_21[[#Totals],[GPA]]*AU_21[[#Totals],[GH]]</totalsRowFormula>
    </tableColumn>
    <tableColumn id="7" name="GPA" totalsRowFunction="custom" dataDxfId="118">
      <totalsRowFormula>IFERROR(SUM(AU_21[GPA]*AU_21[GH])/AU_21[[#Totals],[GH]],0)</totalsRowFormula>
    </tableColumn>
  </tableColumns>
  <tableStyleInfo name="Fav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SP_22" ref="AQ13:AW19" totalsRowCount="1">
  <autoFilter ref="AQ13:AW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19"/>
    <tableColumn id="2" name="Course Number" dataDxfId="120"/>
    <tableColumn id="3" name="AH" totalsRowFunction="sum" dataDxfId="121"/>
    <tableColumn id="4" name="EH" totalsRowFunction="sum" dataDxfId="122"/>
    <tableColumn id="5" name="GH" totalsRowFunction="sum" dataDxfId="123"/>
    <tableColumn id="6" name="Grade" totalsRowFunction="custom" dataDxfId="124">
      <totalsRowFormula>SP_22[[#Totals],[GPA]]*SP_22[[#Totals],[GH]]</totalsRowFormula>
    </tableColumn>
    <tableColumn id="7" name="GPA" totalsRowFunction="custom" dataDxfId="125">
      <totalsRowFormula>IFERROR(SUM(SP_22[GPA]*SP_22[GH])/SP_22[[#Totals],[GH]],0)</totalsRowFormula>
    </tableColumn>
  </tableColumns>
  <tableStyleInfo name="Fav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SU_22" ref="AQ23:AW29" totalsRowCount="1">
  <autoFilter ref="AQ23:AW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26"/>
    <tableColumn id="2" name="Course Number" dataDxfId="127"/>
    <tableColumn id="3" name="AH" totalsRowFunction="sum" dataDxfId="128"/>
    <tableColumn id="4" name="EH" totalsRowFunction="sum" dataDxfId="129"/>
    <tableColumn id="5" name="GH" totalsRowFunction="sum" dataDxfId="130"/>
    <tableColumn id="6" name="Grade" totalsRowFunction="custom" dataDxfId="131">
      <totalsRowFormula>SU_22[[#Totals],[GPA]]*SU_22[[#Totals],[GH]]</totalsRowFormula>
    </tableColumn>
    <tableColumn id="7" name="GPA" totalsRowFunction="custom" dataDxfId="132">
      <totalsRowFormula>IFERROR(SUM(SU_22[GPA]*SU_22[GH])/SU_22[[#Totals],[GH]],0)</totalsRowFormula>
    </tableColumn>
  </tableColumns>
  <tableStyleInfo name="Fav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AU_22" ref="AY3:BE9" totalsRowCount="1">
  <autoFilter ref="AY3:BE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33"/>
    <tableColumn id="2" name="Course Number" dataDxfId="134"/>
    <tableColumn id="3" name="AH" totalsRowFunction="sum" dataDxfId="135"/>
    <tableColumn id="4" name="EH" totalsRowFunction="sum" dataDxfId="136"/>
    <tableColumn id="5" name="GH" totalsRowFunction="sum" dataDxfId="137"/>
    <tableColumn id="6" name="Grade" totalsRowFunction="custom" dataDxfId="138">
      <totalsRowFormula>AU_22[[#Totals],[GPA]]*AU_22[[#Totals],[GH]]</totalsRowFormula>
    </tableColumn>
    <tableColumn id="7" name="GPA" totalsRowFunction="custom" dataDxfId="139">
      <totalsRowFormula>IFERROR(SUM(AU_22[GPA]*AU_22[GH])/AU_22[[#Totals],[GH]],0)</totalsRowFormula>
    </tableColumn>
  </tableColumns>
  <tableStyleInfo name="Fav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SP_23" ref="AY13:BE19" totalsRowCount="1">
  <autoFilter ref="AY13:BE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40"/>
    <tableColumn id="2" name="Course Number" dataDxfId="141"/>
    <tableColumn id="3" name="AH" totalsRowFunction="sum" dataDxfId="142"/>
    <tableColumn id="4" name="EH" totalsRowFunction="sum" dataDxfId="143"/>
    <tableColumn id="5" name="GH" totalsRowFunction="sum" dataDxfId="144"/>
    <tableColumn id="6" name="Grade" totalsRowFunction="custom" dataDxfId="145">
      <totalsRowFormula>SP_23[[#Totals],[GPA]]*SP_23[[#Totals],[GH]]</totalsRowFormula>
    </tableColumn>
    <tableColumn id="7" name="GPA" totalsRowFunction="custom" dataDxfId="146">
      <totalsRowFormula>IFERROR(SUM(SP_23[GPA]*SP_23[GH])/SP_23[[#Totals],[GH]],0)</totalsRowFormula>
    </tableColumn>
  </tableColumns>
  <tableStyleInfo name="Fav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SU_23" ref="AY23:BE29" totalsRowCount="1">
  <autoFilter ref="AY23:BE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47"/>
    <tableColumn id="2" name="Course Number" dataDxfId="148"/>
    <tableColumn id="3" name="AH" totalsRowFunction="sum" dataDxfId="149"/>
    <tableColumn id="4" name="EH" totalsRowFunction="sum" dataDxfId="150"/>
    <tableColumn id="5" name="GH" totalsRowFunction="sum" dataDxfId="151"/>
    <tableColumn id="6" name="Grade" totalsRowFunction="custom" dataDxfId="152">
      <totalsRowFormula>SU_23[[#Totals],[GPA]]*SU_23[[#Totals],[GH]]</totalsRowFormula>
    </tableColumn>
    <tableColumn id="7" name="GPA" totalsRowFunction="custom" dataDxfId="153">
      <totalsRowFormula>IFERROR(SUM(SU_23[GPA]*SU_23[GH])/SU_23[[#Totals],[GH]],0)</totalsRowFormula>
    </tableColumn>
  </tableColumns>
  <tableStyleInfo name="Fav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AU_23" ref="BG3:BM9" totalsRowCount="1">
  <autoFilter ref="BG3:BM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54"/>
    <tableColumn id="2" name="Course Number" dataDxfId="155"/>
    <tableColumn id="3" name="AH" totalsRowFunction="sum" dataDxfId="156"/>
    <tableColumn id="4" name="EH" totalsRowFunction="sum" dataDxfId="157"/>
    <tableColumn id="5" name="GH" totalsRowFunction="sum" dataDxfId="158"/>
    <tableColumn id="6" name="Grade" totalsRowFunction="custom" dataDxfId="159">
      <totalsRowFormula>AU_23[[#Totals],[GPA]]*AU_23[[#Totals],[GH]]</totalsRowFormula>
    </tableColumn>
    <tableColumn id="7" name="GPA" totalsRowFunction="custom" dataDxfId="160">
      <totalsRowFormula>IFERROR(SUM(AU_23[GPA]*AU_23[GH])/AU_23[[#Totals],[GH]],0)</totalsRowFormula>
    </tableColumn>
  </tableColumns>
  <tableStyleInfo name="Fav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SP_24" ref="BG13:BM19" totalsRowCount="1">
  <autoFilter ref="BG13:BM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61"/>
    <tableColumn id="2" name="Course Number" dataDxfId="162"/>
    <tableColumn id="3" name="AH" totalsRowFunction="sum" dataDxfId="163"/>
    <tableColumn id="4" name="EH" totalsRowFunction="sum" dataDxfId="164"/>
    <tableColumn id="5" name="GH" totalsRowFunction="sum" dataDxfId="165"/>
    <tableColumn id="6" name="Grade" totalsRowFunction="custom" dataDxfId="166">
      <totalsRowFormula>SP_24[[#Totals],[GPA]]*SP_24[[#Totals],[GH]]</totalsRowFormula>
    </tableColumn>
    <tableColumn id="7" name="GPA" totalsRowFunction="custom" dataDxfId="167">
      <totalsRowFormula>IFERROR(SUM(SP_24[GPA]*SP_24[GH])/SP_24[[#Totals],[GH]],0)</totalsRowFormula>
    </tableColumn>
  </tableColumns>
  <tableStyleInfo name="Fav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SU_24" ref="BG23:BM29" totalsRowCount="1">
  <autoFilter ref="BG23:BM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68"/>
    <tableColumn id="2" name="Course Number" dataDxfId="169"/>
    <tableColumn id="3" name="AH" totalsRowFunction="sum" dataDxfId="170"/>
    <tableColumn id="4" name="EH" totalsRowFunction="sum" dataDxfId="171"/>
    <tableColumn id="5" name="GH" totalsRowFunction="sum" dataDxfId="172"/>
    <tableColumn id="6" name="Grade" totalsRowFunction="custom" dataDxfId="173">
      <totalsRowFormula>SU_24[[#Totals],[GPA]]*SU_24[[#Totals],[GH]]</totalsRowFormula>
    </tableColumn>
    <tableColumn id="7" name="GPA" totalsRowFunction="custom" dataDxfId="174">
      <totalsRowFormula>IFERROR(SUM(SU_24[GPA]*SU_24[GH])/SU_24[[#Totals],[GH]],0)</totalsRowFormula>
    </tableColumn>
  </tableColumns>
  <tableStyleInfo name="Fav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AU_24" ref="BO3:BU9" totalsRowCount="1">
  <autoFilter ref="BO3:BU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75"/>
    <tableColumn id="2" name="Course Number" dataDxfId="176"/>
    <tableColumn id="3" name="AH" totalsRowFunction="sum" dataDxfId="177"/>
    <tableColumn id="4" name="EH" totalsRowFunction="sum" dataDxfId="178"/>
    <tableColumn id="5" name="GH" totalsRowFunction="sum" dataDxfId="179"/>
    <tableColumn id="6" name="Grade" totalsRowFunction="custom" dataDxfId="180">
      <totalsRowFormula>AU_24[[#Totals],[GPA]]*AU_24[[#Totals],[GH]]</totalsRowFormula>
    </tableColumn>
    <tableColumn id="7" name="GPA" totalsRowFunction="custom" dataDxfId="181">
      <totalsRowFormula>IFERROR(SUM(AU_24[GPA]*AU_24[GH])/AU_24[[#Totals],[GH]],0)</totalsRowFormula>
    </tableColumn>
  </tableColumns>
  <tableStyleInfo name="Fav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SP_25" ref="BO13:BU19" totalsRowCount="1">
  <autoFilter ref="BO13:BU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82"/>
    <tableColumn id="2" name="Course Number" dataDxfId="183"/>
    <tableColumn id="3" name="AH" totalsRowFunction="sum" dataDxfId="184"/>
    <tableColumn id="4" name="EH" totalsRowFunction="sum" dataDxfId="185"/>
    <tableColumn id="5" name="GH" totalsRowFunction="sum" dataDxfId="186"/>
    <tableColumn id="6" name="Grade" totalsRowFunction="custom" dataDxfId="187">
      <totalsRowFormula>SP_25[[#Totals],[GPA]]*SP_25[[#Totals],[GH]]</totalsRowFormula>
    </tableColumn>
    <tableColumn id="7" name="GPA" totalsRowFunction="custom" dataDxfId="188">
      <totalsRowFormula>IFERROR(SUM(SP_25[GPA]*SP_25[GH])/SP_25[[#Totals],[GH]],0)</totalsRowFormula>
    </tableColumn>
  </tableColumns>
  <tableStyleInfo name="Fav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SU_25" ref="BO23:BU29" totalsRowCount="1">
  <autoFilter ref="BO23:BU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89"/>
    <tableColumn id="2" name="Course Number" dataDxfId="190"/>
    <tableColumn id="3" name="AH" totalsRowFunction="sum" dataDxfId="191"/>
    <tableColumn id="4" name="EH" totalsRowFunction="sum" dataDxfId="192"/>
    <tableColumn id="5" name="GH" totalsRowFunction="sum" dataDxfId="193"/>
    <tableColumn id="6" name="Grade" totalsRowFunction="custom" dataDxfId="194">
      <totalsRowFormula>SU_25[[#Totals],[GPA]]*SU_25[[#Totals],[GH]]</totalsRowFormula>
    </tableColumn>
    <tableColumn id="7" name="GPA" totalsRowFunction="custom" dataDxfId="195">
      <totalsRowFormula>IFERROR(SUM(SU_25[GPA]*SU_25[GH])/SU_25[[#Totals],[GH]],0)</totalsRowFormula>
    </tableColumn>
  </tableColumns>
  <tableStyleInfo name="Fav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AU_25" ref="BW3:CC9" totalsRowCount="1">
  <autoFilter ref="BW3:CC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96"/>
    <tableColumn id="2" name="Course Number" dataDxfId="197"/>
    <tableColumn id="3" name="AH" totalsRowFunction="sum" dataDxfId="198"/>
    <tableColumn id="4" name="EH" totalsRowFunction="sum" dataDxfId="199"/>
    <tableColumn id="5" name="GH" totalsRowFunction="sum" dataDxfId="200"/>
    <tableColumn id="6" name="Grade" totalsRowFunction="custom" dataDxfId="201">
      <totalsRowFormula>AU_25[[#Totals],[GPA]]*AU_25[[#Totals],[GH]]</totalsRowFormula>
    </tableColumn>
    <tableColumn id="7" name="GPA" totalsRowFunction="custom" dataDxfId="202">
      <totalsRowFormula>IFERROR(SUM(AU_25[GPA]*AU_25[GH])/AU_25[[#Totals],[GH]],0)</totalsRowFormula>
    </tableColumn>
  </tableColumns>
  <tableStyleInfo name="Fav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SP_26" ref="BW13:CC19" totalsRowCount="1">
  <autoFilter ref="BW13:CC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203"/>
    <tableColumn id="2" name="Course Number" dataDxfId="204"/>
    <tableColumn id="3" name="AH" totalsRowFunction="sum" dataDxfId="205"/>
    <tableColumn id="4" name="EH" totalsRowFunction="sum" dataDxfId="206"/>
    <tableColumn id="5" name="GH" totalsRowFunction="sum" dataDxfId="207"/>
    <tableColumn id="6" name="Grade" totalsRowFunction="custom" dataDxfId="208">
      <totalsRowFormula>SP_26[[#Totals],[GPA]]*SP_26[[#Totals],[GH]]</totalsRowFormula>
    </tableColumn>
    <tableColumn id="7" name="GPA" totalsRowFunction="custom" dataDxfId="209">
      <totalsRowFormula>IFERROR(SUM(SP_26[GPA]*SP_26[GH])/SP_26[[#Totals],[GH]],0)</totalsRowFormula>
    </tableColumn>
  </tableColumns>
  <tableStyleInfo name="Fav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SU_26" ref="BW23:CC29" totalsRowCount="1">
  <autoFilter ref="BW23:CC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210"/>
    <tableColumn id="2" name="Course Number" dataDxfId="211"/>
    <tableColumn id="3" name="AH" totalsRowFunction="sum" dataDxfId="212"/>
    <tableColumn id="4" name="EH" totalsRowFunction="sum" dataDxfId="213"/>
    <tableColumn id="5" name="GH" totalsRowFunction="sum" dataDxfId="214"/>
    <tableColumn id="6" name="Grade" totalsRowFunction="custom" dataDxfId="215">
      <totalsRowFormula>SU_26[[#Totals],[GPA]]*SU_26[[#Totals],[GH]]</totalsRowFormula>
    </tableColumn>
    <tableColumn id="7" name="GPA" totalsRowFunction="custom" dataDxfId="216">
      <totalsRowFormula>IFERROR(SUM(SU_26[GPA]*SU_26[GH])/SU_26[[#Totals],[GH]],0)</totalsRowFormula>
    </tableColumn>
  </tableColumns>
  <tableStyleInfo name="Fav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AnimationMinor" ref="B12:I15" totalsRowCount="1">
  <autoFilter ref="B12:I1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217"/>
    <tableColumn id="2" name="Course Number" dataDxfId="218"/>
    <tableColumn id="3" name="Semester" dataDxfId="219"/>
    <tableColumn id="4" name="AH" totalsRowFunction="sum" dataDxfId="220"/>
    <tableColumn id="5" name="EH" totalsRowFunction="sum" dataDxfId="221"/>
    <tableColumn id="6" name="GH" totalsRowFunction="sum" dataDxfId="222"/>
    <tableColumn id="7" name="Grade" totalsRowFunction="custom" dataDxfId="223">
      <totalsRowFormula>AnimationMinor[[#Totals],[GPA]]*AnimationMinor[[#Totals],[GH]]</totalsRowFormula>
    </tableColumn>
    <tableColumn id="8" name="GPA" totalsRowFunction="custom" dataDxfId="224">
      <totalsRowFormula>IFERROR(SUM(AnimationMinor[GPA]*AnimationMinor[GH])/AnimationMinor[[#Totals],[GH]],0)</totalsRowFormula>
    </tableColumn>
  </tableColumns>
  <tableStyleInfo name="Fav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GPAScale" ref="B2:E19">
  <autoFilter ref="B2:E19">
    <filterColumn colId="0" showButton="0"/>
    <filterColumn colId="1" showButton="0"/>
    <filterColumn colId="2" showButton="0"/>
    <filterColumn colId="3" showButton="0"/>
  </autoFilter>
  <tableColumns count="4">
    <tableColumn id="1" name="Grade" dataDxfId="225"/>
    <tableColumn id="2" name="Points" dataDxfId="226"/>
    <tableColumn id="3" name="Earned" dataDxfId="227"/>
    <tableColumn id="4" name="Graded" dataDxfId="228"/>
  </tableColumns>
  <tableStyleInfo name="Fav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10" Type="http://schemas.openxmlformats.org/officeDocument/2006/relationships/table" Target="../tables/table10.xml"/><Relationship  Id="rId11" Type="http://schemas.openxmlformats.org/officeDocument/2006/relationships/table" Target="../tables/table11.xml"/><Relationship  Id="rId12" Type="http://schemas.openxmlformats.org/officeDocument/2006/relationships/table" Target="../tables/table12.xml"/><Relationship  Id="rId13" Type="http://schemas.openxmlformats.org/officeDocument/2006/relationships/table" Target="../tables/table13.xml"/><Relationship  Id="rId14" Type="http://schemas.openxmlformats.org/officeDocument/2006/relationships/table" Target="../tables/table14.xml"/><Relationship  Id="rId15" Type="http://schemas.openxmlformats.org/officeDocument/2006/relationships/table" Target="../tables/table15.xml"/><Relationship  Id="rId16" Type="http://schemas.openxmlformats.org/officeDocument/2006/relationships/table" Target="../tables/table16.xml"/><Relationship  Id="rId17" Type="http://schemas.openxmlformats.org/officeDocument/2006/relationships/table" Target="../tables/table17.xml"/><Relationship  Id="rId18" Type="http://schemas.openxmlformats.org/officeDocument/2006/relationships/table" Target="../tables/table18.xml"/><Relationship  Id="rId19" Type="http://schemas.openxmlformats.org/officeDocument/2006/relationships/table" Target="../tables/table19.xml"/><Relationship  Id="rId2" Type="http://schemas.openxmlformats.org/officeDocument/2006/relationships/table" Target="../tables/table2.xml"/><Relationship  Id="rId20" Type="http://schemas.openxmlformats.org/officeDocument/2006/relationships/table" Target="../tables/table20.xml"/><Relationship  Id="rId21" Type="http://schemas.openxmlformats.org/officeDocument/2006/relationships/table" Target="../tables/table21.xml"/><Relationship  Id="rId22" Type="http://schemas.openxmlformats.org/officeDocument/2006/relationships/table" Target="../tables/table22.xml"/><Relationship  Id="rId23" Type="http://schemas.openxmlformats.org/officeDocument/2006/relationships/table" Target="../tables/table23.xml"/><Relationship  Id="rId24" Type="http://schemas.openxmlformats.org/officeDocument/2006/relationships/table" Target="../tables/table24.xml"/><Relationship  Id="rId25" Type="http://schemas.openxmlformats.org/officeDocument/2006/relationships/table" Target="../tables/table25.xml"/><Relationship  Id="rId26" Type="http://schemas.openxmlformats.org/officeDocument/2006/relationships/table" Target="../tables/table26.xml"/><Relationship  Id="rId27" Type="http://schemas.openxmlformats.org/officeDocument/2006/relationships/table" Target="../tables/table27.xml"/><Relationship  Id="rId28" Type="http://schemas.openxmlformats.org/officeDocument/2006/relationships/table" Target="../tables/table28.xml"/><Relationship  Id="rId29" Type="http://schemas.openxmlformats.org/officeDocument/2006/relationships/table" Target="../tables/table29.xml"/><Relationship  Id="rId3" Type="http://schemas.openxmlformats.org/officeDocument/2006/relationships/table" Target="../tables/table3.xml"/><Relationship  Id="rId30" Type="http://schemas.openxmlformats.org/officeDocument/2006/relationships/table" Target="../tables/table30.xml"/><Relationship  Id="rId31" Type="http://schemas.openxmlformats.org/officeDocument/2006/relationships/table" Target="../tables/table31.xml"/><Relationship  Id="rId4" Type="http://schemas.openxmlformats.org/officeDocument/2006/relationships/table" Target="../tables/table4.xml"/><Relationship  Id="rId5" Type="http://schemas.openxmlformats.org/officeDocument/2006/relationships/table" Target="../tables/table5.xml"/><Relationship  Id="rId6" Type="http://schemas.openxmlformats.org/officeDocument/2006/relationships/table" Target="../tables/table6.xml"/><Relationship  Id="rId7" Type="http://schemas.openxmlformats.org/officeDocument/2006/relationships/table" Target="../tables/table7.xml"/><Relationship  Id="rId8" Type="http://schemas.openxmlformats.org/officeDocument/2006/relationships/table" Target="../tables/table8.xml"/><Relationship  Id="rId9" Type="http://schemas.openxmlformats.org/officeDocument/2006/relationships/table" Target="../tables/table9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0" fitToPage="0"/>
  </sheetPr>
  <sheetViews>
    <sheetView showGridLines="0" topLeftCell="V1" zoomScale="85" workbookViewId="0">
      <selection activeCell="CD13" activeCellId="0" sqref="CD13"/>
    </sheetView>
  </sheetViews>
  <sheetFormatPr defaultColWidth="15.5703125" defaultRowHeight="16.5"/>
  <cols>
    <col customWidth="1" min="1" max="1" style="2" width="5.5703125"/>
    <col customWidth="1" min="2" max="3" style="1" width="15.5703125"/>
    <col customWidth="1" min="4" max="4" style="1" width="10.5703125"/>
    <col customWidth="1" min="5" max="9" style="1" width="8.5703125"/>
    <col customWidth="1" min="10" max="10" style="1" width="5.5703125"/>
    <col customWidth="1" min="11" max="12" style="1" width="15.5703125"/>
    <col customWidth="1" min="13" max="13" style="1" width="10.5703125"/>
    <col customWidth="1" min="14" max="18" style="1" width="8.5703125"/>
    <col customWidth="1" min="19" max="19" style="1" width="5.5703125"/>
    <col customWidth="1" min="20" max="20" style="1" width="15.5703125"/>
    <col customWidth="1" min="21" max="25" style="1" width="8.5703125"/>
    <col customWidth="1" min="26" max="26" style="1" width="5.5703125"/>
    <col customWidth="1" min="27" max="28" style="1" width="15.5703125"/>
    <col customWidth="1" min="29" max="29" style="1" width="8.5703125"/>
    <col customWidth="1" min="30" max="31" style="3" width="8.5703125"/>
    <col customWidth="1" min="32" max="33" style="4" width="8.5703125"/>
    <col bestFit="1" customWidth="1" min="34" max="34" style="4" width="5.42578125"/>
    <col customWidth="1" min="35" max="35" style="4" width="15.5703125"/>
    <col customWidth="1" min="36" max="36" style="1" width="15.5703125"/>
    <col customWidth="1" min="37" max="41" style="1" width="8.5703125"/>
    <col bestFit="1" customWidth="1" min="42" max="42" style="4" width="5.42578125"/>
    <col customWidth="1" min="43" max="43" style="4" width="15.5703125"/>
    <col customWidth="1" min="44" max="44" style="1" width="15.5703125"/>
    <col customWidth="1" min="45" max="49" style="1" width="8.5703125"/>
    <col bestFit="1" customWidth="1" min="50" max="50" style="4" width="5.42578125"/>
    <col customWidth="1" min="51" max="51" style="4" width="15.5703125"/>
    <col customWidth="1" min="52" max="52" style="1" width="15.5703125"/>
    <col customWidth="1" min="53" max="57" style="1" width="8.5703125"/>
    <col bestFit="1" customWidth="1" min="58" max="58" style="4" width="5.42578125"/>
    <col customWidth="1" min="59" max="59" style="4" width="15.5703125"/>
    <col customWidth="1" min="60" max="60" style="1" width="15.5703125"/>
    <col customWidth="1" min="61" max="65" style="1" width="8.5703125"/>
    <col bestFit="1" customWidth="1" min="66" max="66" style="4" width="5.42578125"/>
    <col customWidth="1" min="67" max="67" style="4" width="15.5703125"/>
    <col customWidth="1" min="68" max="68" style="1" width="15.5703125"/>
    <col customWidth="1" min="69" max="73" style="1" width="8.5703125"/>
    <col bestFit="1" customWidth="1" min="74" max="74" style="4" width="5.42578125"/>
    <col customWidth="1" min="75" max="75" style="4" width="15.5703125"/>
    <col customWidth="1" min="76" max="76" style="1" width="15.5703125"/>
    <col customWidth="1" min="77" max="81" style="1" width="8.5703125"/>
    <col customWidth="1" min="82" max="82" style="4" width="5.5703125"/>
    <col min="83" max="16384" style="1" width="15.5703125"/>
  </cols>
  <sheetData>
    <row r="1" ht="16.5">
      <c r="AA1" s="1"/>
    </row>
    <row r="2">
      <c r="B2" s="5" t="s">
        <v>0</v>
      </c>
      <c r="C2" s="6"/>
      <c r="D2" s="6"/>
      <c r="E2" s="6"/>
      <c r="F2" s="6"/>
      <c r="G2" s="6"/>
      <c r="H2" s="6"/>
      <c r="I2" s="7"/>
      <c r="K2" s="5" t="s">
        <v>1</v>
      </c>
      <c r="L2" s="6"/>
      <c r="M2" s="6"/>
      <c r="N2" s="6"/>
      <c r="O2" s="6"/>
      <c r="P2" s="6"/>
      <c r="Q2" s="6"/>
      <c r="R2" s="7"/>
      <c r="S2" s="8"/>
      <c r="T2" s="5" t="s">
        <v>2</v>
      </c>
      <c r="U2" s="6"/>
      <c r="V2" s="6"/>
      <c r="W2" s="6"/>
      <c r="X2" s="6"/>
      <c r="Y2" s="7"/>
      <c r="AA2" s="5" t="s">
        <v>3</v>
      </c>
      <c r="AB2" s="6"/>
      <c r="AC2" s="6"/>
      <c r="AD2" s="6"/>
      <c r="AE2" s="6"/>
      <c r="AF2" s="6"/>
      <c r="AG2" s="7"/>
      <c r="AI2" s="5" t="s">
        <v>4</v>
      </c>
      <c r="AJ2" s="6"/>
      <c r="AK2" s="6"/>
      <c r="AL2" s="6"/>
      <c r="AM2" s="6"/>
      <c r="AN2" s="6"/>
      <c r="AO2" s="7"/>
      <c r="AQ2" s="5" t="s">
        <v>5</v>
      </c>
      <c r="AR2" s="6"/>
      <c r="AS2" s="6"/>
      <c r="AT2" s="6"/>
      <c r="AU2" s="6"/>
      <c r="AV2" s="6"/>
      <c r="AW2" s="7"/>
      <c r="AY2" s="5" t="s">
        <v>6</v>
      </c>
      <c r="AZ2" s="6"/>
      <c r="BA2" s="6"/>
      <c r="BB2" s="6"/>
      <c r="BC2" s="6"/>
      <c r="BD2" s="6"/>
      <c r="BE2" s="7"/>
      <c r="BG2" s="5" t="s">
        <v>7</v>
      </c>
      <c r="BH2" s="6"/>
      <c r="BI2" s="6"/>
      <c r="BJ2" s="6"/>
      <c r="BK2" s="6"/>
      <c r="BL2" s="6"/>
      <c r="BM2" s="7"/>
      <c r="BO2" s="5" t="s">
        <v>8</v>
      </c>
      <c r="BP2" s="6"/>
      <c r="BQ2" s="6"/>
      <c r="BR2" s="6"/>
      <c r="BS2" s="6"/>
      <c r="BT2" s="6"/>
      <c r="BU2" s="7"/>
      <c r="BW2" s="5" t="s">
        <v>9</v>
      </c>
      <c r="BX2" s="6"/>
      <c r="BY2" s="6"/>
      <c r="BZ2" s="6"/>
      <c r="CA2" s="6"/>
      <c r="CB2" s="6"/>
      <c r="CC2" s="7"/>
    </row>
    <row r="3"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/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/>
      <c r="T3" s="10" t="s">
        <v>18</v>
      </c>
      <c r="U3" s="10" t="s">
        <v>13</v>
      </c>
      <c r="V3" s="10" t="s">
        <v>14</v>
      </c>
      <c r="W3" s="10" t="s">
        <v>15</v>
      </c>
      <c r="X3" s="10" t="s">
        <v>19</v>
      </c>
      <c r="Y3" s="10" t="s">
        <v>17</v>
      </c>
      <c r="Z3" s="9"/>
      <c r="AA3" s="9" t="s">
        <v>10</v>
      </c>
      <c r="AB3" s="9" t="s">
        <v>11</v>
      </c>
      <c r="AC3" s="9" t="s">
        <v>13</v>
      </c>
      <c r="AD3" s="9" t="s">
        <v>14</v>
      </c>
      <c r="AE3" s="9" t="s">
        <v>15</v>
      </c>
      <c r="AF3" s="9" t="s">
        <v>16</v>
      </c>
      <c r="AG3" s="9" t="s">
        <v>17</v>
      </c>
      <c r="AI3" s="9" t="s">
        <v>10</v>
      </c>
      <c r="AJ3" s="9" t="s">
        <v>11</v>
      </c>
      <c r="AK3" s="9" t="s">
        <v>13</v>
      </c>
      <c r="AL3" s="9" t="s">
        <v>14</v>
      </c>
      <c r="AM3" s="9" t="s">
        <v>15</v>
      </c>
      <c r="AN3" s="9" t="s">
        <v>16</v>
      </c>
      <c r="AO3" s="9" t="s">
        <v>17</v>
      </c>
      <c r="AQ3" s="9" t="s">
        <v>10</v>
      </c>
      <c r="AR3" s="9" t="s">
        <v>11</v>
      </c>
      <c r="AS3" s="9" t="s">
        <v>13</v>
      </c>
      <c r="AT3" s="9" t="s">
        <v>14</v>
      </c>
      <c r="AU3" s="9" t="s">
        <v>15</v>
      </c>
      <c r="AV3" s="9" t="s">
        <v>16</v>
      </c>
      <c r="AW3" s="9" t="s">
        <v>17</v>
      </c>
      <c r="AY3" s="9" t="s">
        <v>10</v>
      </c>
      <c r="AZ3" s="9" t="s">
        <v>11</v>
      </c>
      <c r="BA3" s="9" t="s">
        <v>13</v>
      </c>
      <c r="BB3" s="9" t="s">
        <v>14</v>
      </c>
      <c r="BC3" s="9" t="s">
        <v>15</v>
      </c>
      <c r="BD3" s="9" t="s">
        <v>16</v>
      </c>
      <c r="BE3" s="9" t="s">
        <v>17</v>
      </c>
      <c r="BG3" s="9" t="s">
        <v>10</v>
      </c>
      <c r="BH3" s="9" t="s">
        <v>11</v>
      </c>
      <c r="BI3" s="9" t="s">
        <v>13</v>
      </c>
      <c r="BJ3" s="9" t="s">
        <v>14</v>
      </c>
      <c r="BK3" s="9" t="s">
        <v>15</v>
      </c>
      <c r="BL3" s="9" t="s">
        <v>16</v>
      </c>
      <c r="BM3" s="9" t="s">
        <v>17</v>
      </c>
      <c r="BO3" s="9" t="s">
        <v>10</v>
      </c>
      <c r="BP3" s="9" t="s">
        <v>11</v>
      </c>
      <c r="BQ3" s="9" t="s">
        <v>13</v>
      </c>
      <c r="BR3" s="9" t="s">
        <v>14</v>
      </c>
      <c r="BS3" s="9" t="s">
        <v>15</v>
      </c>
      <c r="BT3" s="9" t="s">
        <v>16</v>
      </c>
      <c r="BU3" s="9" t="s">
        <v>17</v>
      </c>
      <c r="BW3" s="9" t="s">
        <v>10</v>
      </c>
      <c r="BX3" s="9" t="s">
        <v>11</v>
      </c>
      <c r="BY3" s="9" t="s">
        <v>13</v>
      </c>
      <c r="BZ3" s="9" t="s">
        <v>14</v>
      </c>
      <c r="CA3" s="9" t="s">
        <v>15</v>
      </c>
      <c r="CB3" s="9" t="s">
        <v>16</v>
      </c>
      <c r="CC3" s="9" t="s">
        <v>17</v>
      </c>
    </row>
    <row r="4">
      <c r="B4" s="1" t="s">
        <v>20</v>
      </c>
      <c r="C4" s="1" t="s">
        <v>21</v>
      </c>
      <c r="D4" s="9" t="s">
        <v>22</v>
      </c>
      <c r="E4" s="9">
        <v>3</v>
      </c>
      <c r="F4" s="9">
        <f>IF(_xlfn.XLOOKUP(ArtMinor[[#This Row],[Grade]],GPAScale[Grade],GPAScale[Earned]),ArtMinor[[#This Row],[AH]],0)</f>
        <v>3</v>
      </c>
      <c r="G4" s="9">
        <f>IF(_xlfn.XLOOKUP(ArtMinor[[#This Row],[Grade]],GPAScale[Grade],GPAScale[Graded]),ArtMinor[[#This Row],[AH]],0)</f>
        <v>3</v>
      </c>
      <c r="H4" s="9" t="s">
        <v>23</v>
      </c>
      <c r="I4" s="11">
        <f>_xlfn.XLOOKUP(ArtMinor[[#This Row],[Grade]],GPAScale[Grade],GPAScale[Points])</f>
        <v>4</v>
      </c>
      <c r="J4" s="11"/>
      <c r="K4" s="1" t="s">
        <v>24</v>
      </c>
      <c r="L4" s="1" t="s">
        <v>25</v>
      </c>
      <c r="M4" s="9" t="s">
        <v>26</v>
      </c>
      <c r="N4" s="9">
        <v>4</v>
      </c>
      <c r="O4" s="9">
        <f>IF(_xlfn.XLOOKUP(Core[[#This Row],[Grade]],GPAScale[Grade],GPAScale[Earned]),Core[[#This Row],[AH]],0)</f>
        <v>4</v>
      </c>
      <c r="P4" s="9">
        <f>IF(_xlfn.XLOOKUP(Core[[#This Row],[Grade]],GPAScale[Grade],GPAScale[Graded]),Core[[#This Row],[AH]],0)</f>
        <v>4</v>
      </c>
      <c r="Q4" s="9" t="s">
        <v>23</v>
      </c>
      <c r="R4" s="11">
        <f>_xlfn.XLOOKUP(Core[[#This Row],[Grade]],GPAScale[Grade],GPAScale[Points])</f>
        <v>4</v>
      </c>
      <c r="T4" s="3" t="s">
        <v>27</v>
      </c>
      <c r="U4" s="4">
        <f>BY30</f>
        <v>224</v>
      </c>
      <c r="V4" s="4">
        <f>BZ30</f>
        <v>156</v>
      </c>
      <c r="W4" s="4">
        <f>CA30</f>
        <v>101</v>
      </c>
      <c r="X4" s="4">
        <f>CB30</f>
        <v>334.80000000000001</v>
      </c>
      <c r="Y4" s="12">
        <f>CC30</f>
        <v>3.3148514851485151</v>
      </c>
      <c r="AA4" s="13" t="s">
        <v>28</v>
      </c>
      <c r="AB4" s="13" t="s">
        <v>29</v>
      </c>
      <c r="AC4" s="9">
        <v>5</v>
      </c>
      <c r="AD4" s="9">
        <f>IF(_xlfn.XLOOKUP(HS[[#This Row],[Grade]],GPAScale[Grade],GPAScale[Earned]),HS[[#This Row],[AH]],0)</f>
        <v>5</v>
      </c>
      <c r="AE4" s="9">
        <f>IF(_xlfn.XLOOKUP(HS[[#This Row],[Grade]],GPAScale[Grade],GPAScale[Graded]),HS[[#This Row],[EH]],0)</f>
        <v>0</v>
      </c>
      <c r="AF4" s="4" t="s">
        <v>30</v>
      </c>
      <c r="AG4" s="11">
        <f>_xlfn.XLOOKUP(HS[[#This Row],[Grade]],GPAScale[Grade],GPAScale[Points])</f>
        <v>0</v>
      </c>
      <c r="AI4" s="1" t="s">
        <v>31</v>
      </c>
      <c r="AJ4" s="1" t="s">
        <v>32</v>
      </c>
      <c r="AK4" s="9">
        <v>3</v>
      </c>
      <c r="AL4" s="9">
        <f>IF(_xlfn.XLOOKUP(AU_20[[#This Row],[Grade]],GPAScale[Grade],GPAScale[Earned]),AU_20[[#This Row],[AH]],0)</f>
        <v>3</v>
      </c>
      <c r="AM4" s="9">
        <f>IF(_xlfn.XLOOKUP(AU_20[[#This Row],[Grade]],GPAScale[Grade],GPAScale[Graded]),AU_20[[#This Row],[AH]],0)</f>
        <v>3</v>
      </c>
      <c r="AN4" s="9" t="s">
        <v>33</v>
      </c>
      <c r="AO4" s="11">
        <f>_xlfn.XLOOKUP(AU_20[[#This Row],[Grade]],GPAScale[Grade],GPAScale[Points])</f>
        <v>3.2999999999999998</v>
      </c>
      <c r="AQ4" s="1" t="s">
        <v>34</v>
      </c>
      <c r="AR4" s="1" t="s">
        <v>35</v>
      </c>
      <c r="AS4" s="9">
        <v>5</v>
      </c>
      <c r="AT4" s="9">
        <f>IF(_xlfn.XLOOKUP(AU_21[[#This Row],[Grade]],GPAScale[Grade],GPAScale[Earned]),AU_21[[#This Row],[AH]],0)</f>
        <v>5</v>
      </c>
      <c r="AU4" s="9">
        <f>IF(_xlfn.XLOOKUP(AU_21[[#This Row],[Grade]],GPAScale[Grade],GPAScale[Graded]),AU_21[[#This Row],[AH]],0)</f>
        <v>5</v>
      </c>
      <c r="AV4" s="9" t="s">
        <v>36</v>
      </c>
      <c r="AW4" s="11">
        <f>_xlfn.XLOOKUP(AU_21[[#This Row],[Grade]],GPAScale[Grade],GPAScale[Points])</f>
        <v>2</v>
      </c>
      <c r="AY4" s="1" t="s">
        <v>37</v>
      </c>
      <c r="AZ4" s="1" t="s">
        <v>38</v>
      </c>
      <c r="BA4" s="9">
        <v>3</v>
      </c>
      <c r="BB4" s="9">
        <f>IF(_xlfn.XLOOKUP(AU_22[[#This Row],[Grade]],GPAScale[Grade],GPAScale[Earned]),AU_22[[#This Row],[AH]],0)</f>
        <v>3</v>
      </c>
      <c r="BC4" s="9">
        <f>IF(_xlfn.XLOOKUP(AU_22[[#This Row],[Grade]],GPAScale[Grade],GPAScale[Graded]),AU_22[[#This Row],[AH]],0)</f>
        <v>3</v>
      </c>
      <c r="BD4" s="9" t="s">
        <v>39</v>
      </c>
      <c r="BE4" s="11">
        <f>_xlfn.XLOOKUP(AU_22[[#This Row],[Grade]],GPAScale[Grade],GPAScale[Points])</f>
        <v>3</v>
      </c>
      <c r="BG4" s="1" t="s">
        <v>40</v>
      </c>
      <c r="BH4" s="1" t="s">
        <v>25</v>
      </c>
      <c r="BI4" s="9">
        <v>4</v>
      </c>
      <c r="BJ4" s="9">
        <f>IF(_xlfn.XLOOKUP(AU_23[[#This Row],[Grade]],GPAScale[Grade],GPAScale[Earned]),AU_23[[#This Row],[AH]],0)</f>
        <v>4</v>
      </c>
      <c r="BK4" s="9">
        <f>IF(_xlfn.XLOOKUP(AU_23[[#This Row],[Grade]],GPAScale[Grade],GPAScale[Graded]),AU_23[[#This Row],[AH]],0)</f>
        <v>4</v>
      </c>
      <c r="BL4" s="9" t="s">
        <v>23</v>
      </c>
      <c r="BM4" s="11">
        <f>_xlfn.XLOOKUP(AU_23[[#This Row],[Grade]],GPAScale[Grade],GPAScale[Points])</f>
        <v>4</v>
      </c>
      <c r="BO4" s="1" t="s">
        <v>41</v>
      </c>
      <c r="BP4" s="1" t="s">
        <v>42</v>
      </c>
      <c r="BQ4" s="9">
        <v>3</v>
      </c>
      <c r="BR4" s="9">
        <f>IF(_xlfn.XLOOKUP(AU_24[[#This Row],[Grade]],GPAScale[Grade],GPAScale[Earned]),AU_24[[#This Row],[AH]],0)</f>
        <v>0</v>
      </c>
      <c r="BS4" s="9">
        <f>IF(_xlfn.XLOOKUP(AU_24[[#This Row],[Grade]],GPAScale[Grade],GPAScale[Graded]),AU_24[[#This Row],[AH]],0)</f>
        <v>0</v>
      </c>
      <c r="BT4" s="9" t="s">
        <v>43</v>
      </c>
      <c r="BU4" s="11">
        <f>_xlfn.XLOOKUP(AU_24[[#This Row],[Grade]],GPAScale[Grade],GPAScale[Points])</f>
        <v>0</v>
      </c>
      <c r="BW4" s="1" t="s">
        <v>44</v>
      </c>
      <c r="BX4" s="1" t="s">
        <v>45</v>
      </c>
      <c r="BY4" s="9">
        <v>3</v>
      </c>
      <c r="BZ4" s="9">
        <f>IF(_xlfn.XLOOKUP(AU_25[[#This Row],[Grade]],GPAScale[Grade],GPAScale[Earned]),AU_25[[#This Row],[AH]],0)</f>
        <v>0</v>
      </c>
      <c r="CA4" s="9">
        <f>IF(_xlfn.XLOOKUP(AU_25[[#This Row],[Grade]],GPAScale[Grade],GPAScale[Graded]),AU_25[[#This Row],[AH]],0)</f>
        <v>0</v>
      </c>
      <c r="CB4" s="9"/>
      <c r="CC4" s="11">
        <f>_xlfn.XLOOKUP(AU_25[[#This Row],[Grade]],GPAScale[Grade],GPAScale[Points])</f>
        <v>0</v>
      </c>
    </row>
    <row r="5">
      <c r="B5" s="1" t="s">
        <v>46</v>
      </c>
      <c r="C5" s="1" t="s">
        <v>47</v>
      </c>
      <c r="D5" s="9" t="s">
        <v>48</v>
      </c>
      <c r="E5" s="9">
        <v>3</v>
      </c>
      <c r="F5" s="9">
        <f>IF(_xlfn.XLOOKUP(ArtMinor[[#This Row],[Grade]],GPAScale[Grade],GPAScale[Earned]),ArtMinor[[#This Row],[AH]],0)</f>
        <v>3</v>
      </c>
      <c r="G5" s="9">
        <f>IF(_xlfn.XLOOKUP(ArtMinor[[#This Row],[Grade]],GPAScale[Grade],GPAScale[Graded]),ArtMinor[[#This Row],[AH]],0)</f>
        <v>3</v>
      </c>
      <c r="H5" s="9" t="s">
        <v>23</v>
      </c>
      <c r="I5" s="11">
        <f>_xlfn.XLOOKUP(ArtMinor[[#This Row],[Grade]],GPAScale[Grade],GPAScale[Points])</f>
        <v>4</v>
      </c>
      <c r="J5" s="11"/>
      <c r="K5" s="1" t="s">
        <v>49</v>
      </c>
      <c r="L5" s="1" t="s">
        <v>50</v>
      </c>
      <c r="M5" s="9" t="s">
        <v>51</v>
      </c>
      <c r="N5" s="9">
        <v>4</v>
      </c>
      <c r="O5" s="9">
        <f>IF(_xlfn.XLOOKUP(Core[[#This Row],[Grade]],GPAScale[Grade],GPAScale[Earned]),Core[[#This Row],[AH]],0)</f>
        <v>4</v>
      </c>
      <c r="P5" s="9">
        <f>IF(_xlfn.XLOOKUP(Core[[#This Row],[Grade]],GPAScale[Grade],GPAScale[Graded]),Core[[#This Row],[AH]],0)</f>
        <v>4</v>
      </c>
      <c r="Q5" s="9" t="s">
        <v>23</v>
      </c>
      <c r="R5" s="11">
        <f>_xlfn.XLOOKUP(Core[[#This Row],[Grade]],GPAScale[Grade],GPAScale[Points])</f>
        <v>4</v>
      </c>
      <c r="T5" s="3" t="s">
        <v>52</v>
      </c>
      <c r="U5" s="9">
        <f>SUM(Core[[#Totals],[AH]],Electives[[#Totals],[AH]],GenEng[[#Totals],[AH]],NonMajor[[#Totals],[AH]])</f>
        <v>99</v>
      </c>
      <c r="V5" s="9">
        <f>SUM(Core[[#Totals],[EH]],Electives[[#Totals],[EH]],GenEng[[#Totals],[EH]],NonMajor[[#Totals],[EH]])</f>
        <v>59</v>
      </c>
      <c r="W5" s="9">
        <f>SUM(Core[[#Totals],[GH]],Electives[[#Totals],[GH]],GenEng[[#Totals],[GH]],NonMajor[[#Totals],[GH]])</f>
        <v>39</v>
      </c>
      <c r="X5" s="9">
        <f>SUM(Core[[#Totals],[Grade]],Electives[[#Totals],[Grade]],GenEng[[#Totals],[Grade]],NonMajor[[#Totals],[Grade]])</f>
        <v>136.90000000000001</v>
      </c>
      <c r="Y5" s="11">
        <f>IFERROR(Summary[[#This Row],[Points]]/Summary[[#This Row],[GH]],0)</f>
        <v>3.5102564102564102</v>
      </c>
      <c r="AA5" s="13" t="s">
        <v>53</v>
      </c>
      <c r="AB5" s="13" t="s">
        <v>54</v>
      </c>
      <c r="AC5" s="9">
        <v>5</v>
      </c>
      <c r="AD5" s="9">
        <f>IF(_xlfn.XLOOKUP(HS[[#This Row],[Grade]],GPAScale[Grade],GPAScale[Earned]),HS[[#This Row],[AH]],0)</f>
        <v>5</v>
      </c>
      <c r="AE5" s="9">
        <f>IF(_xlfn.XLOOKUP(HS[[#This Row],[Grade]],GPAScale[Grade],GPAScale[Graded]),HS[[#This Row],[EH]],0)</f>
        <v>0</v>
      </c>
      <c r="AF5" s="4" t="s">
        <v>30</v>
      </c>
      <c r="AG5" s="11">
        <f>_xlfn.XLOOKUP(HS[[#This Row],[Grade]],GPAScale[Grade],GPAScale[Points])</f>
        <v>0</v>
      </c>
      <c r="AI5" s="1" t="s">
        <v>55</v>
      </c>
      <c r="AJ5" s="1" t="s">
        <v>56</v>
      </c>
      <c r="AK5" s="9">
        <v>3</v>
      </c>
      <c r="AL5" s="9">
        <f>IF(_xlfn.XLOOKUP(AU_20[[#This Row],[Grade]],GPAScale[Grade],GPAScale[Earned]),AU_20[[#This Row],[AH]],0)</f>
        <v>3</v>
      </c>
      <c r="AM5" s="9">
        <f>IF(_xlfn.XLOOKUP(AU_20[[#This Row],[Grade]],GPAScale[Grade],GPAScale[Graded]),AU_20[[#This Row],[AH]],0)</f>
        <v>3</v>
      </c>
      <c r="AN5" s="9" t="s">
        <v>23</v>
      </c>
      <c r="AO5" s="11">
        <f>_xlfn.XLOOKUP(AU_20[[#This Row],[Grade]],GPAScale[Grade],GPAScale[Points])</f>
        <v>4</v>
      </c>
      <c r="AQ5" s="1" t="s">
        <v>37</v>
      </c>
      <c r="AR5" s="1" t="s">
        <v>38</v>
      </c>
      <c r="AS5" s="9">
        <v>3</v>
      </c>
      <c r="AT5" s="9">
        <f>IF(_xlfn.XLOOKUP(AU_21[[#This Row],[Grade]],GPAScale[Grade],GPAScale[Earned]),AU_21[[#This Row],[AH]],0)</f>
        <v>0</v>
      </c>
      <c r="AU5" s="9">
        <f>IF(_xlfn.XLOOKUP(AU_21[[#This Row],[Grade]],GPAScale[Grade],GPAScale[Graded]),AU_21[[#This Row],[AH]],0)</f>
        <v>3</v>
      </c>
      <c r="AV5" s="9" t="s">
        <v>57</v>
      </c>
      <c r="AW5" s="11">
        <f>_xlfn.XLOOKUP(AU_21[[#This Row],[Grade]],GPAScale[Grade],GPAScale[Points])</f>
        <v>0</v>
      </c>
      <c r="AY5" s="1" t="s">
        <v>58</v>
      </c>
      <c r="AZ5" s="1" t="s">
        <v>59</v>
      </c>
      <c r="BA5" s="9">
        <v>3</v>
      </c>
      <c r="BB5" s="9">
        <f>IF(_xlfn.XLOOKUP(AU_22[[#This Row],[Grade]],GPAScale[Grade],GPAScale[Earned]),AU_22[[#This Row],[AH]],0)</f>
        <v>3</v>
      </c>
      <c r="BC5" s="9">
        <f>IF(_xlfn.XLOOKUP(AU_22[[#This Row],[Grade]],GPAScale[Grade],GPAScale[Graded]),AU_22[[#This Row],[AH]],0)</f>
        <v>3</v>
      </c>
      <c r="BD5" s="9" t="s">
        <v>60</v>
      </c>
      <c r="BE5" s="11">
        <f>_xlfn.XLOOKUP(AU_22[[#This Row],[Grade]],GPAScale[Grade],GPAScale[Points])</f>
        <v>3.7000000000000002</v>
      </c>
      <c r="BG5" s="1" t="s">
        <v>61</v>
      </c>
      <c r="BH5" s="1" t="s">
        <v>62</v>
      </c>
      <c r="BI5" s="9">
        <v>3</v>
      </c>
      <c r="BJ5" s="9">
        <f>IF(_xlfn.XLOOKUP(AU_23[[#This Row],[Grade]],GPAScale[Grade],GPAScale[Earned]),AU_23[[#This Row],[AH]],0)</f>
        <v>3</v>
      </c>
      <c r="BK5" s="9">
        <f>IF(_xlfn.XLOOKUP(AU_23[[#This Row],[Grade]],GPAScale[Grade],GPAScale[Graded]),AU_23[[#This Row],[AH]],0)</f>
        <v>3</v>
      </c>
      <c r="BL5" s="9" t="s">
        <v>60</v>
      </c>
      <c r="BM5" s="11">
        <f>_xlfn.XLOOKUP(AU_23[[#This Row],[Grade]],GPAScale[Grade],GPAScale[Points])</f>
        <v>3.7000000000000002</v>
      </c>
      <c r="BO5" s="1" t="s">
        <v>63</v>
      </c>
      <c r="BP5" s="1" t="s">
        <v>64</v>
      </c>
      <c r="BQ5" s="9">
        <v>4</v>
      </c>
      <c r="BR5" s="9">
        <f>IF(_xlfn.XLOOKUP(AU_24[[#This Row],[Grade]],GPAScale[Grade],GPAScale[Earned]),AU_24[[#This Row],[AH]],0)</f>
        <v>0</v>
      </c>
      <c r="BS5" s="9">
        <f>IF(_xlfn.XLOOKUP(AU_24[[#This Row],[Grade]],GPAScale[Grade],GPAScale[Graded]),AU_24[[#This Row],[AH]],0)</f>
        <v>0</v>
      </c>
      <c r="BT5" s="9" t="s">
        <v>43</v>
      </c>
      <c r="BU5" s="11">
        <f>_xlfn.XLOOKUP(AU_24[[#This Row],[Grade]],GPAScale[Grade],GPAScale[Points])</f>
        <v>0</v>
      </c>
      <c r="BW5" s="1" t="s">
        <v>65</v>
      </c>
      <c r="BX5" s="1" t="s">
        <v>66</v>
      </c>
      <c r="BY5" s="9">
        <v>3</v>
      </c>
      <c r="BZ5" s="9">
        <f>IF(_xlfn.XLOOKUP(AU_25[[#This Row],[Grade]],GPAScale[Grade],GPAScale[Earned]),AU_25[[#This Row],[AH]],0)</f>
        <v>0</v>
      </c>
      <c r="CA5" s="9">
        <f>IF(_xlfn.XLOOKUP(AU_25[[#This Row],[Grade]],GPAScale[Grade],GPAScale[Graded]),AU_25[[#This Row],[AH]],0)</f>
        <v>0</v>
      </c>
      <c r="CB5" s="9"/>
      <c r="CC5" s="11">
        <f>_xlfn.XLOOKUP(AU_25[[#This Row],[Grade]],GPAScale[Grade],GPAScale[Points])</f>
        <v>0</v>
      </c>
    </row>
    <row r="6">
      <c r="B6" s="1" t="s">
        <v>67</v>
      </c>
      <c r="C6" s="1" t="s">
        <v>68</v>
      </c>
      <c r="D6" s="9" t="s">
        <v>22</v>
      </c>
      <c r="E6" s="9">
        <v>3</v>
      </c>
      <c r="F6" s="9">
        <f>IF(_xlfn.XLOOKUP(ArtMinor[[#This Row],[Grade]],GPAScale[Grade],GPAScale[Earned]),ArtMinor[[#This Row],[AH]],0)</f>
        <v>3</v>
      </c>
      <c r="G6" s="9">
        <f>IF(_xlfn.XLOOKUP(ArtMinor[[#This Row],[Grade]],GPAScale[Grade],GPAScale[Graded]),ArtMinor[[#This Row],[AH]],0)</f>
        <v>3</v>
      </c>
      <c r="H6" s="9" t="s">
        <v>23</v>
      </c>
      <c r="I6" s="11">
        <f>_xlfn.XLOOKUP(ArtMinor[[#This Row],[Grade]],GPAScale[Grade],GPAScale[Points])</f>
        <v>4</v>
      </c>
      <c r="J6" s="11"/>
      <c r="K6" s="1" t="s">
        <v>69</v>
      </c>
      <c r="L6" s="1" t="s">
        <v>70</v>
      </c>
      <c r="M6" s="9" t="s">
        <v>51</v>
      </c>
      <c r="N6" s="9">
        <v>3</v>
      </c>
      <c r="O6" s="9">
        <f>IF(_xlfn.XLOOKUP(Core[[#This Row],[Grade]],GPAScale[Grade],GPAScale[Earned]),Core[[#This Row],[AH]],0)</f>
        <v>3</v>
      </c>
      <c r="P6" s="9">
        <f>IF(_xlfn.XLOOKUP(Core[[#This Row],[Grade]],GPAScale[Grade],GPAScale[Graded]),Core[[#This Row],[AH]],0)</f>
        <v>3</v>
      </c>
      <c r="Q6" s="9" t="s">
        <v>60</v>
      </c>
      <c r="R6" s="11">
        <f>_xlfn.XLOOKUP(Core[[#This Row],[Grade]],GPAScale[Grade],GPAScale[Points])</f>
        <v>3.7000000000000002</v>
      </c>
      <c r="T6" s="3" t="s">
        <v>71</v>
      </c>
      <c r="U6" s="4">
        <f>ArtMinor[[#Totals],[AH]]</f>
        <v>15</v>
      </c>
      <c r="V6" s="4">
        <f>ArtMinor[[#Totals],[EH]]</f>
        <v>15</v>
      </c>
      <c r="W6" s="4">
        <f>ArtMinor[[#Totals],[GH]]</f>
        <v>15</v>
      </c>
      <c r="X6" s="4">
        <f>ArtMinor[[#Totals],[Grade]]</f>
        <v>57</v>
      </c>
      <c r="Y6" s="11">
        <f>IFERROR(Summary[[#This Row],[Points]]/Summary[[#This Row],[GH]],0)</f>
        <v>3.7999999999999998</v>
      </c>
      <c r="AA6" s="13" t="s">
        <v>72</v>
      </c>
      <c r="AB6" s="13" t="s">
        <v>73</v>
      </c>
      <c r="AC6" s="9">
        <v>0</v>
      </c>
      <c r="AD6" s="9">
        <f>IF(_xlfn.XLOOKUP(HS[[#This Row],[Grade]],GPAScale[Grade],GPAScale[Earned]),HS[[#This Row],[AH]],0)</f>
        <v>0</v>
      </c>
      <c r="AE6" s="9">
        <f>IF(_xlfn.XLOOKUP(HS[[#This Row],[Grade]],GPAScale[Grade],GPAScale[Graded]),HS[[#This Row],[EH]],0)</f>
        <v>0</v>
      </c>
      <c r="AF6" s="4" t="s">
        <v>30</v>
      </c>
      <c r="AG6" s="11">
        <f>_xlfn.XLOOKUP(HS[[#This Row],[Grade]],GPAScale[Grade],GPAScale[Points])</f>
        <v>0</v>
      </c>
      <c r="AI6" s="1" t="s">
        <v>74</v>
      </c>
      <c r="AJ6" s="1" t="s">
        <v>75</v>
      </c>
      <c r="AK6" s="9">
        <v>5</v>
      </c>
      <c r="AL6" s="9">
        <f>IF(_xlfn.XLOOKUP(AU_20[[#This Row],[Grade]],GPAScale[Grade],GPAScale[Earned]),AU_20[[#This Row],[AH]],0)</f>
        <v>0</v>
      </c>
      <c r="AM6" s="9">
        <f>IF(_xlfn.XLOOKUP(AU_20[[#This Row],[Grade]],GPAScale[Grade],GPAScale[Graded]),AU_20[[#This Row],[AH]],0)</f>
        <v>0</v>
      </c>
      <c r="AN6" s="9" t="s">
        <v>76</v>
      </c>
      <c r="AO6" s="11">
        <f>_xlfn.XLOOKUP(AU_20[[#This Row],[Grade]],GPAScale[Grade],GPAScale[Points])</f>
        <v>0</v>
      </c>
      <c r="AQ6" s="1" t="s">
        <v>77</v>
      </c>
      <c r="AR6" s="1" t="s">
        <v>78</v>
      </c>
      <c r="AS6" s="9">
        <v>4</v>
      </c>
      <c r="AT6" s="9">
        <f>IF(_xlfn.XLOOKUP(AU_21[[#This Row],[Grade]],GPAScale[Grade],GPAScale[Earned]),AU_21[[#This Row],[AH]],0)</f>
        <v>0</v>
      </c>
      <c r="AU6" s="9">
        <f>IF(_xlfn.XLOOKUP(AU_21[[#This Row],[Grade]],GPAScale[Grade],GPAScale[Graded]),AU_21[[#This Row],[AH]],0)</f>
        <v>0</v>
      </c>
      <c r="AV6" s="9" t="s">
        <v>76</v>
      </c>
      <c r="AW6" s="11">
        <f>_xlfn.XLOOKUP(AU_21[[#This Row],[Grade]],GPAScale[Grade],GPAScale[Points])</f>
        <v>0</v>
      </c>
      <c r="AY6" s="1"/>
      <c r="BA6" s="9"/>
      <c r="BB6" s="9">
        <f>IF(_xlfn.XLOOKUP(AU_22[[#This Row],[Grade]],GPAScale[Grade],GPAScale[Earned]),AU_22[[#This Row],[AH]],0)</f>
        <v>0</v>
      </c>
      <c r="BC6" s="9">
        <f>IF(_xlfn.XLOOKUP(AU_22[[#This Row],[Grade]],GPAScale[Grade],GPAScale[Graded]),AU_22[[#This Row],[AH]],0)</f>
        <v>0</v>
      </c>
      <c r="BD6" s="9"/>
      <c r="BE6" s="11">
        <f>_xlfn.XLOOKUP(AU_22[[#This Row],[Grade]],GPAScale[Grade],GPAScale[Points])</f>
        <v>0</v>
      </c>
      <c r="BG6" s="1" t="s">
        <v>79</v>
      </c>
      <c r="BH6" s="1" t="s">
        <v>80</v>
      </c>
      <c r="BI6" s="9">
        <v>3</v>
      </c>
      <c r="BJ6" s="9">
        <f>IF(_xlfn.XLOOKUP(AU_23[[#This Row],[Grade]],GPAScale[Grade],GPAScale[Earned]),AU_23[[#This Row],[AH]],0)</f>
        <v>0</v>
      </c>
      <c r="BK6" s="9">
        <f>IF(_xlfn.XLOOKUP(AU_23[[#This Row],[Grade]],GPAScale[Grade],GPAScale[Graded]),AU_23[[#This Row],[AH]],0)</f>
        <v>0</v>
      </c>
      <c r="BL6" s="9" t="s">
        <v>76</v>
      </c>
      <c r="BM6" s="11">
        <f>_xlfn.XLOOKUP(AU_23[[#This Row],[Grade]],GPAScale[Grade],GPAScale[Points])</f>
        <v>0</v>
      </c>
      <c r="BO6" s="1" t="s">
        <v>81</v>
      </c>
      <c r="BP6" s="1" t="s">
        <v>82</v>
      </c>
      <c r="BQ6" s="9">
        <v>3</v>
      </c>
      <c r="BR6" s="9">
        <f>IF(_xlfn.XLOOKUP(AU_24[[#This Row],[Grade]],GPAScale[Grade],GPAScale[Earned]),AU_24[[#This Row],[AH]],0)</f>
        <v>0</v>
      </c>
      <c r="BS6" s="9">
        <f>IF(_xlfn.XLOOKUP(AU_24[[#This Row],[Grade]],GPAScale[Grade],GPAScale[Graded]),AU_24[[#This Row],[AH]],0)</f>
        <v>0</v>
      </c>
      <c r="BT6" s="9" t="s">
        <v>76</v>
      </c>
      <c r="BU6" s="11">
        <f>_xlfn.XLOOKUP(AU_24[[#This Row],[Grade]],GPAScale[Grade],GPAScale[Points])</f>
        <v>0</v>
      </c>
      <c r="BW6" s="1" t="s">
        <v>83</v>
      </c>
      <c r="BX6" s="1" t="s">
        <v>84</v>
      </c>
      <c r="BY6" s="9">
        <v>3</v>
      </c>
      <c r="BZ6" s="9">
        <f>IF(_xlfn.XLOOKUP(AU_25[[#This Row],[Grade]],GPAScale[Grade],GPAScale[Earned]),AU_25[[#This Row],[AH]],0)</f>
        <v>0</v>
      </c>
      <c r="CA6" s="9">
        <f>IF(_xlfn.XLOOKUP(AU_25[[#This Row],[Grade]],GPAScale[Grade],GPAScale[Graded]),AU_25[[#This Row],[AH]],0)</f>
        <v>0</v>
      </c>
      <c r="CB6" s="9"/>
      <c r="CC6" s="11">
        <f>_xlfn.XLOOKUP(AU_25[[#This Row],[Grade]],GPAScale[Grade],GPAScale[Points])</f>
        <v>0</v>
      </c>
    </row>
    <row r="7">
      <c r="B7" s="1" t="s">
        <v>85</v>
      </c>
      <c r="C7" s="1" t="s">
        <v>38</v>
      </c>
      <c r="D7" s="9" t="s">
        <v>86</v>
      </c>
      <c r="E7" s="9">
        <v>3</v>
      </c>
      <c r="F7" s="9">
        <f>IF(_xlfn.XLOOKUP(ArtMinor[[#This Row],[Grade]],GPAScale[Grade],GPAScale[Earned]),ArtMinor[[#This Row],[AH]],0)</f>
        <v>3</v>
      </c>
      <c r="G7" s="9">
        <f>IF(_xlfn.XLOOKUP(ArtMinor[[#This Row],[Grade]],GPAScale[Grade],GPAScale[Graded]),ArtMinor[[#This Row],[AH]],0)</f>
        <v>3</v>
      </c>
      <c r="H7" s="9" t="s">
        <v>39</v>
      </c>
      <c r="I7" s="11">
        <f>_xlfn.XLOOKUP(ArtMinor[[#This Row],[Grade]],GPAScale[Grade],GPAScale[Points])</f>
        <v>3</v>
      </c>
      <c r="J7" s="11"/>
      <c r="K7" s="8" t="s">
        <v>87</v>
      </c>
      <c r="L7" s="8" t="s">
        <v>42</v>
      </c>
      <c r="M7" s="14" t="s">
        <v>88</v>
      </c>
      <c r="N7" s="14">
        <v>3</v>
      </c>
      <c r="O7" s="14">
        <f>IF(_xlfn.XLOOKUP(Core[[#This Row],[Grade]],GPAScale[Grade],GPAScale[Earned]),Core[[#This Row],[AH]],0)</f>
        <v>0</v>
      </c>
      <c r="P7" s="14">
        <f>IF(_xlfn.XLOOKUP(Core[[#This Row],[Grade]],GPAScale[Grade],GPAScale[Graded]),Core[[#This Row],[AH]],0)</f>
        <v>0</v>
      </c>
      <c r="Q7" s="14" t="s">
        <v>43</v>
      </c>
      <c r="R7" s="15">
        <f>_xlfn.XLOOKUP(Core[[#This Row],[Grade]],GPAScale[Grade],GPAScale[Points])</f>
        <v>0</v>
      </c>
      <c r="T7" s="3" t="s">
        <v>89</v>
      </c>
      <c r="U7" s="9">
        <f>GameMinor[[#Totals],[AH]]</f>
        <v>15</v>
      </c>
      <c r="V7" s="9">
        <f>GameMinor[[#Totals],[EH]]</f>
        <v>0</v>
      </c>
      <c r="W7" s="9">
        <f>GameMinor[[#Totals],[GH]]</f>
        <v>0</v>
      </c>
      <c r="X7" s="9">
        <f>GameMinor[[#Totals],[Grade]]</f>
        <v>0</v>
      </c>
      <c r="Y7" s="11">
        <f>IFERROR(Summary[[#This Row],[Points]]/Summary[[#This Row],[GH]],0)</f>
        <v>0</v>
      </c>
      <c r="AA7" s="13" t="s">
        <v>90</v>
      </c>
      <c r="AB7" s="13" t="s">
        <v>91</v>
      </c>
      <c r="AC7" s="9">
        <v>3</v>
      </c>
      <c r="AD7" s="9">
        <f>IF(_xlfn.XLOOKUP(HS[[#This Row],[Grade]],GPAScale[Grade],GPAScale[Earned]),HS[[#This Row],[AH]],0)</f>
        <v>3</v>
      </c>
      <c r="AE7" s="9">
        <f>IF(_xlfn.XLOOKUP(HS[[#This Row],[Grade]],GPAScale[Grade],GPAScale[Graded]),HS[[#This Row],[EH]],0)</f>
        <v>0</v>
      </c>
      <c r="AF7" s="4" t="s">
        <v>30</v>
      </c>
      <c r="AG7" s="11">
        <f>_xlfn.XLOOKUP(HS[[#This Row],[Grade]],GPAScale[Grade],GPAScale[Points])</f>
        <v>0</v>
      </c>
      <c r="AH7" s="9"/>
      <c r="AI7" s="1" t="s">
        <v>92</v>
      </c>
      <c r="AJ7" s="1" t="s">
        <v>93</v>
      </c>
      <c r="AK7" s="9">
        <v>2</v>
      </c>
      <c r="AL7" s="9">
        <f>IF(_xlfn.XLOOKUP(AU_20[[#This Row],[Grade]],GPAScale[Grade],GPAScale[Earned]),AU_20[[#This Row],[AH]],0)</f>
        <v>2</v>
      </c>
      <c r="AM7" s="9">
        <f>IF(_xlfn.XLOOKUP(AU_20[[#This Row],[Grade]],GPAScale[Grade],GPAScale[Graded]),AU_20[[#This Row],[AH]],0)</f>
        <v>2</v>
      </c>
      <c r="AN7" s="9" t="s">
        <v>33</v>
      </c>
      <c r="AO7" s="11">
        <f>_xlfn.XLOOKUP(AU_20[[#This Row],[Grade]],GPAScale[Grade],GPAScale[Points])</f>
        <v>3.2999999999999998</v>
      </c>
      <c r="AP7" s="9"/>
      <c r="AQ7" s="1" t="s">
        <v>94</v>
      </c>
      <c r="AR7" s="1" t="s">
        <v>95</v>
      </c>
      <c r="AS7" s="9">
        <v>2</v>
      </c>
      <c r="AT7" s="9">
        <f>IF(_xlfn.XLOOKUP(AU_21[[#This Row],[Grade]],GPAScale[Grade],GPAScale[Earned]),AU_21[[#This Row],[AH]],0)</f>
        <v>0</v>
      </c>
      <c r="AU7" s="9">
        <f>IF(_xlfn.XLOOKUP(AU_21[[#This Row],[Grade]],GPAScale[Grade],GPAScale[Graded]),AU_21[[#This Row],[AH]],0)</f>
        <v>0</v>
      </c>
      <c r="AV7" s="9" t="s">
        <v>76</v>
      </c>
      <c r="AW7" s="11">
        <f>_xlfn.XLOOKUP(AU_21[[#This Row],[Grade]],GPAScale[Grade],GPAScale[Points])</f>
        <v>0</v>
      </c>
      <c r="AX7" s="9"/>
      <c r="AY7" s="1"/>
      <c r="BA7" s="9"/>
      <c r="BB7" s="9">
        <f>IF(_xlfn.XLOOKUP(AU_22[[#This Row],[Grade]],GPAScale[Grade],GPAScale[Earned]),AU_22[[#This Row],[AH]],0)</f>
        <v>0</v>
      </c>
      <c r="BC7" s="9">
        <f>IF(_xlfn.XLOOKUP(AU_22[[#This Row],[Grade]],GPAScale[Grade],GPAScale[Graded]),AU_22[[#This Row],[AH]],0)</f>
        <v>0</v>
      </c>
      <c r="BD7" s="9"/>
      <c r="BE7" s="11">
        <f>_xlfn.XLOOKUP(AU_22[[#This Row],[Grade]],GPAScale[Grade],GPAScale[Points])</f>
        <v>0</v>
      </c>
      <c r="BF7" s="9"/>
      <c r="BG7" s="1" t="s">
        <v>96</v>
      </c>
      <c r="BH7" s="1" t="s">
        <v>97</v>
      </c>
      <c r="BI7" s="9">
        <v>3</v>
      </c>
      <c r="BJ7" s="9">
        <f>IF(_xlfn.XLOOKUP(AU_23[[#This Row],[Grade]],GPAScale[Grade],GPAScale[Earned]),AU_23[[#This Row],[AH]],0)</f>
        <v>3</v>
      </c>
      <c r="BK7" s="9">
        <f>IF(_xlfn.XLOOKUP(AU_23[[#This Row],[Grade]],GPAScale[Grade],GPAScale[Graded]),AU_23[[#This Row],[AH]],0)</f>
        <v>3</v>
      </c>
      <c r="BL7" s="9" t="s">
        <v>60</v>
      </c>
      <c r="BM7" s="11">
        <f>_xlfn.XLOOKUP(AU_23[[#This Row],[Grade]],GPAScale[Grade],GPAScale[Points])</f>
        <v>3.7000000000000002</v>
      </c>
      <c r="BN7" s="9"/>
      <c r="BO7" s="1" t="s">
        <v>98</v>
      </c>
      <c r="BP7" s="1" t="s">
        <v>99</v>
      </c>
      <c r="BQ7" s="9">
        <v>3</v>
      </c>
      <c r="BR7" s="9">
        <f>IF(_xlfn.XLOOKUP(AU_24[[#This Row],[Grade]],GPAScale[Grade],GPAScale[Earned]),AU_24[[#This Row],[AH]],0)</f>
        <v>0</v>
      </c>
      <c r="BS7" s="9">
        <f>IF(_xlfn.XLOOKUP(AU_24[[#This Row],[Grade]],GPAScale[Grade],GPAScale[Graded]),AU_24[[#This Row],[AH]],0)</f>
        <v>0</v>
      </c>
      <c r="BT7" s="9" t="s">
        <v>76</v>
      </c>
      <c r="BU7" s="11">
        <f>_xlfn.XLOOKUP(AU_24[[#This Row],[Grade]],GPAScale[Grade],GPAScale[Points])</f>
        <v>0</v>
      </c>
      <c r="BV7" s="9"/>
      <c r="BW7" s="1" t="s">
        <v>100</v>
      </c>
      <c r="BX7" s="1" t="s">
        <v>101</v>
      </c>
      <c r="BY7" s="9">
        <v>3</v>
      </c>
      <c r="BZ7" s="9">
        <f>IF(_xlfn.XLOOKUP(AU_25[[#This Row],[Grade]],GPAScale[Grade],GPAScale[Earned]),AU_25[[#This Row],[AH]],0)</f>
        <v>0</v>
      </c>
      <c r="CA7" s="9">
        <f>IF(_xlfn.XLOOKUP(AU_25[[#This Row],[Grade]],GPAScale[Grade],GPAScale[Graded]),AU_25[[#This Row],[AH]],0)</f>
        <v>0</v>
      </c>
      <c r="CB7" s="9"/>
      <c r="CC7" s="11">
        <f>_xlfn.XLOOKUP(AU_25[[#This Row],[Grade]],GPAScale[Grade],GPAScale[Points])</f>
        <v>0</v>
      </c>
      <c r="CD7" s="9"/>
    </row>
    <row r="8">
      <c r="B8" s="8" t="s">
        <v>102</v>
      </c>
      <c r="C8" s="8" t="s">
        <v>103</v>
      </c>
      <c r="D8" s="14" t="s">
        <v>51</v>
      </c>
      <c r="E8" s="14">
        <v>3</v>
      </c>
      <c r="F8" s="14">
        <f>IF(_xlfn.XLOOKUP(ArtMinor[[#This Row],[Grade]],GPAScale[Grade],GPAScale[Earned]),ArtMinor[[#This Row],[AH]],0)</f>
        <v>3</v>
      </c>
      <c r="G8" s="14">
        <f>IF(_xlfn.XLOOKUP(ArtMinor[[#This Row],[Grade]],GPAScale[Grade],GPAScale[Graded]),ArtMinor[[#This Row],[AH]],0)</f>
        <v>3</v>
      </c>
      <c r="H8" s="14" t="s">
        <v>23</v>
      </c>
      <c r="I8" s="15">
        <f>_xlfn.XLOOKUP(ArtMinor[[#This Row],[Grade]],GPAScale[Grade],GPAScale[Points])</f>
        <v>4</v>
      </c>
      <c r="J8" s="11"/>
      <c r="K8" s="8" t="s">
        <v>63</v>
      </c>
      <c r="L8" s="8" t="s">
        <v>64</v>
      </c>
      <c r="M8" s="14" t="s">
        <v>88</v>
      </c>
      <c r="N8" s="14">
        <v>3</v>
      </c>
      <c r="O8" s="14">
        <f>IF(_xlfn.XLOOKUP(Core[[#This Row],[Grade]],GPAScale[Grade],GPAScale[Earned]),Core[[#This Row],[AH]],0)</f>
        <v>0</v>
      </c>
      <c r="P8" s="14">
        <f>IF(_xlfn.XLOOKUP(Core[[#This Row],[Grade]],GPAScale[Grade],GPAScale[Graded]),Core[[#This Row],[AH]],0)</f>
        <v>0</v>
      </c>
      <c r="Q8" s="14" t="s">
        <v>43</v>
      </c>
      <c r="R8" s="15">
        <f>_xlfn.XLOOKUP(Core[[#This Row],[Grade]],GPAScale[Grade],GPAScale[Points])</f>
        <v>0</v>
      </c>
      <c r="T8" s="13" t="s">
        <v>2</v>
      </c>
      <c r="U8" s="9">
        <f>SUM(ArtMinor[[#Totals],[AH]],GenEd[[#Totals],[AH]],Uncounted[[#Totals],[AH]],Core[[#Totals],[AH]],Electives[[#Totals],[AH]],GenEng[[#Totals],[AH]],NonMajor[[#Totals],[AH]],AnimationMinor[[#Totals],[AH]])</f>
        <v>224</v>
      </c>
      <c r="V8" s="9">
        <f>SUM(ArtMinor[[#Totals],[EH]],GameMinor[[#Totals],[EH]],GenEd[[#Totals],[EH]],Uncounted[[#Totals],[EH]],Core[[#Totals],[EH]],Electives[[#Totals],[EH]],GenEng[[#Totals],[EH]],NonMajor[[#Totals],[EH]])</f>
        <v>156</v>
      </c>
      <c r="W8" s="9">
        <f>SUM(ArtMinor[[#Totals],[GH]],GameMinor[[#Totals],[GH]],GenEd[[#Totals],[GH]],Uncounted[[#Totals],[GH]],Core[[#Totals],[GH]],Electives[[#Totals],[GH]],GenEng[[#Totals],[GH]],NonMajor[[#Totals],[GH]])</f>
        <v>101</v>
      </c>
      <c r="X8" s="9">
        <f>SUM(ArtMinor[[#Totals],[Grade]],GameMinor[[#Totals],[Grade]],GenEd[[#Totals],[Grade]],Uncounted[[#Totals],[Grade]],Core[[#Totals],[Grade]],Electives[[#Totals],[Grade]],GenEng[[#Totals],[Grade]],NonMajor[[#Totals],[Grade]])</f>
        <v>334.80000000000001</v>
      </c>
      <c r="Y8" s="11">
        <f>IFERROR(Summary[[#This Row],[Points]]/Summary[[#This Row],[GH]],0)</f>
        <v>3.3148514851485151</v>
      </c>
      <c r="AA8" s="13" t="s">
        <v>104</v>
      </c>
      <c r="AB8" s="13" t="s">
        <v>105</v>
      </c>
      <c r="AC8" s="9">
        <v>3</v>
      </c>
      <c r="AD8" s="9">
        <f>IF(_xlfn.XLOOKUP(HS[[#This Row],[Grade]],GPAScale[Grade],GPAScale[Earned]),HS[[#This Row],[AH]],0)</f>
        <v>3</v>
      </c>
      <c r="AE8" s="9">
        <f>IF(_xlfn.XLOOKUP(HS[[#This Row],[Grade]],GPAScale[Grade],GPAScale[Graded]),HS[[#This Row],[EH]],0)</f>
        <v>0</v>
      </c>
      <c r="AF8" s="4" t="s">
        <v>30</v>
      </c>
      <c r="AG8" s="11">
        <f>_xlfn.XLOOKUP(HS[[#This Row],[Grade]],GPAScale[Grade],GPAScale[Points])</f>
        <v>0</v>
      </c>
      <c r="AH8" s="9"/>
      <c r="AI8" s="1" t="s">
        <v>106</v>
      </c>
      <c r="AJ8" s="1" t="s">
        <v>107</v>
      </c>
      <c r="AK8" s="9">
        <v>4</v>
      </c>
      <c r="AL8" s="9">
        <f>IF(_xlfn.XLOOKUP(AU_20[[#This Row],[Grade]],GPAScale[Grade],GPAScale[Earned]),AU_20[[#This Row],[AH]],0)</f>
        <v>4</v>
      </c>
      <c r="AM8" s="9">
        <f>IF(_xlfn.XLOOKUP(AU_20[[#This Row],[Grade]],GPAScale[Grade],GPAScale[Graded]),AU_20[[#This Row],[AH]],0)</f>
        <v>0</v>
      </c>
      <c r="AN8" s="9" t="s">
        <v>108</v>
      </c>
      <c r="AO8" s="11">
        <f>_xlfn.XLOOKUP(AU_20[[#This Row],[Grade]],GPAScale[Grade],GPAScale[Points])</f>
        <v>0</v>
      </c>
      <c r="AP8" s="9"/>
      <c r="AQ8" s="1"/>
      <c r="AS8" s="9"/>
      <c r="AT8" s="9">
        <f>IF(_xlfn.XLOOKUP(AU_21[[#This Row],[Grade]],GPAScale[Grade],GPAScale[Earned]),AU_21[[#This Row],[AH]],0)</f>
        <v>0</v>
      </c>
      <c r="AU8" s="9">
        <f>IF(_xlfn.XLOOKUP(AU_21[[#This Row],[Grade]],GPAScale[Grade],GPAScale[Graded]),AU_21[[#This Row],[AH]],0)</f>
        <v>0</v>
      </c>
      <c r="AV8" s="9"/>
      <c r="AW8" s="11">
        <f>_xlfn.XLOOKUP(AU_21[[#This Row],[Grade]],GPAScale[Grade],GPAScale[Points])</f>
        <v>0</v>
      </c>
      <c r="AX8" s="9"/>
      <c r="AY8" s="1"/>
      <c r="BA8" s="9"/>
      <c r="BB8" s="9">
        <f>IF(_xlfn.XLOOKUP(AU_22[[#This Row],[Grade]],GPAScale[Grade],GPAScale[Earned]),AU_22[[#This Row],[AH]],0)</f>
        <v>0</v>
      </c>
      <c r="BC8" s="9">
        <f>IF(_xlfn.XLOOKUP(AU_22[[#This Row],[Grade]],GPAScale[Grade],GPAScale[Graded]),AU_22[[#This Row],[AH]],0)</f>
        <v>0</v>
      </c>
      <c r="BD8" s="9"/>
      <c r="BE8" s="11">
        <f>_xlfn.XLOOKUP(AU_22[[#This Row],[Grade]],GPAScale[Grade],GPAScale[Points])</f>
        <v>0</v>
      </c>
      <c r="BF8" s="9"/>
      <c r="BG8" s="1"/>
      <c r="BI8" s="9"/>
      <c r="BJ8" s="9">
        <f>IF(_xlfn.XLOOKUP(AU_23[[#This Row],[Grade]],GPAScale[Grade],GPAScale[Earned]),AU_23[[#This Row],[AH]],0)</f>
        <v>0</v>
      </c>
      <c r="BK8" s="9">
        <f>IF(_xlfn.XLOOKUP(AU_23[[#This Row],[Grade]],GPAScale[Grade],GPAScale[Graded]),AU_23[[#This Row],[AH]],0)</f>
        <v>0</v>
      </c>
      <c r="BL8" s="9"/>
      <c r="BM8" s="11">
        <f>_xlfn.XLOOKUP(AU_23[[#This Row],[Grade]],GPAScale[Grade],GPAScale[Points])</f>
        <v>0</v>
      </c>
      <c r="BN8" s="9"/>
      <c r="BO8" s="1"/>
      <c r="BQ8" s="9"/>
      <c r="BR8" s="9">
        <f>IF(_xlfn.XLOOKUP(AU_24[[#This Row],[Grade]],GPAScale[Grade],GPAScale[Earned]),AU_24[[#This Row],[AH]],0)</f>
        <v>0</v>
      </c>
      <c r="BS8" s="9">
        <f>IF(_xlfn.XLOOKUP(AU_24[[#This Row],[Grade]],GPAScale[Grade],GPAScale[Graded]),AU_24[[#This Row],[AH]],0)</f>
        <v>0</v>
      </c>
      <c r="BT8" s="9"/>
      <c r="BU8" s="11">
        <f>_xlfn.XLOOKUP(AU_24[[#This Row],[Grade]],GPAScale[Grade],GPAScale[Points])</f>
        <v>0</v>
      </c>
      <c r="BV8" s="9"/>
      <c r="BW8" s="1"/>
      <c r="BY8" s="9"/>
      <c r="BZ8" s="9">
        <f>IF(_xlfn.XLOOKUP(AU_25[[#This Row],[Grade]],GPAScale[Grade],GPAScale[Earned]),AU_25[[#This Row],[AH]],0)</f>
        <v>0</v>
      </c>
      <c r="CA8" s="9">
        <f>IF(_xlfn.XLOOKUP(AU_25[[#This Row],[Grade]],GPAScale[Grade],GPAScale[Graded]),AU_25[[#This Row],[AH]],0)</f>
        <v>0</v>
      </c>
      <c r="CB8" s="9"/>
      <c r="CC8" s="11">
        <f>_xlfn.XLOOKUP(AU_25[[#This Row],[Grade]],GPAScale[Grade],GPAScale[Points])</f>
        <v>0</v>
      </c>
      <c r="CD8" s="9"/>
    </row>
    <row r="9" ht="17.100000000000001">
      <c r="B9" s="4"/>
      <c r="C9" s="9"/>
      <c r="D9" s="4"/>
      <c r="E9" s="9">
        <f>SUBTOTAL(109,ArtMinor[AH])</f>
        <v>15</v>
      </c>
      <c r="F9" s="4">
        <f>SUBTOTAL(109,ArtMinor[EH])</f>
        <v>15</v>
      </c>
      <c r="G9" s="4">
        <f>SUBTOTAL(109,ArtMinor[GH])</f>
        <v>15</v>
      </c>
      <c r="H9" s="4">
        <f>ArtMinor[[#Totals],[GPA]]*ArtMinor[[#Totals],[GH]]</f>
        <v>57</v>
      </c>
      <c r="I9" s="12">
        <f t="array" ref="I9">IFERROR(SUM(ArtMinor[GPA]*ArtMinor[GH])/ArtMinor[[#Totals],[GH]],0)</f>
        <v>3.7999999999999998</v>
      </c>
      <c r="J9" s="12"/>
      <c r="K9" s="1" t="s">
        <v>109</v>
      </c>
      <c r="L9" s="1" t="s">
        <v>110</v>
      </c>
      <c r="M9" s="9" t="s">
        <v>111</v>
      </c>
      <c r="N9" s="9">
        <v>4</v>
      </c>
      <c r="O9" s="9">
        <f>IF(_xlfn.XLOOKUP(Core[[#This Row],[Grade]],GPAScale[Grade],GPAScale[Earned]),Core[[#This Row],[AH]],0)</f>
        <v>0</v>
      </c>
      <c r="P9" s="9">
        <f>IF(_xlfn.XLOOKUP(Core[[#This Row],[Grade]],GPAScale[Grade],GPAScale[Graded]),Core[[#This Row],[AH]],0)</f>
        <v>0</v>
      </c>
      <c r="Q9" s="9"/>
      <c r="R9" s="11">
        <f>_xlfn.XLOOKUP(Core[[#This Row],[Grade]],GPAScale[Grade],GPAScale[Points])</f>
        <v>0</v>
      </c>
      <c r="AA9" s="13" t="s">
        <v>112</v>
      </c>
      <c r="AB9" s="13" t="s">
        <v>113</v>
      </c>
      <c r="AC9" s="9">
        <v>3</v>
      </c>
      <c r="AD9" s="9">
        <f>IF(_xlfn.XLOOKUP(HS[[#This Row],[Grade]],GPAScale[Grade],GPAScale[Earned]),HS[[#This Row],[AH]],0)</f>
        <v>3</v>
      </c>
      <c r="AE9" s="9">
        <f>IF(_xlfn.XLOOKUP(HS[[#This Row],[Grade]],GPAScale[Grade],GPAScale[Graded]),HS[[#This Row],[EH]],0)</f>
        <v>0</v>
      </c>
      <c r="AF9" s="4" t="s">
        <v>30</v>
      </c>
      <c r="AG9" s="11">
        <f>_xlfn.XLOOKUP(HS[[#This Row],[Grade]],GPAScale[Grade],GPAScale[Points])</f>
        <v>0</v>
      </c>
      <c r="AH9" s="9"/>
      <c r="AI9" s="4" t="s">
        <v>114</v>
      </c>
      <c r="AJ9" s="9"/>
      <c r="AK9" s="4">
        <f>SUBTOTAL(109,AU_20[AH])</f>
        <v>17</v>
      </c>
      <c r="AL9" s="9">
        <f>SUBTOTAL(109,AU_20[EH])</f>
        <v>12</v>
      </c>
      <c r="AM9" s="4">
        <f>SUBTOTAL(109,AU_20[GH])</f>
        <v>8</v>
      </c>
      <c r="AN9" s="4">
        <f>AU_20[[#Totals],[GPA]]*AU_20[[#Totals],[GH]]</f>
        <v>28.5</v>
      </c>
      <c r="AO9" s="12">
        <f t="array" ref="AO9">IFERROR(SUM(AU_20[GPA]*AU_20[GH])/AU_20[[#Totals],[GH]],0)</f>
        <v>3.5625</v>
      </c>
      <c r="AP9" s="9"/>
      <c r="AQ9" s="4" t="s">
        <v>114</v>
      </c>
      <c r="AR9" s="9"/>
      <c r="AS9" s="4">
        <f>SUBTOTAL(109,AU_21[AH])</f>
        <v>14</v>
      </c>
      <c r="AT9" s="9">
        <f>SUBTOTAL(109,AU_21[EH])</f>
        <v>5</v>
      </c>
      <c r="AU9" s="4">
        <f>SUBTOTAL(109,AU_21[GH])</f>
        <v>8</v>
      </c>
      <c r="AV9" s="4">
        <f>AU_21[[#Totals],[GPA]]*AU_21[[#Totals],[GH]]</f>
        <v>10</v>
      </c>
      <c r="AW9" s="12">
        <f t="array" ref="AW9">IFERROR(SUM(AU_21[GPA]*AU_21[GH])/AU_21[[#Totals],[GH]],0)</f>
        <v>1.25</v>
      </c>
      <c r="AX9" s="9"/>
      <c r="AY9" s="4" t="s">
        <v>114</v>
      </c>
      <c r="AZ9" s="9"/>
      <c r="BA9" s="4">
        <f>SUBTOTAL(109,AU_22[AH])</f>
        <v>6</v>
      </c>
      <c r="BB9" s="9">
        <f>SUBTOTAL(109,AU_22[EH])</f>
        <v>6</v>
      </c>
      <c r="BC9" s="4">
        <f>SUBTOTAL(109,AU_22[GH])</f>
        <v>6</v>
      </c>
      <c r="BD9" s="4">
        <f>AU_22[[#Totals],[GPA]]*AU_22[[#Totals],[GH]]</f>
        <v>20.100000000000001</v>
      </c>
      <c r="BE9" s="12">
        <f t="array" ref="BE9">IFERROR(SUM(AU_22[GPA]*AU_22[GH])/AU_22[[#Totals],[GH]],0)</f>
        <v>3.3500000000000001</v>
      </c>
      <c r="BF9" s="9"/>
      <c r="BG9" s="4" t="s">
        <v>114</v>
      </c>
      <c r="BH9" s="9"/>
      <c r="BI9" s="4">
        <f>SUBTOTAL(109,AU_23[AH])</f>
        <v>13</v>
      </c>
      <c r="BJ9" s="9">
        <f>SUBTOTAL(109,AU_23[EH])</f>
        <v>10</v>
      </c>
      <c r="BK9" s="4">
        <f>SUBTOTAL(109,AU_23[GH])</f>
        <v>10</v>
      </c>
      <c r="BL9" s="4">
        <f>AU_23[[#Totals],[GPA]]*AU_23[[#Totals],[GH]]</f>
        <v>38.200000000000003</v>
      </c>
      <c r="BM9" s="12">
        <f t="array" ref="BM9">IFERROR(SUM(AU_23[GPA]*AU_23[GH])/AU_23[[#Totals],[GH]],0)</f>
        <v>3.8200000000000003</v>
      </c>
      <c r="BN9" s="9"/>
      <c r="BO9" s="4" t="s">
        <v>114</v>
      </c>
      <c r="BP9" s="9"/>
      <c r="BQ9" s="4">
        <f>SUBTOTAL(109,AU_24[AH])</f>
        <v>13</v>
      </c>
      <c r="BR9" s="9">
        <f>SUBTOTAL(109,AU_24[EH])</f>
        <v>0</v>
      </c>
      <c r="BS9" s="4">
        <f>SUBTOTAL(109,AU_24[GH])</f>
        <v>0</v>
      </c>
      <c r="BT9" s="4">
        <f>AU_24[[#Totals],[GPA]]*AU_24[[#Totals],[GH]]</f>
        <v>0</v>
      </c>
      <c r="BU9" s="12">
        <f t="array" ref="BU9">IFERROR(SUM(AU_24[GPA]*AU_24[GH])/AU_24[[#Totals],[GH]],0)</f>
        <v>0</v>
      </c>
      <c r="BV9" s="9"/>
      <c r="BW9" s="4" t="s">
        <v>114</v>
      </c>
      <c r="BX9" s="9"/>
      <c r="BY9" s="4">
        <f>SUBTOTAL(109,AU_25[AH])</f>
        <v>12</v>
      </c>
      <c r="BZ9" s="9">
        <f>SUBTOTAL(109,AU_25[EH])</f>
        <v>0</v>
      </c>
      <c r="CA9" s="4">
        <f>SUBTOTAL(109,AU_25[GH])</f>
        <v>0</v>
      </c>
      <c r="CB9" s="4">
        <f>AU_25[[#Totals],[GPA]]*AU_25[[#Totals],[GH]]</f>
        <v>0</v>
      </c>
      <c r="CC9" s="12">
        <f t="array" ref="CC9">IFERROR(SUM(AU_25[GPA]*AU_25[GH])/AU_25[[#Totals],[GH]],0)</f>
        <v>0</v>
      </c>
      <c r="CD9" s="9"/>
    </row>
    <row r="10" ht="17.100000000000001">
      <c r="D10" s="9"/>
      <c r="F10" s="16"/>
      <c r="K10" s="1" t="s">
        <v>44</v>
      </c>
      <c r="L10" s="1" t="s">
        <v>45</v>
      </c>
      <c r="M10" s="9" t="s">
        <v>115</v>
      </c>
      <c r="N10" s="9">
        <v>3</v>
      </c>
      <c r="O10" s="9">
        <f>IF(_xlfn.XLOOKUP(Core[[#This Row],[Grade]],GPAScale[Grade],GPAScale[Earned]),Core[[#This Row],[AH]],0)</f>
        <v>0</v>
      </c>
      <c r="P10" s="9">
        <f>IF(_xlfn.XLOOKUP(Core[[#This Row],[Grade]],GPAScale[Grade],GPAScale[Graded]),Core[[#This Row],[AH]],0)</f>
        <v>0</v>
      </c>
      <c r="Q10" s="9"/>
      <c r="R10" s="11">
        <f>_xlfn.XLOOKUP(Core[[#This Row],[Grade]],GPAScale[Grade],GPAScale[Points])</f>
        <v>0</v>
      </c>
      <c r="AA10" s="13" t="s">
        <v>116</v>
      </c>
      <c r="AB10" s="13" t="s">
        <v>117</v>
      </c>
      <c r="AC10" s="9">
        <v>3</v>
      </c>
      <c r="AD10" s="9">
        <f>IF(_xlfn.XLOOKUP(HS[[#This Row],[Grade]],GPAScale[Grade],GPAScale[Earned]),HS[[#This Row],[AH]],0)</f>
        <v>3</v>
      </c>
      <c r="AE10" s="9">
        <f>IF(_xlfn.XLOOKUP(HS[[#This Row],[Grade]],GPAScale[Grade],GPAScale[Graded]),HS[[#This Row],[EH]],0)</f>
        <v>0</v>
      </c>
      <c r="AF10" s="4" t="s">
        <v>30</v>
      </c>
      <c r="AG10" s="11">
        <f>_xlfn.XLOOKUP(HS[[#This Row],[Grade]],GPAScale[Grade],GPAScale[Points])</f>
        <v>0</v>
      </c>
      <c r="AI10" s="17" t="s">
        <v>118</v>
      </c>
      <c r="AJ10" s="18"/>
      <c r="AK10" s="19">
        <f>AU_20[[#Totals],[AH]]+AC38</f>
        <v>94</v>
      </c>
      <c r="AL10" s="19">
        <f>AU_20[[#Totals],[EH]]+AD38</f>
        <v>84</v>
      </c>
      <c r="AM10" s="19">
        <f>AU_20[[#Totals],[GH]]+AE38</f>
        <v>26</v>
      </c>
      <c r="AN10" s="19">
        <f>AU_20[[#Totals],[Grade]]+AF38</f>
        <v>93.099999999999994</v>
      </c>
      <c r="AO10" s="20">
        <f>AN10/AM10</f>
        <v>3.5807692307692305</v>
      </c>
      <c r="AQ10" s="21" t="s">
        <v>118</v>
      </c>
      <c r="AR10" s="22"/>
      <c r="AS10" s="23">
        <f>AU_21[[#Totals],[AH]]+AK30</f>
        <v>126</v>
      </c>
      <c r="AT10" s="23">
        <f>AU_21[[#Totals],[EH]]+AL30</f>
        <v>107</v>
      </c>
      <c r="AU10" s="23">
        <f>AU_21[[#Totals],[GH]]+AM30</f>
        <v>52</v>
      </c>
      <c r="AV10" s="23">
        <f>AU_21[[#Totals],[Grade]]+AN30</f>
        <v>165.80000000000001</v>
      </c>
      <c r="AW10" s="24">
        <f>AV10/AU10</f>
        <v>3.1884615384615387</v>
      </c>
      <c r="AY10" s="21" t="s">
        <v>118</v>
      </c>
      <c r="AZ10" s="22"/>
      <c r="BA10" s="23">
        <f>AU_22[[#Totals],[AH]]+AS30</f>
        <v>138</v>
      </c>
      <c r="BB10" s="23">
        <f>AU_22[[#Totals],[EH]]+AT30</f>
        <v>119</v>
      </c>
      <c r="BC10" s="23">
        <f>AU_22[[#Totals],[GH]]+AU30</f>
        <v>64</v>
      </c>
      <c r="BD10" s="23">
        <f>AU_22[[#Totals],[Grade]]+AV30</f>
        <v>198.5</v>
      </c>
      <c r="BE10" s="24">
        <f>BD10/BC10</f>
        <v>3.1015625</v>
      </c>
      <c r="BG10" s="21" t="s">
        <v>118</v>
      </c>
      <c r="BH10" s="22"/>
      <c r="BI10" s="23">
        <f>AU_23[[#Totals],[AH]]+BA30</f>
        <v>162</v>
      </c>
      <c r="BJ10" s="23">
        <f>AU_23[[#Totals],[EH]]+BB30</f>
        <v>140</v>
      </c>
      <c r="BK10" s="23">
        <f>AU_23[[#Totals],[GH]]+BC30</f>
        <v>85</v>
      </c>
      <c r="BL10" s="23">
        <f>AU_23[[#Totals],[Grade]]+BD30</f>
        <v>273.80000000000001</v>
      </c>
      <c r="BM10" s="24">
        <f>BL10/BK10</f>
        <v>3.2211764705882353</v>
      </c>
      <c r="BO10" s="21" t="s">
        <v>118</v>
      </c>
      <c r="BP10" s="22"/>
      <c r="BQ10" s="23">
        <f>AU_24[[#Totals],[AH]]+BI30</f>
        <v>191</v>
      </c>
      <c r="BR10" s="23">
        <f>AU_24[[#Totals],[EH]]+BJ30</f>
        <v>156</v>
      </c>
      <c r="BS10" s="23">
        <f>AU_24[[#Totals],[GH]]+BK30</f>
        <v>101</v>
      </c>
      <c r="BT10" s="23">
        <f>AU_24[[#Totals],[Grade]]+BL30</f>
        <v>334.80000000000001</v>
      </c>
      <c r="BU10" s="24">
        <f>BT10/BS10</f>
        <v>3.3148514851485151</v>
      </c>
      <c r="BW10" s="21" t="s">
        <v>118</v>
      </c>
      <c r="BX10" s="22"/>
      <c r="BY10" s="23">
        <f>AU_25[[#Totals],[AH]]+BQ30</f>
        <v>214</v>
      </c>
      <c r="BZ10" s="23">
        <f>AU_25[[#Totals],[EH]]+BR30</f>
        <v>156</v>
      </c>
      <c r="CA10" s="23">
        <f>AU_25[[#Totals],[GH]]+BS30</f>
        <v>101</v>
      </c>
      <c r="CB10" s="23">
        <f>AU_25[[#Totals],[Grade]]+BT30</f>
        <v>334.80000000000001</v>
      </c>
      <c r="CC10" s="24">
        <f>CB10/CA10</f>
        <v>3.3148514851485151</v>
      </c>
    </row>
    <row r="11">
      <c r="B11" s="5" t="s">
        <v>119</v>
      </c>
      <c r="C11" s="6"/>
      <c r="D11" s="6"/>
      <c r="E11" s="6"/>
      <c r="F11" s="6"/>
      <c r="G11" s="6"/>
      <c r="H11" s="6"/>
      <c r="I11" s="7"/>
      <c r="K11" s="1" t="s">
        <v>120</v>
      </c>
      <c r="L11" s="1" t="s">
        <v>121</v>
      </c>
      <c r="M11" s="9" t="s">
        <v>122</v>
      </c>
      <c r="N11" s="9">
        <v>1</v>
      </c>
      <c r="O11" s="9">
        <f>IF(_xlfn.XLOOKUP(Core[[#This Row],[Grade]],GPAScale[Grade],GPAScale[Earned]),Core[[#This Row],[AH]],0)</f>
        <v>0</v>
      </c>
      <c r="P11" s="9">
        <f>IF(_xlfn.XLOOKUP(Core[[#This Row],[Grade]],GPAScale[Grade],GPAScale[Graded]),Core[[#This Row],[AH]],0)</f>
        <v>0</v>
      </c>
      <c r="Q11" s="9"/>
      <c r="R11" s="11">
        <f>_xlfn.XLOOKUP(Core[[#This Row],[Grade]],GPAScale[Grade],GPAScale[Points])</f>
        <v>0</v>
      </c>
      <c r="AA11" s="13" t="s">
        <v>123</v>
      </c>
      <c r="AB11" s="13" t="s">
        <v>124</v>
      </c>
      <c r="AC11" s="9">
        <v>3</v>
      </c>
      <c r="AD11" s="9">
        <f>IF(_xlfn.XLOOKUP(HS[[#This Row],[Grade]],GPAScale[Grade],GPAScale[Earned]),HS[[#This Row],[AH]],0)</f>
        <v>3</v>
      </c>
      <c r="AE11" s="9">
        <f>IF(_xlfn.XLOOKUP(HS[[#This Row],[Grade]],GPAScale[Grade],GPAScale[Graded]),HS[[#This Row],[EH]],0)</f>
        <v>0</v>
      </c>
      <c r="AF11" s="4" t="s">
        <v>30</v>
      </c>
      <c r="AG11" s="11">
        <f>_xlfn.XLOOKUP(HS[[#This Row],[Grade]],GPAScale[Grade],GPAScale[Points])</f>
        <v>0</v>
      </c>
    </row>
    <row r="12"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K12" s="1" t="s">
        <v>125</v>
      </c>
      <c r="L12" s="1" t="s">
        <v>126</v>
      </c>
      <c r="M12" s="9" t="s">
        <v>111</v>
      </c>
      <c r="N12" s="9">
        <v>4</v>
      </c>
      <c r="O12" s="9">
        <f>IF(_xlfn.XLOOKUP(Core[[#This Row],[Grade]],GPAScale[Grade],GPAScale[Earned]),Core[[#This Row],[AH]],0)</f>
        <v>0</v>
      </c>
      <c r="P12" s="9">
        <f>IF(_xlfn.XLOOKUP(Core[[#This Row],[Grade]],GPAScale[Grade],GPAScale[Graded]),Core[[#This Row],[AH]],0)</f>
        <v>0</v>
      </c>
      <c r="Q12" s="9"/>
      <c r="R12" s="11">
        <f>_xlfn.XLOOKUP(Core[[#This Row],[Grade]],GPAScale[Grade],GPAScale[Points])</f>
        <v>0</v>
      </c>
      <c r="AA12" s="13" t="s">
        <v>127</v>
      </c>
      <c r="AB12" s="13" t="s">
        <v>128</v>
      </c>
      <c r="AC12" s="9">
        <v>5</v>
      </c>
      <c r="AD12" s="9">
        <f>IF(_xlfn.XLOOKUP(HS[[#This Row],[Grade]],GPAScale[Grade],GPAScale[Earned]),HS[[#This Row],[AH]],0)</f>
        <v>5</v>
      </c>
      <c r="AE12" s="9">
        <f>IF(_xlfn.XLOOKUP(HS[[#This Row],[Grade]],GPAScale[Grade],GPAScale[Graded]),HS[[#This Row],[EH]],0)</f>
        <v>0</v>
      </c>
      <c r="AF12" s="4" t="s">
        <v>30</v>
      </c>
      <c r="AG12" s="11">
        <f>_xlfn.XLOOKUP(HS[[#This Row],[Grade]],GPAScale[Grade],GPAScale[Points])</f>
        <v>0</v>
      </c>
      <c r="AI12" s="5" t="s">
        <v>129</v>
      </c>
      <c r="AJ12" s="6"/>
      <c r="AK12" s="6"/>
      <c r="AL12" s="6"/>
      <c r="AM12" s="6"/>
      <c r="AN12" s="6"/>
      <c r="AO12" s="7"/>
      <c r="AQ12" s="5" t="s">
        <v>130</v>
      </c>
      <c r="AR12" s="6"/>
      <c r="AS12" s="6"/>
      <c r="AT12" s="6"/>
      <c r="AU12" s="6"/>
      <c r="AV12" s="6"/>
      <c r="AW12" s="7"/>
      <c r="AY12" s="5" t="s">
        <v>131</v>
      </c>
      <c r="AZ12" s="6"/>
      <c r="BA12" s="6"/>
      <c r="BB12" s="6"/>
      <c r="BC12" s="6"/>
      <c r="BD12" s="6"/>
      <c r="BE12" s="7"/>
      <c r="BG12" s="5" t="s">
        <v>132</v>
      </c>
      <c r="BH12" s="6"/>
      <c r="BI12" s="6"/>
      <c r="BJ12" s="6"/>
      <c r="BK12" s="6"/>
      <c r="BL12" s="6"/>
      <c r="BM12" s="7"/>
      <c r="BO12" s="5" t="s">
        <v>133</v>
      </c>
      <c r="BP12" s="6"/>
      <c r="BQ12" s="6"/>
      <c r="BR12" s="6"/>
      <c r="BS12" s="6"/>
      <c r="BT12" s="6"/>
      <c r="BU12" s="7"/>
      <c r="BW12" s="5" t="s">
        <v>134</v>
      </c>
      <c r="BX12" s="6"/>
      <c r="BY12" s="6"/>
      <c r="BZ12" s="6"/>
      <c r="CA12" s="6"/>
      <c r="CB12" s="6"/>
      <c r="CC12" s="7"/>
    </row>
    <row r="13">
      <c r="B13" s="1" t="s">
        <v>81</v>
      </c>
      <c r="C13" s="1" t="s">
        <v>82</v>
      </c>
      <c r="D13" s="9" t="s">
        <v>88</v>
      </c>
      <c r="E13" s="9">
        <v>3</v>
      </c>
      <c r="F13" s="9">
        <f>IF(_xlfn.XLOOKUP(AnimationMinor[[#This Row],[Grade]],GPAScale[Grade],GPAScale[Earned]),AnimationMinor[[#This Row],[AH]],0)</f>
        <v>0</v>
      </c>
      <c r="G13" s="9">
        <f>IF(_xlfn.XLOOKUP(AnimationMinor[[#This Row],[Grade]],GPAScale[Grade],GPAScale[Graded]),AnimationMinor[[#This Row],[AH]],0)</f>
        <v>0</v>
      </c>
      <c r="H13" s="9" t="s">
        <v>76</v>
      </c>
      <c r="I13" s="11">
        <f>_xlfn.XLOOKUP(AnimationMinor[[#This Row],[Grade]],GPAScale[Grade],GPAScale[Points])</f>
        <v>0</v>
      </c>
      <c r="K13" s="1" t="s">
        <v>65</v>
      </c>
      <c r="L13" s="1" t="s">
        <v>66</v>
      </c>
      <c r="M13" s="9" t="s">
        <v>115</v>
      </c>
      <c r="N13" s="9">
        <v>3</v>
      </c>
      <c r="O13" s="9">
        <f>IF(_xlfn.XLOOKUP(Core[[#This Row],[Grade]],GPAScale[Grade],GPAScale[Earned]),Core[[#This Row],[AH]],0)</f>
        <v>0</v>
      </c>
      <c r="P13" s="9">
        <f>IF(_xlfn.XLOOKUP(Core[[#This Row],[Grade]],GPAScale[Grade],GPAScale[Graded]),Core[[#This Row],[AH]],0)</f>
        <v>0</v>
      </c>
      <c r="Q13" s="9"/>
      <c r="R13" s="11">
        <f>_xlfn.XLOOKUP(Core[[#This Row],[Grade]],GPAScale[Grade],GPAScale[Points])</f>
        <v>0</v>
      </c>
      <c r="AA13" s="13" t="s">
        <v>135</v>
      </c>
      <c r="AB13" s="13" t="s">
        <v>136</v>
      </c>
      <c r="AC13" s="9">
        <v>3</v>
      </c>
      <c r="AD13" s="9">
        <f>IF(_xlfn.XLOOKUP(HS[[#This Row],[Grade]],GPAScale[Grade],GPAScale[Earned]),HS[[#This Row],[AH]],0)</f>
        <v>3</v>
      </c>
      <c r="AE13" s="9">
        <f>IF(_xlfn.XLOOKUP(HS[[#This Row],[Grade]],GPAScale[Grade],GPAScale[Graded]),HS[[#This Row],[EH]],0)</f>
        <v>0</v>
      </c>
      <c r="AF13" s="4" t="s">
        <v>30</v>
      </c>
      <c r="AG13" s="11">
        <f>_xlfn.XLOOKUP(HS[[#This Row],[Grade]],GPAScale[Grade],GPAScale[Points])</f>
        <v>0</v>
      </c>
      <c r="AH13" s="10"/>
      <c r="AI13" s="9" t="s">
        <v>10</v>
      </c>
      <c r="AJ13" s="9" t="s">
        <v>11</v>
      </c>
      <c r="AK13" s="9" t="s">
        <v>13</v>
      </c>
      <c r="AL13" s="9" t="s">
        <v>14</v>
      </c>
      <c r="AM13" s="9" t="s">
        <v>15</v>
      </c>
      <c r="AN13" s="9" t="s">
        <v>16</v>
      </c>
      <c r="AO13" s="9" t="s">
        <v>17</v>
      </c>
      <c r="AP13" s="10"/>
      <c r="AQ13" s="9" t="s">
        <v>10</v>
      </c>
      <c r="AR13" s="9" t="s">
        <v>11</v>
      </c>
      <c r="AS13" s="9" t="s">
        <v>13</v>
      </c>
      <c r="AT13" s="9" t="s">
        <v>14</v>
      </c>
      <c r="AU13" s="9" t="s">
        <v>15</v>
      </c>
      <c r="AV13" s="9" t="s">
        <v>16</v>
      </c>
      <c r="AW13" s="9" t="s">
        <v>17</v>
      </c>
      <c r="AX13" s="10"/>
      <c r="AY13" s="9" t="s">
        <v>10</v>
      </c>
      <c r="AZ13" s="9" t="s">
        <v>11</v>
      </c>
      <c r="BA13" s="9" t="s">
        <v>13</v>
      </c>
      <c r="BB13" s="9" t="s">
        <v>14</v>
      </c>
      <c r="BC13" s="9" t="s">
        <v>15</v>
      </c>
      <c r="BD13" s="9" t="s">
        <v>16</v>
      </c>
      <c r="BE13" s="9" t="s">
        <v>17</v>
      </c>
      <c r="BF13" s="10"/>
      <c r="BG13" s="9" t="s">
        <v>10</v>
      </c>
      <c r="BH13" s="9" t="s">
        <v>11</v>
      </c>
      <c r="BI13" s="9" t="s">
        <v>13</v>
      </c>
      <c r="BJ13" s="9" t="s">
        <v>14</v>
      </c>
      <c r="BK13" s="9" t="s">
        <v>15</v>
      </c>
      <c r="BL13" s="9" t="s">
        <v>16</v>
      </c>
      <c r="BM13" s="9" t="s">
        <v>17</v>
      </c>
      <c r="BN13" s="10"/>
      <c r="BO13" s="9" t="s">
        <v>10</v>
      </c>
      <c r="BP13" s="9" t="s">
        <v>11</v>
      </c>
      <c r="BQ13" s="9" t="s">
        <v>13</v>
      </c>
      <c r="BR13" s="9" t="s">
        <v>14</v>
      </c>
      <c r="BS13" s="9" t="s">
        <v>15</v>
      </c>
      <c r="BT13" s="9" t="s">
        <v>16</v>
      </c>
      <c r="BU13" s="9" t="s">
        <v>17</v>
      </c>
      <c r="BV13" s="10"/>
      <c r="BW13" s="9" t="s">
        <v>10</v>
      </c>
      <c r="BX13" s="9" t="s">
        <v>11</v>
      </c>
      <c r="BY13" s="9" t="s">
        <v>13</v>
      </c>
      <c r="BZ13" s="9" t="s">
        <v>14</v>
      </c>
      <c r="CA13" s="9" t="s">
        <v>15</v>
      </c>
      <c r="CB13" s="9" t="s">
        <v>16</v>
      </c>
      <c r="CC13" s="9" t="s">
        <v>17</v>
      </c>
      <c r="CD13" s="10"/>
    </row>
    <row r="14">
      <c r="B14" s="1" t="s">
        <v>98</v>
      </c>
      <c r="C14" s="1" t="s">
        <v>99</v>
      </c>
      <c r="D14" s="9" t="s">
        <v>88</v>
      </c>
      <c r="E14" s="9">
        <v>3</v>
      </c>
      <c r="F14" s="9">
        <f>IF(_xlfn.XLOOKUP(AnimationMinor[[#This Row],[Grade]],GPAScale[Grade],GPAScale[Earned]),AnimationMinor[[#This Row],[AH]],0)</f>
        <v>0</v>
      </c>
      <c r="G14" s="9">
        <f>IF(_xlfn.XLOOKUP(AnimationMinor[[#This Row],[Grade]],GPAScale[Grade],GPAScale[Graded]),AnimationMinor[[#This Row],[AH]],0)</f>
        <v>0</v>
      </c>
      <c r="H14" s="9" t="s">
        <v>76</v>
      </c>
      <c r="I14" s="11">
        <f>_xlfn.XLOOKUP(AnimationMinor[[#This Row],[Grade]],GPAScale[Grade],GPAScale[Points])</f>
        <v>0</v>
      </c>
      <c r="K14" s="1" t="s">
        <v>137</v>
      </c>
      <c r="L14" s="1" t="s">
        <v>138</v>
      </c>
      <c r="M14" s="9" t="s">
        <v>111</v>
      </c>
      <c r="N14" s="9">
        <v>3</v>
      </c>
      <c r="O14" s="9">
        <f>IF(_xlfn.XLOOKUP(Core[[#This Row],[Grade]],GPAScale[Grade],GPAScale[Earned]),Core[[#This Row],[AH]],0)</f>
        <v>0</v>
      </c>
      <c r="P14" s="9">
        <f>IF(_xlfn.XLOOKUP(Core[[#This Row],[Grade]],GPAScale[Grade],GPAScale[Graded]),Core[[#This Row],[AH]],0)</f>
        <v>0</v>
      </c>
      <c r="Q14" s="9"/>
      <c r="R14" s="11">
        <f>_xlfn.XLOOKUP(Core[[#This Row],[Grade]],GPAScale[Grade],GPAScale[Points])</f>
        <v>0</v>
      </c>
      <c r="T14" s="9"/>
      <c r="V14" s="16"/>
      <c r="AA14" s="13" t="s">
        <v>139</v>
      </c>
      <c r="AB14" s="13" t="s">
        <v>140</v>
      </c>
      <c r="AC14" s="9">
        <v>3</v>
      </c>
      <c r="AD14" s="9">
        <f>IF(_xlfn.XLOOKUP(HS[[#This Row],[Grade]],GPAScale[Grade],GPAScale[Earned]),HS[[#This Row],[AH]],0)</f>
        <v>3</v>
      </c>
      <c r="AE14" s="9">
        <f>IF(_xlfn.XLOOKUP(HS[[#This Row],[Grade]],GPAScale[Grade],GPAScale[Graded]),HS[[#This Row],[EH]],0)</f>
        <v>0</v>
      </c>
      <c r="AF14" s="4" t="s">
        <v>30</v>
      </c>
      <c r="AG14" s="11">
        <f>_xlfn.XLOOKUP(HS[[#This Row],[Grade]],GPAScale[Grade],GPAScale[Points])</f>
        <v>0</v>
      </c>
      <c r="AI14" s="1" t="s">
        <v>20</v>
      </c>
      <c r="AJ14" s="1" t="s">
        <v>21</v>
      </c>
      <c r="AK14" s="9">
        <v>3</v>
      </c>
      <c r="AL14" s="9">
        <f>IF(_xlfn.XLOOKUP(SP_21[[#This Row],[Grade]],GPAScale[Grade],GPAScale[Earned]),SP_21[[#This Row],[AH]],0)</f>
        <v>3</v>
      </c>
      <c r="AM14" s="9">
        <f>IF(_xlfn.XLOOKUP(SP_21[[#This Row],[Grade]],GPAScale[Grade],GPAScale[Graded]),SP_21[[#This Row],[AH]],0)</f>
        <v>3</v>
      </c>
      <c r="AN14" s="9" t="s">
        <v>23</v>
      </c>
      <c r="AO14" s="11">
        <f>_xlfn.XLOOKUP(SP_21[[#This Row],[Grade]],GPAScale[Grade],GPAScale[Points])</f>
        <v>4</v>
      </c>
      <c r="AQ14" s="1" t="s">
        <v>141</v>
      </c>
      <c r="AR14" s="1" t="s">
        <v>142</v>
      </c>
      <c r="AS14" s="9">
        <v>4</v>
      </c>
      <c r="AT14" s="9">
        <f>IF(_xlfn.XLOOKUP(SP_22[[#This Row],[Grade]],GPAScale[Grade],GPAScale[Earned]),SP_22[[#This Row],[AH]],0)</f>
        <v>4</v>
      </c>
      <c r="AU14" s="9">
        <f>IF(_xlfn.XLOOKUP(SP_22[[#This Row],[Grade]],GPAScale[Grade],GPAScale[Graded]),SP_22[[#This Row],[AH]],0)</f>
        <v>4</v>
      </c>
      <c r="AV14" s="9" t="s">
        <v>143</v>
      </c>
      <c r="AW14" s="11">
        <f>_xlfn.XLOOKUP(SP_22[[#This Row],[Grade]],GPAScale[Grade],GPAScale[Points])</f>
        <v>1.3</v>
      </c>
      <c r="AY14" s="1" t="s">
        <v>74</v>
      </c>
      <c r="AZ14" s="1" t="s">
        <v>75</v>
      </c>
      <c r="BA14" s="9">
        <v>5</v>
      </c>
      <c r="BB14" s="9">
        <f>IF(_xlfn.XLOOKUP(SP_23[[#This Row],[Grade]],GPAScale[Grade],GPAScale[Earned]),SP_23[[#This Row],[AH]],0)</f>
        <v>5</v>
      </c>
      <c r="BC14" s="9">
        <f>IF(_xlfn.XLOOKUP(SP_23[[#This Row],[Grade]],GPAScale[Grade],GPAScale[Graded]),SP_23[[#This Row],[AH]],0)</f>
        <v>5</v>
      </c>
      <c r="BD14" s="9" t="s">
        <v>23</v>
      </c>
      <c r="BE14" s="11">
        <f>_xlfn.XLOOKUP(SP_23[[#This Row],[Grade]],GPAScale[Grade],GPAScale[Points])</f>
        <v>4</v>
      </c>
      <c r="BG14" s="1" t="s">
        <v>144</v>
      </c>
      <c r="BH14" s="1" t="s">
        <v>50</v>
      </c>
      <c r="BI14" s="9">
        <v>4</v>
      </c>
      <c r="BJ14" s="9">
        <f>IF(_xlfn.XLOOKUP(SP_24[[#This Row],[Grade]],GPAScale[Grade],GPAScale[Earned]),SP_24[[#This Row],[AH]],0)</f>
        <v>4</v>
      </c>
      <c r="BK14" s="9">
        <f>IF(_xlfn.XLOOKUP(SP_24[[#This Row],[Grade]],GPAScale[Grade],GPAScale[Graded]),SP_24[[#This Row],[AH]],0)</f>
        <v>4</v>
      </c>
      <c r="BL14" s="9" t="s">
        <v>23</v>
      </c>
      <c r="BM14" s="11">
        <f>_xlfn.XLOOKUP(SP_24[[#This Row],[Grade]],GPAScale[Grade],GPAScale[Points])</f>
        <v>4</v>
      </c>
      <c r="BO14" s="1" t="s">
        <v>109</v>
      </c>
      <c r="BP14" s="1" t="s">
        <v>110</v>
      </c>
      <c r="BQ14" s="9">
        <v>3</v>
      </c>
      <c r="BR14" s="9">
        <f>IF(_xlfn.XLOOKUP(SP_25[[#This Row],[Grade]],GPAScale[Grade],GPAScale[Earned]),SP_25[[#This Row],[AH]],0)</f>
        <v>0</v>
      </c>
      <c r="BS14" s="9">
        <f>IF(_xlfn.XLOOKUP(SP_25[[#This Row],[Grade]],GPAScale[Grade],GPAScale[Graded]),SP_25[[#This Row],[AH]],0)</f>
        <v>0</v>
      </c>
      <c r="BT14" s="9"/>
      <c r="BU14" s="11">
        <f>_xlfn.XLOOKUP(SP_25[[#This Row],[Grade]],GPAScale[Grade],GPAScale[Points])</f>
        <v>0</v>
      </c>
      <c r="BW14" s="1" t="s">
        <v>145</v>
      </c>
      <c r="BX14" s="1" t="s">
        <v>146</v>
      </c>
      <c r="BY14" s="9">
        <v>3</v>
      </c>
      <c r="BZ14" s="9">
        <f>IF(_xlfn.XLOOKUP(SP_26[[#This Row],[Grade]],GPAScale[Grade],GPAScale[Earned]),SP_26[[#This Row],[AH]],0)</f>
        <v>0</v>
      </c>
      <c r="CA14" s="9">
        <f>IF(_xlfn.XLOOKUP(SP_26[[#This Row],[Grade]],GPAScale[Grade],GPAScale[Graded]),SP_26[[#This Row],[AH]],0)</f>
        <v>0</v>
      </c>
      <c r="CB14" s="9"/>
      <c r="CC14" s="11">
        <f>_xlfn.XLOOKUP(SP_26[[#This Row],[Grade]],GPAScale[Grade],GPAScale[Points])</f>
        <v>0</v>
      </c>
    </row>
    <row r="15">
      <c r="B15" s="4"/>
      <c r="C15" s="9"/>
      <c r="D15" s="4"/>
      <c r="E15" s="9">
        <f>SUBTOTAL(109,AnimationMinor[AH])</f>
        <v>6</v>
      </c>
      <c r="F15" s="4">
        <f>SUBTOTAL(109,AnimationMinor[EH])</f>
        <v>0</v>
      </c>
      <c r="G15" s="4">
        <f>SUBTOTAL(109,AnimationMinor[GH])</f>
        <v>0</v>
      </c>
      <c r="H15" s="4">
        <f>AnimationMinor[[#Totals],[GPA]]*AnimationMinor[[#Totals],[GH]]</f>
        <v>0</v>
      </c>
      <c r="I15" s="12">
        <f t="array" ref="I15">IFERROR(SUM(AnimationMinor[GPA]*AnimationMinor[GH])/AnimationMinor[[#Totals],[GH]],0)</f>
        <v>0</v>
      </c>
      <c r="K15" s="1" t="s">
        <v>147</v>
      </c>
      <c r="L15" s="1" t="s">
        <v>84</v>
      </c>
      <c r="M15" s="9" t="s">
        <v>115</v>
      </c>
      <c r="N15" s="9">
        <v>3</v>
      </c>
      <c r="O15" s="9">
        <f>IF(_xlfn.XLOOKUP(Core[[#This Row],[Grade]],GPAScale[Grade],GPAScale[Earned]),Core[[#This Row],[AH]],0)</f>
        <v>0</v>
      </c>
      <c r="P15" s="9">
        <f>IF(_xlfn.XLOOKUP(Core[[#This Row],[Grade]],GPAScale[Grade],GPAScale[Graded]),Core[[#This Row],[AH]],0)</f>
        <v>0</v>
      </c>
      <c r="Q15" s="9"/>
      <c r="R15" s="11">
        <f>_xlfn.XLOOKUP(Core[[#This Row],[Grade]],GPAScale[Grade],GPAScale[Points])</f>
        <v>0</v>
      </c>
      <c r="S15" s="25"/>
      <c r="T15" s="9"/>
      <c r="V15" s="16"/>
      <c r="AA15" s="13" t="s">
        <v>148</v>
      </c>
      <c r="AB15" s="13" t="s">
        <v>149</v>
      </c>
      <c r="AC15" s="9">
        <v>3</v>
      </c>
      <c r="AD15" s="9">
        <f>IF(_xlfn.XLOOKUP(HS[[#This Row],[Grade]],GPAScale[Grade],GPAScale[Earned]),HS[[#This Row],[AH]],0)</f>
        <v>3</v>
      </c>
      <c r="AE15" s="9">
        <f>IF(_xlfn.XLOOKUP(HS[[#This Row],[Grade]],GPAScale[Grade],GPAScale[Graded]),HS[[#This Row],[EH]],0)</f>
        <v>0</v>
      </c>
      <c r="AF15" s="4" t="s">
        <v>30</v>
      </c>
      <c r="AG15" s="11">
        <f>_xlfn.XLOOKUP(HS[[#This Row],[Grade]],GPAScale[Grade],GPAScale[Points])</f>
        <v>0</v>
      </c>
      <c r="AH15" s="9"/>
      <c r="AI15" s="1" t="s">
        <v>67</v>
      </c>
      <c r="AJ15" s="1" t="s">
        <v>68</v>
      </c>
      <c r="AK15" s="9">
        <v>3</v>
      </c>
      <c r="AL15" s="9">
        <f>IF(_xlfn.XLOOKUP(SP_21[[#This Row],[Grade]],GPAScale[Grade],GPAScale[Earned]),SP_21[[#This Row],[AH]],0)</f>
        <v>3</v>
      </c>
      <c r="AM15" s="9">
        <f>IF(_xlfn.XLOOKUP(SP_21[[#This Row],[Grade]],GPAScale[Grade],GPAScale[Graded]),SP_21[[#This Row],[AH]],0)</f>
        <v>3</v>
      </c>
      <c r="AN15" s="9" t="s">
        <v>23</v>
      </c>
      <c r="AO15" s="11">
        <f>_xlfn.XLOOKUP(SP_21[[#This Row],[Grade]],GPAScale[Grade],GPAScale[Points])</f>
        <v>4</v>
      </c>
      <c r="AP15" s="9"/>
      <c r="AQ15" s="1" t="s">
        <v>150</v>
      </c>
      <c r="AR15" s="1" t="s">
        <v>151</v>
      </c>
      <c r="AS15" s="9">
        <v>2</v>
      </c>
      <c r="AT15" s="9">
        <f>IF(_xlfn.XLOOKUP(SP_22[[#This Row],[Grade]],GPAScale[Grade],GPAScale[Earned]),SP_22[[#This Row],[AH]],0)</f>
        <v>2</v>
      </c>
      <c r="AU15" s="9">
        <f>IF(_xlfn.XLOOKUP(SP_22[[#This Row],[Grade]],GPAScale[Grade],GPAScale[Graded]),SP_22[[#This Row],[AH]],0)</f>
        <v>2</v>
      </c>
      <c r="AV15" s="9" t="s">
        <v>60</v>
      </c>
      <c r="AW15" s="11">
        <f>_xlfn.XLOOKUP(SP_22[[#This Row],[Grade]],GPAScale[Grade],GPAScale[Points])</f>
        <v>3.7000000000000002</v>
      </c>
      <c r="AX15" s="9"/>
      <c r="AY15" s="1" t="s">
        <v>152</v>
      </c>
      <c r="AZ15" s="1" t="s">
        <v>153</v>
      </c>
      <c r="BA15" s="9">
        <v>3</v>
      </c>
      <c r="BB15" s="9">
        <f>IF(_xlfn.XLOOKUP(SP_23[[#This Row],[Grade]],GPAScale[Grade],GPAScale[Earned]),SP_23[[#This Row],[AH]],0)</f>
        <v>3</v>
      </c>
      <c r="BC15" s="9">
        <f>IF(_xlfn.XLOOKUP(SP_23[[#This Row],[Grade]],GPAScale[Grade],GPAScale[Graded]),SP_23[[#This Row],[AH]],0)</f>
        <v>3</v>
      </c>
      <c r="BD15" s="9" t="s">
        <v>154</v>
      </c>
      <c r="BE15" s="11">
        <f>_xlfn.XLOOKUP(SP_23[[#This Row],[Grade]],GPAScale[Grade],GPAScale[Points])</f>
        <v>1.7</v>
      </c>
      <c r="BF15" s="9"/>
      <c r="BG15" s="1" t="s">
        <v>155</v>
      </c>
      <c r="BH15" s="1" t="s">
        <v>70</v>
      </c>
      <c r="BI15" s="9">
        <v>3</v>
      </c>
      <c r="BJ15" s="9">
        <f>IF(_xlfn.XLOOKUP(SP_24[[#This Row],[Grade]],GPAScale[Grade],GPAScale[Earned]),SP_24[[#This Row],[AH]],0)</f>
        <v>3</v>
      </c>
      <c r="BK15" s="9">
        <f>IF(_xlfn.XLOOKUP(SP_24[[#This Row],[Grade]],GPAScale[Grade],GPAScale[Graded]),SP_24[[#This Row],[AH]],0)</f>
        <v>3</v>
      </c>
      <c r="BL15" s="9" t="s">
        <v>60</v>
      </c>
      <c r="BM15" s="11">
        <f>_xlfn.XLOOKUP(SP_24[[#This Row],[Grade]],GPAScale[Grade],GPAScale[Points])</f>
        <v>3.7000000000000002</v>
      </c>
      <c r="BN15" s="9"/>
      <c r="BO15" s="1" t="s">
        <v>125</v>
      </c>
      <c r="BP15" s="1" t="s">
        <v>126</v>
      </c>
      <c r="BQ15" s="9">
        <v>4</v>
      </c>
      <c r="BR15" s="9">
        <f>IF(_xlfn.XLOOKUP(SP_25[[#This Row],[Grade]],GPAScale[Grade],GPAScale[Earned]),SP_25[[#This Row],[AH]],0)</f>
        <v>0</v>
      </c>
      <c r="BS15" s="9">
        <f>IF(_xlfn.XLOOKUP(SP_25[[#This Row],[Grade]],GPAScale[Grade],GPAScale[Graded]),SP_25[[#This Row],[AH]],0)</f>
        <v>0</v>
      </c>
      <c r="BT15" s="9"/>
      <c r="BU15" s="11">
        <f>_xlfn.XLOOKUP(SP_25[[#This Row],[Grade]],GPAScale[Grade],GPAScale[Points])</f>
        <v>0</v>
      </c>
      <c r="BV15" s="9"/>
      <c r="BW15" s="1" t="s">
        <v>156</v>
      </c>
      <c r="BX15" s="1" t="s">
        <v>157</v>
      </c>
      <c r="BY15" s="9">
        <v>3</v>
      </c>
      <c r="BZ15" s="9">
        <f>IF(_xlfn.XLOOKUP(SP_26[[#This Row],[Grade]],GPAScale[Grade],GPAScale[Earned]),SP_26[[#This Row],[AH]],0)</f>
        <v>0</v>
      </c>
      <c r="CA15" s="9">
        <f>IF(_xlfn.XLOOKUP(SP_26[[#This Row],[Grade]],GPAScale[Grade],GPAScale[Graded]),SP_26[[#This Row],[AH]],0)</f>
        <v>0</v>
      </c>
      <c r="CB15" s="9"/>
      <c r="CC15" s="11">
        <f>_xlfn.XLOOKUP(SP_26[[#This Row],[Grade]],GPAScale[Grade],GPAScale[Points])</f>
        <v>0</v>
      </c>
      <c r="CD15" s="9"/>
    </row>
    <row r="16">
      <c r="D16" s="9"/>
      <c r="E16" s="9"/>
      <c r="F16" s="9"/>
      <c r="G16" s="9"/>
      <c r="H16" s="9"/>
      <c r="I16" s="11"/>
      <c r="K16" s="1" t="s">
        <v>158</v>
      </c>
      <c r="L16" s="1" t="s">
        <v>159</v>
      </c>
      <c r="M16" s="9" t="s">
        <v>160</v>
      </c>
      <c r="N16" s="9">
        <v>4</v>
      </c>
      <c r="O16" s="9">
        <f>IF(_xlfn.XLOOKUP(Core[[#This Row],[Grade]],GPAScale[Grade],GPAScale[Earned]),Core[[#This Row],[AH]],0)</f>
        <v>0</v>
      </c>
      <c r="P16" s="9">
        <f>IF(_xlfn.XLOOKUP(Core[[#This Row],[Grade]],GPAScale[Grade],GPAScale[Graded]),Core[[#This Row],[AH]],0)</f>
        <v>0</v>
      </c>
      <c r="Q16" s="9"/>
      <c r="R16" s="11">
        <f>_xlfn.XLOOKUP(Core[[#This Row],[Grade]],GPAScale[Grade],GPAScale[Points])</f>
        <v>0</v>
      </c>
      <c r="T16" s="9"/>
      <c r="V16" s="16"/>
      <c r="AA16" s="13" t="s">
        <v>148</v>
      </c>
      <c r="AB16" s="13" t="s">
        <v>161</v>
      </c>
      <c r="AC16" s="9">
        <v>3</v>
      </c>
      <c r="AD16" s="9">
        <f>IF(_xlfn.XLOOKUP(HS[[#This Row],[Grade]],GPAScale[Grade],GPAScale[Earned]),HS[[#This Row],[AH]],0)</f>
        <v>3</v>
      </c>
      <c r="AE16" s="9">
        <f>IF(_xlfn.XLOOKUP(HS[[#This Row],[Grade]],GPAScale[Grade],GPAScale[Graded]),HS[[#This Row],[EH]],0)</f>
        <v>0</v>
      </c>
      <c r="AF16" s="4" t="s">
        <v>30</v>
      </c>
      <c r="AG16" s="11">
        <f>_xlfn.XLOOKUP(HS[[#This Row],[Grade]],GPAScale[Grade],GPAScale[Points])</f>
        <v>0</v>
      </c>
      <c r="AI16" s="1" t="s">
        <v>162</v>
      </c>
      <c r="AJ16" s="1" t="s">
        <v>163</v>
      </c>
      <c r="AK16" s="9">
        <v>4</v>
      </c>
      <c r="AL16" s="9">
        <f>IF(_xlfn.XLOOKUP(SP_21[[#This Row],[Grade]],GPAScale[Grade],GPAScale[Earned]),SP_21[[#This Row],[AH]],0)</f>
        <v>4</v>
      </c>
      <c r="AM16" s="9">
        <f>IF(_xlfn.XLOOKUP(SP_21[[#This Row],[Grade]],GPAScale[Grade],GPAScale[Graded]),SP_21[[#This Row],[AH]],0)</f>
        <v>4</v>
      </c>
      <c r="AN16" s="9" t="s">
        <v>39</v>
      </c>
      <c r="AO16" s="11">
        <f>_xlfn.XLOOKUP(SP_21[[#This Row],[Grade]],GPAScale[Grade],GPAScale[Points])</f>
        <v>3</v>
      </c>
      <c r="AQ16" s="1"/>
      <c r="AS16" s="9"/>
      <c r="AT16" s="9">
        <f>IF(_xlfn.XLOOKUP(SP_22[[#This Row],[Grade]],GPAScale[Grade],GPAScale[Earned]),SP_22[[#This Row],[AH]],0)</f>
        <v>0</v>
      </c>
      <c r="AU16" s="9">
        <f>IF(_xlfn.XLOOKUP(SP_22[[#This Row],[Grade]],GPAScale[Grade],GPAScale[Graded]),SP_22[[#This Row],[AH]],0)</f>
        <v>0</v>
      </c>
      <c r="AV16" s="9"/>
      <c r="AW16" s="11">
        <f>_xlfn.XLOOKUP(SP_22[[#This Row],[Grade]],GPAScale[Grade],GPAScale[Points])</f>
        <v>0</v>
      </c>
      <c r="AY16" s="1" t="s">
        <v>120</v>
      </c>
      <c r="AZ16" s="1" t="s">
        <v>164</v>
      </c>
      <c r="BA16" s="9">
        <v>3</v>
      </c>
      <c r="BB16" s="9">
        <f>IF(_xlfn.XLOOKUP(SP_23[[#This Row],[Grade]],GPAScale[Grade],GPAScale[Earned]),SP_23[[#This Row],[AH]],0)</f>
        <v>3</v>
      </c>
      <c r="BC16" s="9">
        <f>IF(_xlfn.XLOOKUP(SP_23[[#This Row],[Grade]],GPAScale[Grade],GPAScale[Graded]),SP_23[[#This Row],[AH]],0)</f>
        <v>3</v>
      </c>
      <c r="BD16" s="9" t="s">
        <v>23</v>
      </c>
      <c r="BE16" s="11">
        <f>_xlfn.XLOOKUP(SP_23[[#This Row],[Grade]],GPAScale[Grade],GPAScale[Points])</f>
        <v>4</v>
      </c>
      <c r="BG16" s="1" t="s">
        <v>165</v>
      </c>
      <c r="BH16" s="1" t="s">
        <v>166</v>
      </c>
      <c r="BI16" s="9">
        <v>3</v>
      </c>
      <c r="BJ16" s="9">
        <f>IF(_xlfn.XLOOKUP(SP_24[[#This Row],[Grade]],GPAScale[Grade],GPAScale[Earned]),SP_24[[#This Row],[AH]],0)</f>
        <v>3</v>
      </c>
      <c r="BK16" s="9">
        <f>IF(_xlfn.XLOOKUP(SP_24[[#This Row],[Grade]],GPAScale[Grade],GPAScale[Graded]),SP_24[[#This Row],[AH]],0)</f>
        <v>3</v>
      </c>
      <c r="BL16" s="9" t="s">
        <v>23</v>
      </c>
      <c r="BM16" s="11">
        <f>_xlfn.XLOOKUP(SP_24[[#This Row],[Grade]],GPAScale[Grade],GPAScale[Points])</f>
        <v>4</v>
      </c>
      <c r="BO16" s="1" t="s">
        <v>137</v>
      </c>
      <c r="BP16" s="1" t="s">
        <v>138</v>
      </c>
      <c r="BQ16" s="9">
        <v>3</v>
      </c>
      <c r="BR16" s="9">
        <f>IF(_xlfn.XLOOKUP(SP_25[[#This Row],[Grade]],GPAScale[Grade],GPAScale[Earned]),SP_25[[#This Row],[AH]],0)</f>
        <v>0</v>
      </c>
      <c r="BS16" s="9">
        <f>IF(_xlfn.XLOOKUP(SP_25[[#This Row],[Grade]],GPAScale[Grade],GPAScale[Graded]),SP_25[[#This Row],[AH]],0)</f>
        <v>0</v>
      </c>
      <c r="BT16" s="9"/>
      <c r="BU16" s="11">
        <f>_xlfn.XLOOKUP(SP_25[[#This Row],[Grade]],GPAScale[Grade],GPAScale[Points])</f>
        <v>0</v>
      </c>
      <c r="BW16" s="1" t="s">
        <v>158</v>
      </c>
      <c r="BX16" s="1" t="s">
        <v>159</v>
      </c>
      <c r="BY16" s="9">
        <v>4</v>
      </c>
      <c r="BZ16" s="9">
        <f>IF(_xlfn.XLOOKUP(SP_26[[#This Row],[Grade]],GPAScale[Grade],GPAScale[Earned]),SP_26[[#This Row],[AH]],0)</f>
        <v>0</v>
      </c>
      <c r="CA16" s="9">
        <f>IF(_xlfn.XLOOKUP(SP_26[[#This Row],[Grade]],GPAScale[Grade],GPAScale[Graded]),SP_26[[#This Row],[AH]],0)</f>
        <v>0</v>
      </c>
      <c r="CB16" s="9"/>
      <c r="CC16" s="11">
        <f>_xlfn.XLOOKUP(SP_26[[#This Row],[Grade]],GPAScale[Grade],GPAScale[Points])</f>
        <v>0</v>
      </c>
    </row>
    <row r="17" ht="17.100000000000001">
      <c r="D17" s="9"/>
      <c r="E17" s="9"/>
      <c r="F17" s="9"/>
      <c r="G17" s="9"/>
      <c r="H17" s="9"/>
      <c r="I17" s="11"/>
      <c r="K17" s="4"/>
      <c r="L17" s="9"/>
      <c r="M17" s="4"/>
      <c r="N17" s="9">
        <f>SUBTOTAL(109,Core[AH])</f>
        <v>42</v>
      </c>
      <c r="O17" s="4">
        <f>SUBTOTAL(109,Core[EH])</f>
        <v>11</v>
      </c>
      <c r="P17" s="4">
        <f>SUBTOTAL(109,Core[GH])</f>
        <v>11</v>
      </c>
      <c r="Q17" s="4">
        <f>Core[[#Totals],[GPA]]*Core[[#Totals],[GH]]</f>
        <v>43.100000000000001</v>
      </c>
      <c r="R17" s="12">
        <f t="array" ref="R17">IFERROR(SUM(Core[GPA]*Core[GH])/Core[[#Totals],[GH]],0)</f>
        <v>3.9181818181818184</v>
      </c>
      <c r="AA17" s="4" t="s">
        <v>114</v>
      </c>
      <c r="AB17" s="9"/>
      <c r="AC17" s="4">
        <f>SUBTOTAL(109,HS[AH])</f>
        <v>42</v>
      </c>
      <c r="AD17" s="9">
        <f>SUBTOTAL(109,HS[EH])</f>
        <v>42</v>
      </c>
      <c r="AE17" s="4">
        <f>SUBTOTAL(109,HS[GH])</f>
        <v>0</v>
      </c>
      <c r="AF17" s="4">
        <f>HS[[#Totals],[GPA]]*HS[[#Totals],[GH]]</f>
        <v>0</v>
      </c>
      <c r="AG17" s="12">
        <f t="array" ref="AG17">IFERROR(SUM(HS[GPA]*HS[GH])/HS[[#Totals],[GH]],0)</f>
        <v>0</v>
      </c>
      <c r="AH17" s="9"/>
      <c r="AI17" s="1" t="s">
        <v>167</v>
      </c>
      <c r="AJ17" s="1" t="s">
        <v>168</v>
      </c>
      <c r="AK17" s="9">
        <v>2</v>
      </c>
      <c r="AL17" s="9">
        <f>IF(_xlfn.XLOOKUP(SP_21[[#This Row],[Grade]],GPAScale[Grade],GPAScale[Earned]),SP_21[[#This Row],[AH]],0)</f>
        <v>2</v>
      </c>
      <c r="AM17" s="9">
        <f>IF(_xlfn.XLOOKUP(SP_21[[#This Row],[Grade]],GPAScale[Grade],GPAScale[Graded]),SP_21[[#This Row],[AH]],0)</f>
        <v>2</v>
      </c>
      <c r="AN17" s="9" t="s">
        <v>33</v>
      </c>
      <c r="AO17" s="11">
        <f>_xlfn.XLOOKUP(SP_21[[#This Row],[Grade]],GPAScale[Grade],GPAScale[Points])</f>
        <v>3.2999999999999998</v>
      </c>
      <c r="AP17" s="9"/>
      <c r="AQ17" s="1"/>
      <c r="AS17" s="9"/>
      <c r="AT17" s="9">
        <f>IF(_xlfn.XLOOKUP(SP_22[[#This Row],[Grade]],GPAScale[Grade],GPAScale[Earned]),SP_22[[#This Row],[AH]],0)</f>
        <v>0</v>
      </c>
      <c r="AU17" s="9">
        <f>IF(_xlfn.XLOOKUP(SP_22[[#This Row],[Grade]],GPAScale[Grade],GPAScale[Graded]),SP_22[[#This Row],[AH]],0)</f>
        <v>0</v>
      </c>
      <c r="AV17" s="9"/>
      <c r="AW17" s="11">
        <f>_xlfn.XLOOKUP(SP_22[[#This Row],[Grade]],GPAScale[Grade],GPAScale[Points])</f>
        <v>0</v>
      </c>
      <c r="AX17" s="9"/>
      <c r="AY17" s="1"/>
      <c r="BA17" s="9"/>
      <c r="BB17" s="9">
        <f>IF(_xlfn.XLOOKUP(SP_23[[#This Row],[Grade]],GPAScale[Grade],GPAScale[Earned]),SP_23[[#This Row],[AH]],0)</f>
        <v>0</v>
      </c>
      <c r="BC17" s="9">
        <f>IF(_xlfn.XLOOKUP(SP_23[[#This Row],[Grade]],GPAScale[Grade],GPAScale[Graded]),SP_23[[#This Row],[AH]],0)</f>
        <v>0</v>
      </c>
      <c r="BD17" s="9"/>
      <c r="BE17" s="11">
        <f>_xlfn.XLOOKUP(SP_23[[#This Row],[Grade]],GPAScale[Grade],GPAScale[Points])</f>
        <v>0</v>
      </c>
      <c r="BF17" s="9"/>
      <c r="BG17" s="1" t="s">
        <v>169</v>
      </c>
      <c r="BH17" s="1" t="s">
        <v>170</v>
      </c>
      <c r="BI17" s="9">
        <v>3</v>
      </c>
      <c r="BJ17" s="9">
        <f>IF(_xlfn.XLOOKUP(SP_24[[#This Row],[Grade]],GPAScale[Grade],GPAScale[Earned]),SP_24[[#This Row],[AH]],0)</f>
        <v>3</v>
      </c>
      <c r="BK17" s="9">
        <f>IF(_xlfn.XLOOKUP(SP_24[[#This Row],[Grade]],GPAScale[Grade],GPAScale[Graded]),SP_24[[#This Row],[AH]],0)</f>
        <v>3</v>
      </c>
      <c r="BL17" s="9" t="s">
        <v>33</v>
      </c>
      <c r="BM17" s="11">
        <f>_xlfn.XLOOKUP(SP_24[[#This Row],[Grade]],GPAScale[Grade],GPAScale[Points])</f>
        <v>3.2999999999999998</v>
      </c>
      <c r="BN17" s="9"/>
      <c r="BO17" s="1"/>
      <c r="BQ17" s="9"/>
      <c r="BR17" s="9">
        <f>IF(_xlfn.XLOOKUP(SP_25[[#This Row],[Grade]],GPAScale[Grade],GPAScale[Earned]),SP_25[[#This Row],[AH]],0)</f>
        <v>0</v>
      </c>
      <c r="BS17" s="9">
        <f>IF(_xlfn.XLOOKUP(SP_25[[#This Row],[Grade]],GPAScale[Grade],GPAScale[Graded]),SP_25[[#This Row],[AH]],0)</f>
        <v>0</v>
      </c>
      <c r="BT17" s="9"/>
      <c r="BU17" s="11">
        <f>_xlfn.XLOOKUP(SP_25[[#This Row],[Grade]],GPAScale[Grade],GPAScale[Points])</f>
        <v>0</v>
      </c>
      <c r="BV17" s="9"/>
      <c r="BW17" s="1"/>
      <c r="BY17" s="9"/>
      <c r="BZ17" s="9">
        <f>IF(_xlfn.XLOOKUP(SP_26[[#This Row],[Grade]],GPAScale[Grade],GPAScale[Earned]),SP_26[[#This Row],[AH]],0)</f>
        <v>0</v>
      </c>
      <c r="CA17" s="9">
        <f>IF(_xlfn.XLOOKUP(SP_26[[#This Row],[Grade]],GPAScale[Grade],GPAScale[Graded]),SP_26[[#This Row],[AH]],0)</f>
        <v>0</v>
      </c>
      <c r="CB17" s="9"/>
      <c r="CC17" s="11">
        <f>_xlfn.XLOOKUP(SP_26[[#This Row],[Grade]],GPAScale[Grade],GPAScale[Points])</f>
        <v>0</v>
      </c>
      <c r="CD17" s="9"/>
      <c r="CE17" s="26"/>
      <c r="CG17" s="9"/>
    </row>
    <row r="18" ht="17.100000000000001">
      <c r="D18" s="9"/>
      <c r="E18" s="9"/>
      <c r="F18" s="9"/>
      <c r="G18" s="9"/>
      <c r="H18" s="9"/>
      <c r="I18" s="11"/>
      <c r="X18" s="25"/>
      <c r="Y18" s="25"/>
      <c r="Z18" s="25"/>
      <c r="AA18" s="17" t="s">
        <v>118</v>
      </c>
      <c r="AB18" s="18"/>
      <c r="AC18" s="19">
        <f>HS[[#Totals],[AH]]</f>
        <v>42</v>
      </c>
      <c r="AD18" s="18">
        <f>HS[[#Totals],[EH]]</f>
        <v>42</v>
      </c>
      <c r="AE18" s="19">
        <f>HS[[#Totals],[GH]]</f>
        <v>0</v>
      </c>
      <c r="AF18" s="19">
        <f>HS[[#Totals],[Grade]]</f>
        <v>0</v>
      </c>
      <c r="AG18" s="20">
        <f>HS[[#Totals],[GPA]]</f>
        <v>0</v>
      </c>
      <c r="AI18" s="1" t="s">
        <v>171</v>
      </c>
      <c r="AJ18" s="1" t="s">
        <v>172</v>
      </c>
      <c r="AK18" s="9">
        <v>3</v>
      </c>
      <c r="AL18" s="9">
        <f>IF(_xlfn.XLOOKUP(SP_21[[#This Row],[Grade]],GPAScale[Grade],GPAScale[Earned]),SP_21[[#This Row],[AH]],0)</f>
        <v>3</v>
      </c>
      <c r="AM18" s="9">
        <f>IF(_xlfn.XLOOKUP(SP_21[[#This Row],[Grade]],GPAScale[Grade],GPAScale[Graded]),SP_21[[#This Row],[AH]],0)</f>
        <v>3</v>
      </c>
      <c r="AN18" s="9" t="s">
        <v>173</v>
      </c>
      <c r="AO18" s="11">
        <f>_xlfn.XLOOKUP(SP_21[[#This Row],[Grade]],GPAScale[Grade],GPAScale[Points])</f>
        <v>2.7000000000000002</v>
      </c>
      <c r="AQ18" s="1"/>
      <c r="AS18" s="9"/>
      <c r="AT18" s="9">
        <f>IF(_xlfn.XLOOKUP(SP_22[[#This Row],[Grade]],GPAScale[Grade],GPAScale[Earned]),SP_22[[#This Row],[AH]],0)</f>
        <v>0</v>
      </c>
      <c r="AU18" s="9">
        <f>IF(_xlfn.XLOOKUP(SP_22[[#This Row],[Grade]],GPAScale[Grade],GPAScale[Graded]),SP_22[[#This Row],[AH]],0)</f>
        <v>0</v>
      </c>
      <c r="AV18" s="9"/>
      <c r="AW18" s="11">
        <f>_xlfn.XLOOKUP(SP_22[[#This Row],[Grade]],GPAScale[Grade],GPAScale[Points])</f>
        <v>0</v>
      </c>
      <c r="AY18" s="1"/>
      <c r="BA18" s="9"/>
      <c r="BB18" s="9">
        <f>IF(_xlfn.XLOOKUP(SP_23[[#This Row],[Grade]],GPAScale[Grade],GPAScale[Earned]),SP_23[[#This Row],[AH]],0)</f>
        <v>0</v>
      </c>
      <c r="BC18" s="9">
        <f>IF(_xlfn.XLOOKUP(SP_23[[#This Row],[Grade]],GPAScale[Grade],GPAScale[Graded]),SP_23[[#This Row],[AH]],0)</f>
        <v>0</v>
      </c>
      <c r="BD18" s="9"/>
      <c r="BE18" s="11">
        <f>_xlfn.XLOOKUP(SP_23[[#This Row],[Grade]],GPAScale[Grade],GPAScale[Points])</f>
        <v>0</v>
      </c>
      <c r="BG18" s="1" t="s">
        <v>102</v>
      </c>
      <c r="BH18" s="1" t="s">
        <v>103</v>
      </c>
      <c r="BI18" s="9">
        <v>3</v>
      </c>
      <c r="BJ18" s="9">
        <f>IF(_xlfn.XLOOKUP(SP_24[[#This Row],[Grade]],GPAScale[Grade],GPAScale[Earned]),SP_24[[#This Row],[AH]],0)</f>
        <v>3</v>
      </c>
      <c r="BK18" s="9">
        <f>IF(_xlfn.XLOOKUP(SP_24[[#This Row],[Grade]],GPAScale[Grade],GPAScale[Graded]),SP_24[[#This Row],[AH]],0)</f>
        <v>3</v>
      </c>
      <c r="BL18" s="9" t="s">
        <v>23</v>
      </c>
      <c r="BM18" s="11">
        <f>_xlfn.XLOOKUP(SP_24[[#This Row],[Grade]],GPAScale[Grade],GPAScale[Points])</f>
        <v>4</v>
      </c>
      <c r="BO18" s="1"/>
      <c r="BQ18" s="9"/>
      <c r="BR18" s="9">
        <f>IF(_xlfn.XLOOKUP(SP_25[[#This Row],[Grade]],GPAScale[Grade],GPAScale[Earned]),SP_25[[#This Row],[AH]],0)</f>
        <v>0</v>
      </c>
      <c r="BS18" s="9">
        <f>IF(_xlfn.XLOOKUP(SP_25[[#This Row],[Grade]],GPAScale[Grade],GPAScale[Graded]),SP_25[[#This Row],[AH]],0)</f>
        <v>0</v>
      </c>
      <c r="BT18" s="9"/>
      <c r="BU18" s="11">
        <f>_xlfn.XLOOKUP(SP_25[[#This Row],[Grade]],GPAScale[Grade],GPAScale[Points])</f>
        <v>0</v>
      </c>
      <c r="BW18" s="1"/>
      <c r="BY18" s="9"/>
      <c r="BZ18" s="9">
        <f>IF(_xlfn.XLOOKUP(SP_26[[#This Row],[Grade]],GPAScale[Grade],GPAScale[Earned]),SP_26[[#This Row],[AH]],0)</f>
        <v>0</v>
      </c>
      <c r="CA18" s="9">
        <f>IF(_xlfn.XLOOKUP(SP_26[[#This Row],[Grade]],GPAScale[Grade],GPAScale[Graded]),SP_26[[#This Row],[AH]],0)</f>
        <v>0</v>
      </c>
      <c r="CB18" s="9"/>
      <c r="CC18" s="11">
        <f>_xlfn.XLOOKUP(SP_26[[#This Row],[Grade]],GPAScale[Grade],GPAScale[Points])</f>
        <v>0</v>
      </c>
    </row>
    <row r="19" ht="17.100000000000001">
      <c r="D19" s="9"/>
      <c r="E19" s="9"/>
      <c r="F19" s="9"/>
      <c r="G19" s="9"/>
      <c r="H19" s="9"/>
      <c r="I19" s="11"/>
      <c r="K19" s="5" t="s">
        <v>174</v>
      </c>
      <c r="L19" s="6"/>
      <c r="M19" s="6"/>
      <c r="N19" s="6"/>
      <c r="O19" s="6"/>
      <c r="P19" s="6"/>
      <c r="Q19" s="6"/>
      <c r="R19" s="7"/>
      <c r="AH19" s="8"/>
      <c r="AI19" s="4" t="s">
        <v>114</v>
      </c>
      <c r="AJ19" s="9"/>
      <c r="AK19" s="4">
        <f>SUBTOTAL(109,SP_21[AH])</f>
        <v>15</v>
      </c>
      <c r="AL19" s="9">
        <f>SUBTOTAL(109,SP_21[EH])</f>
        <v>15</v>
      </c>
      <c r="AM19" s="4">
        <f>SUBTOTAL(109,SP_21[GH])</f>
        <v>15</v>
      </c>
      <c r="AN19" s="4">
        <f>SP_21[[#Totals],[GPA]]*SP_21[[#Totals],[GH]]</f>
        <v>50.700000000000003</v>
      </c>
      <c r="AO19" s="12">
        <f t="array" ref="AO19">IFERROR(SUM(SP_21[GPA]*SP_21[GH])/SP_21[[#Totals],[GH]],0)</f>
        <v>3.3800000000000003</v>
      </c>
      <c r="AP19" s="8"/>
      <c r="AQ19" s="4" t="s">
        <v>114</v>
      </c>
      <c r="AR19" s="9"/>
      <c r="AS19" s="4">
        <f>SUBTOTAL(109,SP_22[AH])</f>
        <v>6</v>
      </c>
      <c r="AT19" s="9">
        <f>SUBTOTAL(109,SP_22[EH])</f>
        <v>6</v>
      </c>
      <c r="AU19" s="4">
        <f>SUBTOTAL(109,SP_22[GH])</f>
        <v>6</v>
      </c>
      <c r="AV19" s="4">
        <f>SP_22[[#Totals],[GPA]]*SP_22[[#Totals],[GH]]</f>
        <v>12.600000000000001</v>
      </c>
      <c r="AW19" s="12">
        <f t="array" ref="AW19">IFERROR(SUM(SP_22[GPA]*SP_22[GH])/SP_22[[#Totals],[GH]],0)</f>
        <v>2.1000000000000001</v>
      </c>
      <c r="AX19" s="8"/>
      <c r="AY19" s="4" t="s">
        <v>114</v>
      </c>
      <c r="AZ19" s="9"/>
      <c r="BA19" s="4">
        <f>SUBTOTAL(109,SP_23[AH])</f>
        <v>11</v>
      </c>
      <c r="BB19" s="9">
        <f>SUBTOTAL(109,SP_23[EH])</f>
        <v>11</v>
      </c>
      <c r="BC19" s="4">
        <f>SUBTOTAL(109,SP_23[GH])</f>
        <v>11</v>
      </c>
      <c r="BD19" s="4">
        <f>SP_23[[#Totals],[GPA]]*SP_23[[#Totals],[GH]]</f>
        <v>37.100000000000001</v>
      </c>
      <c r="BE19" s="12">
        <f t="array" ref="BE19">IFERROR(SUM(SP_23[GPA]*SP_23[GH])/SP_23[[#Totals],[GH]],0)</f>
        <v>3.372727272727273</v>
      </c>
      <c r="BF19" s="8"/>
      <c r="BG19" s="4" t="s">
        <v>114</v>
      </c>
      <c r="BH19" s="9"/>
      <c r="BI19" s="4">
        <f>SUBTOTAL(109,SP_24[AH])</f>
        <v>16</v>
      </c>
      <c r="BJ19" s="9">
        <f>SUBTOTAL(109,SP_24[EH])</f>
        <v>16</v>
      </c>
      <c r="BK19" s="4">
        <f>SUBTOTAL(109,SP_24[GH])</f>
        <v>16</v>
      </c>
      <c r="BL19" s="4">
        <f>SP_24[[#Totals],[GPA]]*SP_24[[#Totals],[GH]]</f>
        <v>61</v>
      </c>
      <c r="BM19" s="12">
        <f t="array" ref="BM19">IFERROR(SUM(SP_24[GPA]*SP_24[GH])/SP_24[[#Totals],[GH]],0)</f>
        <v>3.8125</v>
      </c>
      <c r="BN19" s="8"/>
      <c r="BO19" s="4" t="s">
        <v>114</v>
      </c>
      <c r="BP19" s="9"/>
      <c r="BQ19" s="4">
        <f>SUBTOTAL(109,SP_25[AH])</f>
        <v>10</v>
      </c>
      <c r="BR19" s="9">
        <f>SUBTOTAL(109,SP_25[EH])</f>
        <v>0</v>
      </c>
      <c r="BS19" s="4">
        <f>SUBTOTAL(109,SP_25[GH])</f>
        <v>0</v>
      </c>
      <c r="BT19" s="4">
        <f>SP_25[[#Totals],[GPA]]*SP_25[[#Totals],[GH]]</f>
        <v>0</v>
      </c>
      <c r="BU19" s="12">
        <f t="array" ref="BU19">IFERROR(SUM(SP_25[GPA]*SP_25[GH])/SP_25[[#Totals],[GH]],0)</f>
        <v>0</v>
      </c>
      <c r="BV19" s="8"/>
      <c r="BW19" s="4" t="s">
        <v>114</v>
      </c>
      <c r="BX19" s="9"/>
      <c r="BY19" s="4">
        <f>SUBTOTAL(109,SP_26[AH])</f>
        <v>10</v>
      </c>
      <c r="BZ19" s="9">
        <f>SUBTOTAL(109,SP_26[EH])</f>
        <v>0</v>
      </c>
      <c r="CA19" s="4">
        <f>SUBTOTAL(109,SP_26[GH])</f>
        <v>0</v>
      </c>
      <c r="CB19" s="4">
        <f>SP_26[[#Totals],[GPA]]*SP_26[[#Totals],[GH]]</f>
        <v>0</v>
      </c>
      <c r="CC19" s="12">
        <f t="array" ref="CC19">IFERROR(SUM(SP_26[GPA]*SP_26[GH])/SP_26[[#Totals],[GH]],0)</f>
        <v>0</v>
      </c>
      <c r="CD19" s="8"/>
    </row>
    <row r="20" ht="17.100000000000001">
      <c r="K20" s="9" t="s">
        <v>10</v>
      </c>
      <c r="L20" s="9" t="s">
        <v>11</v>
      </c>
      <c r="M20" s="9" t="s">
        <v>12</v>
      </c>
      <c r="N20" s="9" t="s">
        <v>13</v>
      </c>
      <c r="O20" s="9" t="s">
        <v>14</v>
      </c>
      <c r="P20" s="9" t="s">
        <v>15</v>
      </c>
      <c r="Q20" s="9" t="s">
        <v>16</v>
      </c>
      <c r="R20" s="9" t="s">
        <v>17</v>
      </c>
      <c r="AA20" s="5" t="s">
        <v>175</v>
      </c>
      <c r="AB20" s="6"/>
      <c r="AC20" s="6"/>
      <c r="AD20" s="6"/>
      <c r="AE20" s="6"/>
      <c r="AF20" s="6"/>
      <c r="AG20" s="7"/>
      <c r="AH20" s="9"/>
      <c r="AI20" s="17" t="s">
        <v>118</v>
      </c>
      <c r="AJ20" s="18"/>
      <c r="AK20" s="19">
        <f>SP_21[[#Totals],[AH]]+AK10</f>
        <v>109</v>
      </c>
      <c r="AL20" s="19">
        <f>SP_21[[#Totals],[EH]]+AL10</f>
        <v>99</v>
      </c>
      <c r="AM20" s="19">
        <f>SP_21[[#Totals],[GH]]+AM10</f>
        <v>41</v>
      </c>
      <c r="AN20" s="19">
        <f>SP_21[[#Totals],[Grade]]+AN10</f>
        <v>143.80000000000001</v>
      </c>
      <c r="AO20" s="20">
        <f>AN20/AM20</f>
        <v>3.5073170731707322</v>
      </c>
      <c r="AP20" s="9"/>
      <c r="AQ20" s="21" t="s">
        <v>118</v>
      </c>
      <c r="AR20" s="22"/>
      <c r="AS20" s="23">
        <f>SP_22[[#Totals],[AH]]+AS10</f>
        <v>132</v>
      </c>
      <c r="AT20" s="23">
        <f>SP_22[[#Totals],[EH]]+AT10</f>
        <v>113</v>
      </c>
      <c r="AU20" s="23">
        <f>SP_22[[#Totals],[GH]]+AU10</f>
        <v>58</v>
      </c>
      <c r="AV20" s="23">
        <f>SP_22[[#Totals],[Grade]]+AV10</f>
        <v>178.40000000000001</v>
      </c>
      <c r="AW20" s="24">
        <f>AV20/AU20</f>
        <v>3.0758620689655172</v>
      </c>
      <c r="AX20" s="9"/>
      <c r="AY20" s="21" t="s">
        <v>118</v>
      </c>
      <c r="AZ20" s="22"/>
      <c r="BA20" s="23">
        <f>SP_23[[#Totals],[AH]]+BA10</f>
        <v>149</v>
      </c>
      <c r="BB20" s="23">
        <f>SP_23[[#Totals],[EH]]+BB10</f>
        <v>130</v>
      </c>
      <c r="BC20" s="23">
        <f>SP_23[[#Totals],[GH]]+BC10</f>
        <v>75</v>
      </c>
      <c r="BD20" s="23">
        <f>SP_23[[#Totals],[Grade]]+BD10</f>
        <v>235.59999999999999</v>
      </c>
      <c r="BE20" s="24">
        <f>BD20/BC20</f>
        <v>3.1413333333333333</v>
      </c>
      <c r="BF20" s="9"/>
      <c r="BG20" s="21" t="s">
        <v>118</v>
      </c>
      <c r="BH20" s="22"/>
      <c r="BI20" s="23">
        <f>SP_24[[#Totals],[AH]]+BI10</f>
        <v>178</v>
      </c>
      <c r="BJ20" s="23">
        <f>SP_24[[#Totals],[EH]]+BJ10</f>
        <v>156</v>
      </c>
      <c r="BK20" s="23">
        <f>SP_24[[#Totals],[GH]]+BK10</f>
        <v>101</v>
      </c>
      <c r="BL20" s="23">
        <f>SP_24[[#Totals],[Grade]]+BL10</f>
        <v>334.80000000000001</v>
      </c>
      <c r="BM20" s="24">
        <f>BL20/BK20</f>
        <v>3.3148514851485151</v>
      </c>
      <c r="BN20" s="9"/>
      <c r="BO20" s="21" t="s">
        <v>118</v>
      </c>
      <c r="BP20" s="22"/>
      <c r="BQ20" s="23">
        <f>SP_25[[#Totals],[AH]]+BQ10</f>
        <v>201</v>
      </c>
      <c r="BR20" s="23">
        <f>SP_25[[#Totals],[EH]]+BR10</f>
        <v>156</v>
      </c>
      <c r="BS20" s="23">
        <f>SP_25[[#Totals],[GH]]+BS10</f>
        <v>101</v>
      </c>
      <c r="BT20" s="23">
        <f>SP_25[[#Totals],[Grade]]+BT10</f>
        <v>334.80000000000001</v>
      </c>
      <c r="BU20" s="24">
        <f>BT20/BS20</f>
        <v>3.3148514851485151</v>
      </c>
      <c r="BV20" s="9"/>
      <c r="BW20" s="21" t="s">
        <v>118</v>
      </c>
      <c r="BX20" s="22"/>
      <c r="BY20" s="23">
        <f>SP_26[[#Totals],[AH]]+BY10</f>
        <v>224</v>
      </c>
      <c r="BZ20" s="23">
        <f>SP_26[[#Totals],[EH]]+BZ10</f>
        <v>156</v>
      </c>
      <c r="CA20" s="23">
        <f>SP_26[[#Totals],[GH]]+CA10</f>
        <v>101</v>
      </c>
      <c r="CB20" s="23">
        <f>SP_26[[#Totals],[Grade]]+CB10</f>
        <v>334.80000000000001</v>
      </c>
      <c r="CC20" s="24">
        <f>CB20/CA20</f>
        <v>3.3148514851485151</v>
      </c>
      <c r="CD20" s="9"/>
    </row>
    <row r="21">
      <c r="B21" s="5" t="s">
        <v>176</v>
      </c>
      <c r="C21" s="6"/>
      <c r="D21" s="6"/>
      <c r="E21" s="6"/>
      <c r="F21" s="6"/>
      <c r="G21" s="6"/>
      <c r="H21" s="6"/>
      <c r="I21" s="7"/>
      <c r="K21" s="1" t="s">
        <v>145</v>
      </c>
      <c r="L21" s="1" t="s">
        <v>146</v>
      </c>
      <c r="M21" s="9" t="s">
        <v>160</v>
      </c>
      <c r="N21" s="9">
        <v>3</v>
      </c>
      <c r="O21" s="9">
        <f>IF(_xlfn.XLOOKUP(Electives[[#This Row],[Grade]],GPAScale[Grade],GPAScale[Earned]),Electives[[#This Row],[AH]],0)</f>
        <v>0</v>
      </c>
      <c r="P21" s="9">
        <f>IF(_xlfn.XLOOKUP(Electives[[#This Row],[Grade]],GPAScale[Grade],GPAScale[Graded]),Electives[[#This Row],[AH]],0)</f>
        <v>0</v>
      </c>
      <c r="Q21" s="9"/>
      <c r="R21" s="11">
        <f>_xlfn.XLOOKUP(Electives[[#This Row],[Grade]],GPAScale[Grade],GPAScale[Points])</f>
        <v>0</v>
      </c>
      <c r="AA21" s="9" t="s">
        <v>10</v>
      </c>
      <c r="AB21" s="9" t="s">
        <v>11</v>
      </c>
      <c r="AC21" s="9" t="s">
        <v>13</v>
      </c>
      <c r="AD21" s="9" t="s">
        <v>14</v>
      </c>
      <c r="AE21" s="9" t="s">
        <v>15</v>
      </c>
      <c r="AF21" s="9" t="s">
        <v>16</v>
      </c>
      <c r="AG21" s="9" t="s">
        <v>17</v>
      </c>
      <c r="AH21" s="11"/>
      <c r="AI21" s="9"/>
      <c r="AP21" s="11"/>
      <c r="AQ21" s="9"/>
      <c r="AV21" s="27"/>
      <c r="AX21" s="11"/>
      <c r="AY21" s="9"/>
      <c r="BF21" s="11"/>
      <c r="BG21" s="9"/>
      <c r="BN21" s="11"/>
      <c r="BO21" s="9"/>
      <c r="BV21" s="11"/>
      <c r="BW21" s="9"/>
      <c r="CD21" s="11"/>
    </row>
    <row r="22" ht="14.449999999999999" customHeight="1">
      <c r="B22" s="9" t="s">
        <v>10</v>
      </c>
      <c r="C22" s="9" t="s">
        <v>11</v>
      </c>
      <c r="D22" s="9" t="s">
        <v>12</v>
      </c>
      <c r="E22" s="9" t="s">
        <v>13</v>
      </c>
      <c r="F22" s="9" t="s">
        <v>14</v>
      </c>
      <c r="G22" s="9" t="s">
        <v>15</v>
      </c>
      <c r="H22" s="9" t="s">
        <v>16</v>
      </c>
      <c r="I22" s="9" t="s">
        <v>17</v>
      </c>
      <c r="K22" s="1" t="s">
        <v>100</v>
      </c>
      <c r="L22" s="1" t="s">
        <v>101</v>
      </c>
      <c r="M22" s="9" t="s">
        <v>160</v>
      </c>
      <c r="N22" s="9">
        <v>3</v>
      </c>
      <c r="O22" s="9">
        <f>IF(_xlfn.XLOOKUP(Electives[[#This Row],[Grade]],GPAScale[Grade],GPAScale[Earned]),Electives[[#This Row],[AH]],0)</f>
        <v>0</v>
      </c>
      <c r="P22" s="9">
        <f>IF(_xlfn.XLOOKUP(Electives[[#This Row],[Grade]],GPAScale[Grade],GPAScale[Graded]),Electives[[#This Row],[AH]],0)</f>
        <v>0</v>
      </c>
      <c r="Q22" s="9"/>
      <c r="R22" s="11">
        <f>_xlfn.XLOOKUP(Electives[[#This Row],[Grade]],GPAScale[Grade],GPAScale[Points])</f>
        <v>0</v>
      </c>
      <c r="AA22" s="1" t="s">
        <v>177</v>
      </c>
      <c r="AB22" s="1" t="s">
        <v>178</v>
      </c>
      <c r="AC22" s="9">
        <v>5</v>
      </c>
      <c r="AD22" s="9">
        <f>IF(_xlfn.XLOOKUP(AU_19[[#This Row],[Grade]],GPAScale[Grade],GPAScale[Earned]),AU_19[[#This Row],[AH]],0)</f>
        <v>5</v>
      </c>
      <c r="AE22" s="9">
        <f>IF(_xlfn.XLOOKUP(AU_19[[#This Row],[Grade]],GPAScale[Grade],GPAScale[Graded]),AU_19[[#This Row],[EH]],0)</f>
        <v>5</v>
      </c>
      <c r="AF22" s="9" t="s">
        <v>60</v>
      </c>
      <c r="AG22" s="11">
        <f>_xlfn.XLOOKUP(AU_19[[#This Row],[Grade]],GPAScale[Grade],GPAScale[Points])</f>
        <v>3.7000000000000002</v>
      </c>
      <c r="AH22" s="15"/>
      <c r="AI22" s="5" t="s">
        <v>179</v>
      </c>
      <c r="AJ22" s="6"/>
      <c r="AK22" s="6"/>
      <c r="AL22" s="6"/>
      <c r="AM22" s="6"/>
      <c r="AN22" s="6"/>
      <c r="AO22" s="7"/>
      <c r="AP22" s="15"/>
      <c r="AQ22" s="5" t="s">
        <v>180</v>
      </c>
      <c r="AR22" s="6"/>
      <c r="AS22" s="6"/>
      <c r="AT22" s="6"/>
      <c r="AU22" s="6"/>
      <c r="AV22" s="6"/>
      <c r="AW22" s="7"/>
      <c r="AX22" s="15"/>
      <c r="AY22" s="5" t="s">
        <v>181</v>
      </c>
      <c r="AZ22" s="6"/>
      <c r="BA22" s="6"/>
      <c r="BB22" s="6"/>
      <c r="BC22" s="6"/>
      <c r="BD22" s="6"/>
      <c r="BE22" s="7"/>
      <c r="BF22" s="15"/>
      <c r="BG22" s="5" t="s">
        <v>182</v>
      </c>
      <c r="BH22" s="6"/>
      <c r="BI22" s="6"/>
      <c r="BJ22" s="6"/>
      <c r="BK22" s="6"/>
      <c r="BL22" s="6"/>
      <c r="BM22" s="7"/>
      <c r="BN22" s="15"/>
      <c r="BO22" s="5" t="s">
        <v>183</v>
      </c>
      <c r="BP22" s="6"/>
      <c r="BQ22" s="6"/>
      <c r="BR22" s="6"/>
      <c r="BS22" s="6"/>
      <c r="BT22" s="6"/>
      <c r="BU22" s="7"/>
      <c r="BV22" s="15"/>
      <c r="BW22" s="5" t="s">
        <v>184</v>
      </c>
      <c r="BX22" s="6"/>
      <c r="BY22" s="6"/>
      <c r="BZ22" s="6"/>
      <c r="CA22" s="6"/>
      <c r="CB22" s="6"/>
      <c r="CC22" s="7"/>
      <c r="CD22" s="15"/>
    </row>
    <row r="23">
      <c r="B23" s="1" t="s">
        <v>185</v>
      </c>
      <c r="C23" s="1" t="s">
        <v>105</v>
      </c>
      <c r="D23" s="9" t="s">
        <v>186</v>
      </c>
      <c r="E23" s="9">
        <v>3</v>
      </c>
      <c r="F23" s="9">
        <f>IF(_xlfn.XLOOKUP(GenEd[[#This Row],[Grade]],GPAScale[Grade],GPAScale[Earned]),GenEd[[#This Row],[AH]],0)</f>
        <v>3</v>
      </c>
      <c r="G23" s="9">
        <f>IF(_xlfn.XLOOKUP(GenEd[[#This Row],[Grade]],GPAScale[Grade],GPAScale[Graded]),GenEd[[#This Row],[AH]],0)</f>
        <v>0</v>
      </c>
      <c r="H23" s="9" t="s">
        <v>30</v>
      </c>
      <c r="I23" s="11">
        <f>_xlfn.XLOOKUP(GenEd[[#This Row],[Grade]],GPAScale[Grade],GPAScale[Points])</f>
        <v>0</v>
      </c>
      <c r="K23" s="1" t="s">
        <v>187</v>
      </c>
      <c r="L23" s="1" t="s">
        <v>157</v>
      </c>
      <c r="M23" s="9" t="s">
        <v>160</v>
      </c>
      <c r="N23" s="9">
        <v>3</v>
      </c>
      <c r="O23" s="9">
        <f>IF(_xlfn.XLOOKUP(Electives[[#This Row],[Grade]],GPAScale[Grade],GPAScale[Earned]),Electives[[#This Row],[AH]],0)</f>
        <v>0</v>
      </c>
      <c r="P23" s="9">
        <f>IF(_xlfn.XLOOKUP(Electives[[#This Row],[Grade]],GPAScale[Grade],GPAScale[Graded]),Electives[[#This Row],[AH]],0)</f>
        <v>0</v>
      </c>
      <c r="Q23" s="9"/>
      <c r="R23" s="11">
        <f>_xlfn.XLOOKUP(Electives[[#This Row],[Grade]],GPAScale[Grade],GPAScale[Points])</f>
        <v>0</v>
      </c>
      <c r="AA23" s="1" t="s">
        <v>188</v>
      </c>
      <c r="AB23" s="1" t="s">
        <v>189</v>
      </c>
      <c r="AC23" s="9">
        <v>1</v>
      </c>
      <c r="AD23" s="9">
        <f>IF(_xlfn.XLOOKUP(AU_19[[#This Row],[Grade]],GPAScale[Grade],GPAScale[Earned]),AU_19[[#This Row],[AH]],0)</f>
        <v>1</v>
      </c>
      <c r="AE23" s="9">
        <f>IF(_xlfn.XLOOKUP(AU_19[[#This Row],[Grade]],GPAScale[Grade],GPAScale[Graded]),AU_19[[#This Row],[EH]],0)</f>
        <v>1</v>
      </c>
      <c r="AF23" s="9" t="s">
        <v>39</v>
      </c>
      <c r="AG23" s="11">
        <f>_xlfn.XLOOKUP(AU_19[[#This Row],[Grade]],GPAScale[Grade],GPAScale[Points])</f>
        <v>3</v>
      </c>
      <c r="AH23" s="15"/>
      <c r="AI23" s="9" t="s">
        <v>10</v>
      </c>
      <c r="AJ23" s="9" t="s">
        <v>11</v>
      </c>
      <c r="AK23" s="9" t="s">
        <v>13</v>
      </c>
      <c r="AL23" s="9" t="s">
        <v>14</v>
      </c>
      <c r="AM23" s="9" t="s">
        <v>15</v>
      </c>
      <c r="AN23" s="9" t="s">
        <v>16</v>
      </c>
      <c r="AO23" s="9" t="s">
        <v>17</v>
      </c>
      <c r="AP23" s="15"/>
      <c r="AQ23" s="9" t="s">
        <v>10</v>
      </c>
      <c r="AR23" s="9" t="s">
        <v>11</v>
      </c>
      <c r="AS23" s="9" t="s">
        <v>13</v>
      </c>
      <c r="AT23" s="9" t="s">
        <v>14</v>
      </c>
      <c r="AU23" s="9" t="s">
        <v>15</v>
      </c>
      <c r="AV23" s="9" t="s">
        <v>16</v>
      </c>
      <c r="AW23" s="9" t="s">
        <v>17</v>
      </c>
      <c r="AX23" s="15"/>
      <c r="AY23" s="9" t="s">
        <v>10</v>
      </c>
      <c r="AZ23" s="9" t="s">
        <v>11</v>
      </c>
      <c r="BA23" s="9" t="s">
        <v>13</v>
      </c>
      <c r="BB23" s="9" t="s">
        <v>14</v>
      </c>
      <c r="BC23" s="9" t="s">
        <v>15</v>
      </c>
      <c r="BD23" s="9" t="s">
        <v>16</v>
      </c>
      <c r="BE23" s="9" t="s">
        <v>17</v>
      </c>
      <c r="BF23" s="15"/>
      <c r="BG23" s="9" t="s">
        <v>10</v>
      </c>
      <c r="BH23" s="9" t="s">
        <v>11</v>
      </c>
      <c r="BI23" s="9" t="s">
        <v>13</v>
      </c>
      <c r="BJ23" s="9" t="s">
        <v>14</v>
      </c>
      <c r="BK23" s="9" t="s">
        <v>15</v>
      </c>
      <c r="BL23" s="9" t="s">
        <v>16</v>
      </c>
      <c r="BM23" s="9" t="s">
        <v>17</v>
      </c>
      <c r="BN23" s="15"/>
      <c r="BO23" s="9" t="s">
        <v>10</v>
      </c>
      <c r="BP23" s="9" t="s">
        <v>11</v>
      </c>
      <c r="BQ23" s="9" t="s">
        <v>13</v>
      </c>
      <c r="BR23" s="9" t="s">
        <v>14</v>
      </c>
      <c r="BS23" s="9" t="s">
        <v>15</v>
      </c>
      <c r="BT23" s="9" t="s">
        <v>16</v>
      </c>
      <c r="BU23" s="9" t="s">
        <v>17</v>
      </c>
      <c r="BV23" s="15"/>
      <c r="BW23" s="9" t="s">
        <v>10</v>
      </c>
      <c r="BX23" s="9" t="s">
        <v>11</v>
      </c>
      <c r="BY23" s="9" t="s">
        <v>13</v>
      </c>
      <c r="BZ23" s="9" t="s">
        <v>14</v>
      </c>
      <c r="CA23" s="9" t="s">
        <v>15</v>
      </c>
      <c r="CB23" s="9" t="s">
        <v>16</v>
      </c>
      <c r="CC23" s="9" t="s">
        <v>17</v>
      </c>
      <c r="CD23" s="15"/>
    </row>
    <row r="24">
      <c r="B24" s="1" t="s">
        <v>190</v>
      </c>
      <c r="C24" s="1" t="s">
        <v>91</v>
      </c>
      <c r="D24" s="9" t="s">
        <v>186</v>
      </c>
      <c r="E24" s="9">
        <v>3</v>
      </c>
      <c r="F24" s="9">
        <f>IF(_xlfn.XLOOKUP(GenEd[[#This Row],[Grade]],GPAScale[Grade],GPAScale[Earned]),GenEd[[#This Row],[AH]],0)</f>
        <v>3</v>
      </c>
      <c r="G24" s="9">
        <f>IF(_xlfn.XLOOKUP(GenEd[[#This Row],[Grade]],GPAScale[Grade],GPAScale[Graded]),GenEd[[#This Row],[AH]],0)</f>
        <v>0</v>
      </c>
      <c r="H24" s="9" t="s">
        <v>30</v>
      </c>
      <c r="I24" s="11">
        <f>_xlfn.XLOOKUP(GenEd[[#This Row],[Grade]],GPAScale[Grade],GPAScale[Points])</f>
        <v>0</v>
      </c>
      <c r="K24" s="4"/>
      <c r="L24" s="9"/>
      <c r="M24" s="4"/>
      <c r="N24" s="9">
        <f>SUBTOTAL(109,Electives[AH])</f>
        <v>9</v>
      </c>
      <c r="O24" s="4">
        <f>SUBTOTAL(109,Electives[EH])</f>
        <v>0</v>
      </c>
      <c r="P24" s="4">
        <f>SUBTOTAL(109,Electives[GH])</f>
        <v>0</v>
      </c>
      <c r="Q24" s="4">
        <f>Electives[[#Totals],[GPA]]*Electives[[#Totals],[GH]]</f>
        <v>0</v>
      </c>
      <c r="R24" s="12">
        <f t="array" ref="R24">IFERROR(SUM(Electives[GPA]*Electives[GH])/Electives[[#Totals],[GH]],0)</f>
        <v>0</v>
      </c>
      <c r="AA24" s="1" t="s">
        <v>191</v>
      </c>
      <c r="AB24" s="1" t="s">
        <v>73</v>
      </c>
      <c r="AC24" s="9">
        <v>5</v>
      </c>
      <c r="AD24" s="9">
        <f>IF(_xlfn.XLOOKUP(AU_19[[#This Row],[Grade]],GPAScale[Grade],GPAScale[Earned]),AU_19[[#This Row],[AH]],0)</f>
        <v>5</v>
      </c>
      <c r="AE24" s="9">
        <f>IF(_xlfn.XLOOKUP(AU_19[[#This Row],[Grade]],GPAScale[Grade],GPAScale[Graded]),AU_19[[#This Row],[EH]],0)</f>
        <v>5</v>
      </c>
      <c r="AF24" s="9" t="s">
        <v>33</v>
      </c>
      <c r="AG24" s="11">
        <f>_xlfn.XLOOKUP(AU_19[[#This Row],[Grade]],GPAScale[Grade],GPAScale[Points])</f>
        <v>3.2999999999999998</v>
      </c>
      <c r="AH24" s="11"/>
      <c r="AI24" s="1" t="s">
        <v>46</v>
      </c>
      <c r="AJ24" s="1" t="s">
        <v>47</v>
      </c>
      <c r="AK24" s="9">
        <v>3</v>
      </c>
      <c r="AL24" s="9">
        <f>IF(_xlfn.XLOOKUP(SU_21[[#This Row],[Grade]],GPAScale[Grade],GPAScale[Earned]),SU_21[[#This Row],[AH]],0)</f>
        <v>3</v>
      </c>
      <c r="AM24" s="9">
        <f>IF(_xlfn.XLOOKUP(SU_21[[#This Row],[Grade]],GPAScale[Grade],GPAScale[Graded]),SU_21[[#This Row],[AH]],0)</f>
        <v>3</v>
      </c>
      <c r="AN24" s="9" t="s">
        <v>23</v>
      </c>
      <c r="AO24" s="11">
        <f>_xlfn.XLOOKUP(SU_21[[#This Row],[Grade]],GPAScale[Grade],GPAScale[Points])</f>
        <v>4</v>
      </c>
      <c r="AP24" s="11"/>
      <c r="AQ24" s="1"/>
      <c r="AS24" s="9"/>
      <c r="AT24" s="9">
        <f>IF(_xlfn.XLOOKUP(SU_22[[#This Row],[Grade]],GPAScale[Grade],GPAScale[Earned]),SU_22[[#This Row],[AH]],0)</f>
        <v>0</v>
      </c>
      <c r="AU24" s="9">
        <f>IF(_xlfn.XLOOKUP(SU_22[[#This Row],[Grade]],GPAScale[Grade],GPAScale[Graded]),SU_22[[#This Row],[AH]],0)</f>
        <v>0</v>
      </c>
      <c r="AV24" s="9"/>
      <c r="AW24" s="11">
        <f>_xlfn.XLOOKUP(SU_22[[#This Row],[Grade]],GPAScale[Grade],GPAScale[Points])</f>
        <v>0</v>
      </c>
      <c r="AX24" s="11"/>
      <c r="AY24" s="1"/>
      <c r="BA24" s="9"/>
      <c r="BB24" s="9">
        <f>IF(_xlfn.XLOOKUP(SU_23[[#This Row],[Grade]],GPAScale[Grade],GPAScale[Earned]),SU_23[[#This Row],[AH]],0)</f>
        <v>0</v>
      </c>
      <c r="BC24" s="9">
        <f>IF(_xlfn.XLOOKUP(SU_23[[#This Row],[Grade]],GPAScale[Grade],GPAScale[Graded]),SU_23[[#This Row],[AH]],0)</f>
        <v>0</v>
      </c>
      <c r="BD24" s="9"/>
      <c r="BE24" s="11">
        <f>_xlfn.XLOOKUP(SU_23[[#This Row],[Grade]],GPAScale[Grade],GPAScale[Points])</f>
        <v>0</v>
      </c>
      <c r="BF24" s="11"/>
      <c r="BG24" s="1"/>
      <c r="BI24" s="9"/>
      <c r="BJ24" s="9">
        <f>IF(_xlfn.XLOOKUP(SU_24[[#This Row],[Grade]],GPAScale[Grade],GPAScale[Earned]),SU_24[[#This Row],[AH]],0)</f>
        <v>0</v>
      </c>
      <c r="BK24" s="9">
        <f>IF(_xlfn.XLOOKUP(SU_24[[#This Row],[Grade]],GPAScale[Grade],GPAScale[Graded]),SU_24[[#This Row],[AH]],0)</f>
        <v>0</v>
      </c>
      <c r="BL24" s="9"/>
      <c r="BM24" s="11">
        <f>_xlfn.XLOOKUP(SU_24[[#This Row],[Grade]],GPAScale[Grade],GPAScale[Points])</f>
        <v>0</v>
      </c>
      <c r="BN24" s="11"/>
      <c r="BO24" s="1" t="s">
        <v>120</v>
      </c>
      <c r="BP24" s="1" t="s">
        <v>121</v>
      </c>
      <c r="BQ24" s="9">
        <v>1</v>
      </c>
      <c r="BR24" s="9">
        <f>IF(_xlfn.XLOOKUP(SU_25[[#This Row],[Grade]],GPAScale[Grade],GPAScale[Earned]),SU_25[[#This Row],[AH]],0)</f>
        <v>0</v>
      </c>
      <c r="BS24" s="9">
        <f>IF(_xlfn.XLOOKUP(SU_25[[#This Row],[Grade]],GPAScale[Grade],GPAScale[Graded]),SU_25[[#This Row],[AH]],0)</f>
        <v>0</v>
      </c>
      <c r="BT24" s="9"/>
      <c r="BU24" s="11">
        <f>_xlfn.XLOOKUP(SU_25[[#This Row],[Grade]],GPAScale[Grade],GPAScale[Points])</f>
        <v>0</v>
      </c>
      <c r="BV24" s="11"/>
      <c r="BW24" s="1"/>
      <c r="BY24" s="9"/>
      <c r="BZ24" s="9">
        <f>IF(_xlfn.XLOOKUP(SU_26[[#This Row],[Grade]],GPAScale[Grade],GPAScale[Earned]),SU_26[[#This Row],[AH]],0)</f>
        <v>0</v>
      </c>
      <c r="CA24" s="9">
        <f>IF(_xlfn.XLOOKUP(SU_26[[#This Row],[Grade]],GPAScale[Grade],GPAScale[Graded]),SU_26[[#This Row],[AH]],0)</f>
        <v>0</v>
      </c>
      <c r="CB24" s="9"/>
      <c r="CC24" s="11">
        <f>_xlfn.XLOOKUP(SU_26[[#This Row],[Grade]],GPAScale[Grade],GPAScale[Points])</f>
        <v>0</v>
      </c>
      <c r="CD24" s="11"/>
    </row>
    <row r="25">
      <c r="B25" s="1" t="s">
        <v>192</v>
      </c>
      <c r="C25" s="1" t="s">
        <v>117</v>
      </c>
      <c r="D25" s="9" t="s">
        <v>186</v>
      </c>
      <c r="E25" s="9">
        <v>3</v>
      </c>
      <c r="F25" s="9">
        <f>IF(_xlfn.XLOOKUP(GenEd[[#This Row],[Grade]],GPAScale[Grade],GPAScale[Earned]),GenEd[[#This Row],[AH]],0)</f>
        <v>3</v>
      </c>
      <c r="G25" s="9">
        <f>IF(_xlfn.XLOOKUP(GenEd[[#This Row],[Grade]],GPAScale[Grade],GPAScale[Graded]),GenEd[[#This Row],[AH]],0)</f>
        <v>0</v>
      </c>
      <c r="H25" s="9" t="s">
        <v>30</v>
      </c>
      <c r="I25" s="11">
        <f>_xlfn.XLOOKUP(GenEd[[#This Row],[Grade]],GPAScale[Grade],GPAScale[Points])</f>
        <v>0</v>
      </c>
      <c r="M25" s="9"/>
      <c r="N25" s="9"/>
      <c r="O25" s="9"/>
      <c r="P25" s="9"/>
      <c r="Q25" s="9"/>
      <c r="R25" s="11"/>
      <c r="AA25" s="1" t="s">
        <v>193</v>
      </c>
      <c r="AB25" s="1" t="s">
        <v>194</v>
      </c>
      <c r="AC25" s="9">
        <v>5</v>
      </c>
      <c r="AD25" s="9">
        <f>IF(_xlfn.XLOOKUP(AU_19[[#This Row],[Grade]],GPAScale[Grade],GPAScale[Earned]),AU_19[[#This Row],[AH]],0)</f>
        <v>0</v>
      </c>
      <c r="AE25" s="9">
        <f>IF(_xlfn.XLOOKUP(AU_19[[#This Row],[Grade]],GPAScale[Grade],GPAScale[Graded]),AU_19[[#This Row],[EH]],0)</f>
        <v>0</v>
      </c>
      <c r="AF25" s="9" t="s">
        <v>76</v>
      </c>
      <c r="AG25" s="11">
        <f>_xlfn.XLOOKUP(AU_19[[#This Row],[Grade]],GPAScale[Grade],GPAScale[Points])</f>
        <v>0</v>
      </c>
      <c r="AH25" s="11"/>
      <c r="AI25" s="1"/>
      <c r="AK25" s="9"/>
      <c r="AL25" s="9">
        <f>IF(_xlfn.XLOOKUP(SU_21[[#This Row],[Grade]],GPAScale[Grade],GPAScale[Earned]),SU_21[[#This Row],[AH]],0)</f>
        <v>0</v>
      </c>
      <c r="AM25" s="9">
        <f>IF(_xlfn.XLOOKUP(SU_21[[#This Row],[Grade]],GPAScale[Grade],GPAScale[Graded]),SU_21[[#This Row],[AH]],0)</f>
        <v>0</v>
      </c>
      <c r="AN25" s="9"/>
      <c r="AO25" s="11">
        <f>_xlfn.XLOOKUP(SU_21[[#This Row],[Grade]],GPAScale[Grade],GPAScale[Points])</f>
        <v>0</v>
      </c>
      <c r="AP25" s="11"/>
      <c r="AQ25" s="1"/>
      <c r="AS25" s="9"/>
      <c r="AT25" s="9">
        <f>IF(_xlfn.XLOOKUP(SU_22[[#This Row],[Grade]],GPAScale[Grade],GPAScale[Earned]),SU_22[[#This Row],[AH]],0)</f>
        <v>0</v>
      </c>
      <c r="AU25" s="9">
        <f>IF(_xlfn.XLOOKUP(SU_22[[#This Row],[Grade]],GPAScale[Grade],GPAScale[Graded]),SU_22[[#This Row],[AH]],0)</f>
        <v>0</v>
      </c>
      <c r="AV25" s="9"/>
      <c r="AW25" s="11">
        <f>_xlfn.XLOOKUP(SU_22[[#This Row],[Grade]],GPAScale[Grade],GPAScale[Points])</f>
        <v>0</v>
      </c>
      <c r="AX25" s="11"/>
      <c r="AY25" s="1"/>
      <c r="BA25" s="9"/>
      <c r="BB25" s="9">
        <f>IF(_xlfn.XLOOKUP(SU_23[[#This Row],[Grade]],GPAScale[Grade],GPAScale[Earned]),SU_23[[#This Row],[AH]],0)</f>
        <v>0</v>
      </c>
      <c r="BC25" s="9">
        <f>IF(_xlfn.XLOOKUP(SU_23[[#This Row],[Grade]],GPAScale[Grade],GPAScale[Graded]),SU_23[[#This Row],[AH]],0)</f>
        <v>0</v>
      </c>
      <c r="BD25" s="9"/>
      <c r="BE25" s="11">
        <f>_xlfn.XLOOKUP(SU_23[[#This Row],[Grade]],GPAScale[Grade],GPAScale[Points])</f>
        <v>0</v>
      </c>
      <c r="BF25" s="11"/>
      <c r="BG25" s="1"/>
      <c r="BI25" s="9"/>
      <c r="BJ25" s="9">
        <f>IF(_xlfn.XLOOKUP(SU_24[[#This Row],[Grade]],GPAScale[Grade],GPAScale[Earned]),SU_24[[#This Row],[AH]],0)</f>
        <v>0</v>
      </c>
      <c r="BK25" s="9">
        <f>IF(_xlfn.XLOOKUP(SU_24[[#This Row],[Grade]],GPAScale[Grade],GPAScale[Graded]),SU_24[[#This Row],[AH]],0)</f>
        <v>0</v>
      </c>
      <c r="BL25" s="9"/>
      <c r="BM25" s="11">
        <f>_xlfn.XLOOKUP(SU_24[[#This Row],[Grade]],GPAScale[Grade],GPAScale[Points])</f>
        <v>0</v>
      </c>
      <c r="BN25" s="11"/>
      <c r="BO25" s="1"/>
      <c r="BQ25" s="9"/>
      <c r="BR25" s="9">
        <f>IF(_xlfn.XLOOKUP(SU_25[[#This Row],[Grade]],GPAScale[Grade],GPAScale[Earned]),SU_25[[#This Row],[AH]],0)</f>
        <v>0</v>
      </c>
      <c r="BS25" s="9">
        <f>IF(_xlfn.XLOOKUP(SU_25[[#This Row],[Grade]],GPAScale[Grade],GPAScale[Graded]),SU_25[[#This Row],[AH]],0)</f>
        <v>0</v>
      </c>
      <c r="BT25" s="9"/>
      <c r="BU25" s="11">
        <f>_xlfn.XLOOKUP(SU_25[[#This Row],[Grade]],GPAScale[Grade],GPAScale[Points])</f>
        <v>0</v>
      </c>
      <c r="BV25" s="11"/>
      <c r="BW25" s="1"/>
      <c r="BY25" s="9"/>
      <c r="BZ25" s="9">
        <f>IF(_xlfn.XLOOKUP(SU_26[[#This Row],[Grade]],GPAScale[Grade],GPAScale[Earned]),SU_26[[#This Row],[AH]],0)</f>
        <v>0</v>
      </c>
      <c r="CA25" s="9">
        <f>IF(_xlfn.XLOOKUP(SU_26[[#This Row],[Grade]],GPAScale[Grade],GPAScale[Graded]),SU_26[[#This Row],[AH]],0)</f>
        <v>0</v>
      </c>
      <c r="CB25" s="9"/>
      <c r="CC25" s="11">
        <f>_xlfn.XLOOKUP(SU_26[[#This Row],[Grade]],GPAScale[Grade],GPAScale[Points])</f>
        <v>0</v>
      </c>
      <c r="CD25" s="11"/>
    </row>
    <row r="26">
      <c r="B26" s="1" t="s">
        <v>195</v>
      </c>
      <c r="C26" s="1" t="s">
        <v>124</v>
      </c>
      <c r="D26" s="9" t="s">
        <v>186</v>
      </c>
      <c r="E26" s="9">
        <v>3</v>
      </c>
      <c r="F26" s="9">
        <f>IF(_xlfn.XLOOKUP(GenEd[[#This Row],[Grade]],GPAScale[Grade],GPAScale[Earned]),GenEd[[#This Row],[AH]],0)</f>
        <v>3</v>
      </c>
      <c r="G26" s="9">
        <f>IF(_xlfn.XLOOKUP(GenEd[[#This Row],[Grade]],GPAScale[Grade],GPAScale[Graded]),GenEd[[#This Row],[AH]],0)</f>
        <v>0</v>
      </c>
      <c r="H26" s="9" t="s">
        <v>30</v>
      </c>
      <c r="I26" s="11">
        <f>_xlfn.XLOOKUP(GenEd[[#This Row],[Grade]],GPAScale[Grade],GPAScale[Points])</f>
        <v>0</v>
      </c>
      <c r="K26" s="5" t="s">
        <v>196</v>
      </c>
      <c r="L26" s="6"/>
      <c r="M26" s="6"/>
      <c r="N26" s="6"/>
      <c r="O26" s="6"/>
      <c r="P26" s="6"/>
      <c r="Q26" s="6"/>
      <c r="R26" s="7"/>
      <c r="AA26" s="1" t="s">
        <v>197</v>
      </c>
      <c r="AB26" s="1" t="s">
        <v>198</v>
      </c>
      <c r="AC26" s="9">
        <v>4</v>
      </c>
      <c r="AD26" s="9">
        <f>IF(_xlfn.XLOOKUP(AU_19[[#This Row],[Grade]],GPAScale[Grade],GPAScale[Earned]),AU_19[[#This Row],[AH]],0)</f>
        <v>4</v>
      </c>
      <c r="AE26" s="9">
        <f>IF(_xlfn.XLOOKUP(AU_19[[#This Row],[Grade]],GPAScale[Grade],GPAScale[Graded]),AU_19[[#This Row],[EH]],0)</f>
        <v>0</v>
      </c>
      <c r="AF26" s="9" t="s">
        <v>30</v>
      </c>
      <c r="AG26" s="11">
        <f>_xlfn.XLOOKUP(AU_19[[#This Row],[Grade]],GPAScale[Grade],GPAScale[Points])</f>
        <v>0</v>
      </c>
      <c r="AH26" s="11"/>
      <c r="AI26" s="1"/>
      <c r="AK26" s="9"/>
      <c r="AL26" s="9">
        <f>IF(_xlfn.XLOOKUP(SU_21[[#This Row],[Grade]],GPAScale[Grade],GPAScale[Earned]),SU_21[[#This Row],[AH]],0)</f>
        <v>0</v>
      </c>
      <c r="AM26" s="9">
        <f>IF(_xlfn.XLOOKUP(SU_21[[#This Row],[Grade]],GPAScale[Grade],GPAScale[Graded]),SU_21[[#This Row],[AH]],0)</f>
        <v>0</v>
      </c>
      <c r="AN26" s="9"/>
      <c r="AO26" s="11">
        <f>_xlfn.XLOOKUP(SU_21[[#This Row],[Grade]],GPAScale[Grade],GPAScale[Points])</f>
        <v>0</v>
      </c>
      <c r="AP26" s="11"/>
      <c r="AQ26" s="1"/>
      <c r="AS26" s="9"/>
      <c r="AT26" s="9">
        <f>IF(_xlfn.XLOOKUP(SU_22[[#This Row],[Grade]],GPAScale[Grade],GPAScale[Earned]),SU_22[[#This Row],[AH]],0)</f>
        <v>0</v>
      </c>
      <c r="AU26" s="9">
        <f>IF(_xlfn.XLOOKUP(SU_22[[#This Row],[Grade]],GPAScale[Grade],GPAScale[Graded]),SU_22[[#This Row],[AH]],0)</f>
        <v>0</v>
      </c>
      <c r="AV26" s="9"/>
      <c r="AW26" s="11">
        <f>_xlfn.XLOOKUP(SU_22[[#This Row],[Grade]],GPAScale[Grade],GPAScale[Points])</f>
        <v>0</v>
      </c>
      <c r="AX26" s="11"/>
      <c r="AY26" s="1"/>
      <c r="BA26" s="9"/>
      <c r="BB26" s="9">
        <f>IF(_xlfn.XLOOKUP(SU_23[[#This Row],[Grade]],GPAScale[Grade],GPAScale[Earned]),SU_23[[#This Row],[AH]],0)</f>
        <v>0</v>
      </c>
      <c r="BC26" s="9">
        <f>IF(_xlfn.XLOOKUP(SU_23[[#This Row],[Grade]],GPAScale[Grade],GPAScale[Graded]),SU_23[[#This Row],[AH]],0)</f>
        <v>0</v>
      </c>
      <c r="BD26" s="9"/>
      <c r="BE26" s="11">
        <f>_xlfn.XLOOKUP(SU_23[[#This Row],[Grade]],GPAScale[Grade],GPAScale[Points])</f>
        <v>0</v>
      </c>
      <c r="BF26" s="11"/>
      <c r="BG26" s="1"/>
      <c r="BI26" s="9"/>
      <c r="BJ26" s="9">
        <f>IF(_xlfn.XLOOKUP(SU_24[[#This Row],[Grade]],GPAScale[Grade],GPAScale[Earned]),SU_24[[#This Row],[AH]],0)</f>
        <v>0</v>
      </c>
      <c r="BK26" s="9">
        <f>IF(_xlfn.XLOOKUP(SU_24[[#This Row],[Grade]],GPAScale[Grade],GPAScale[Graded]),SU_24[[#This Row],[AH]],0)</f>
        <v>0</v>
      </c>
      <c r="BL26" s="9"/>
      <c r="BM26" s="11">
        <f>_xlfn.XLOOKUP(SU_24[[#This Row],[Grade]],GPAScale[Grade],GPAScale[Points])</f>
        <v>0</v>
      </c>
      <c r="BN26" s="11"/>
      <c r="BO26" s="1"/>
      <c r="BQ26" s="9"/>
      <c r="BR26" s="9">
        <f>IF(_xlfn.XLOOKUP(SU_25[[#This Row],[Grade]],GPAScale[Grade],GPAScale[Earned]),SU_25[[#This Row],[AH]],0)</f>
        <v>0</v>
      </c>
      <c r="BS26" s="9">
        <f>IF(_xlfn.XLOOKUP(SU_25[[#This Row],[Grade]],GPAScale[Grade],GPAScale[Graded]),SU_25[[#This Row],[AH]],0)</f>
        <v>0</v>
      </c>
      <c r="BT26" s="9"/>
      <c r="BU26" s="11">
        <f>_xlfn.XLOOKUP(SU_25[[#This Row],[Grade]],GPAScale[Grade],GPAScale[Points])</f>
        <v>0</v>
      </c>
      <c r="BV26" s="11"/>
      <c r="BW26" s="1"/>
      <c r="BY26" s="9"/>
      <c r="BZ26" s="9">
        <f>IF(_xlfn.XLOOKUP(SU_26[[#This Row],[Grade]],GPAScale[Grade],GPAScale[Earned]),SU_26[[#This Row],[AH]],0)</f>
        <v>0</v>
      </c>
      <c r="CA26" s="9">
        <f>IF(_xlfn.XLOOKUP(SU_26[[#This Row],[Grade]],GPAScale[Grade],GPAScale[Graded]),SU_26[[#This Row],[AH]],0)</f>
        <v>0</v>
      </c>
      <c r="CB26" s="9"/>
      <c r="CC26" s="11">
        <f>_xlfn.XLOOKUP(SU_26[[#This Row],[Grade]],GPAScale[Grade],GPAScale[Points])</f>
        <v>0</v>
      </c>
      <c r="CD26" s="11"/>
    </row>
    <row r="27" ht="17.100000000000001">
      <c r="B27" s="1" t="s">
        <v>199</v>
      </c>
      <c r="C27" s="1" t="s">
        <v>149</v>
      </c>
      <c r="D27" s="9" t="s">
        <v>186</v>
      </c>
      <c r="E27" s="9">
        <v>3</v>
      </c>
      <c r="F27" s="9">
        <f>IF(_xlfn.XLOOKUP(GenEd[[#This Row],[Grade]],GPAScale[Grade],GPAScale[Earned]),GenEd[[#This Row],[AH]],0)</f>
        <v>3</v>
      </c>
      <c r="G27" s="9">
        <f>IF(_xlfn.XLOOKUP(GenEd[[#This Row],[Grade]],GPAScale[Grade],GPAScale[Graded]),GenEd[[#This Row],[AH]],0)</f>
        <v>0</v>
      </c>
      <c r="H27" s="9" t="s">
        <v>30</v>
      </c>
      <c r="I27" s="11">
        <f>_xlfn.XLOOKUP(GenEd[[#This Row],[Grade]],GPAScale[Grade],GPAScale[Points])</f>
        <v>0</v>
      </c>
      <c r="K27" s="9" t="s">
        <v>10</v>
      </c>
      <c r="L27" s="9" t="s">
        <v>11</v>
      </c>
      <c r="M27" s="9" t="s">
        <v>12</v>
      </c>
      <c r="N27" s="9" t="s">
        <v>13</v>
      </c>
      <c r="O27" s="9" t="s">
        <v>14</v>
      </c>
      <c r="P27" s="9" t="s">
        <v>15</v>
      </c>
      <c r="Q27" s="9" t="s">
        <v>16</v>
      </c>
      <c r="R27" s="9" t="s">
        <v>17</v>
      </c>
      <c r="AA27" s="4" t="s">
        <v>114</v>
      </c>
      <c r="AB27" s="9"/>
      <c r="AC27" s="4">
        <f>SUBTOTAL(109,AU_19[AH])</f>
        <v>20</v>
      </c>
      <c r="AD27" s="9">
        <f>SUBTOTAL(109,AU_19[EH])</f>
        <v>15</v>
      </c>
      <c r="AE27" s="4">
        <f>SUBTOTAL(109,AU_19[GH])</f>
        <v>11</v>
      </c>
      <c r="AF27" s="4">
        <f>AU_19[[#Totals],[GPA]]*AU_19[[#Totals],[GH]]</f>
        <v>38</v>
      </c>
      <c r="AG27" s="12">
        <f t="array" ref="AG27">IFERROR(SUM(AU_19[GPA]*AU_19[GH])/AU_19[[#Totals],[GH]],0)</f>
        <v>3.4545454545454546</v>
      </c>
      <c r="AH27" s="11"/>
      <c r="AI27" s="1"/>
      <c r="AK27" s="9"/>
      <c r="AL27" s="9">
        <f>IF(_xlfn.XLOOKUP(SU_21[[#This Row],[Grade]],GPAScale[Grade],GPAScale[Earned]),SU_21[[#This Row],[AH]],0)</f>
        <v>0</v>
      </c>
      <c r="AM27" s="9">
        <f>IF(_xlfn.XLOOKUP(SU_21[[#This Row],[Grade]],GPAScale[Grade],GPAScale[Graded]),SU_21[[#This Row],[AH]],0)</f>
        <v>0</v>
      </c>
      <c r="AN27" s="9"/>
      <c r="AO27" s="11">
        <f>_xlfn.XLOOKUP(SU_21[[#This Row],[Grade]],GPAScale[Grade],GPAScale[Points])</f>
        <v>0</v>
      </c>
      <c r="AP27" s="11"/>
      <c r="AQ27" s="1"/>
      <c r="AS27" s="9"/>
      <c r="AT27" s="9">
        <f>IF(_xlfn.XLOOKUP(SU_22[[#This Row],[Grade]],GPAScale[Grade],GPAScale[Earned]),SU_22[[#This Row],[AH]],0)</f>
        <v>0</v>
      </c>
      <c r="AU27" s="9">
        <f>IF(_xlfn.XLOOKUP(SU_22[[#This Row],[Grade]],GPAScale[Grade],GPAScale[Graded]),SU_22[[#This Row],[AH]],0)</f>
        <v>0</v>
      </c>
      <c r="AV27" s="9"/>
      <c r="AW27" s="11">
        <f>_xlfn.XLOOKUP(SU_22[[#This Row],[Grade]],GPAScale[Grade],GPAScale[Points])</f>
        <v>0</v>
      </c>
      <c r="AX27" s="11"/>
      <c r="AY27" s="1"/>
      <c r="BA27" s="9"/>
      <c r="BB27" s="9">
        <f>IF(_xlfn.XLOOKUP(SU_23[[#This Row],[Grade]],GPAScale[Grade],GPAScale[Earned]),SU_23[[#This Row],[AH]],0)</f>
        <v>0</v>
      </c>
      <c r="BC27" s="9">
        <f>IF(_xlfn.XLOOKUP(SU_23[[#This Row],[Grade]],GPAScale[Grade],GPAScale[Graded]),SU_23[[#This Row],[AH]],0)</f>
        <v>0</v>
      </c>
      <c r="BD27" s="9"/>
      <c r="BE27" s="11">
        <f>_xlfn.XLOOKUP(SU_23[[#This Row],[Grade]],GPAScale[Grade],GPAScale[Points])</f>
        <v>0</v>
      </c>
      <c r="BF27" s="11"/>
      <c r="BG27" s="1"/>
      <c r="BI27" s="9"/>
      <c r="BJ27" s="9">
        <f>IF(_xlfn.XLOOKUP(SU_24[[#This Row],[Grade]],GPAScale[Grade],GPAScale[Earned]),SU_24[[#This Row],[AH]],0)</f>
        <v>0</v>
      </c>
      <c r="BK27" s="9">
        <f>IF(_xlfn.XLOOKUP(SU_24[[#This Row],[Grade]],GPAScale[Grade],GPAScale[Graded]),SU_24[[#This Row],[AH]],0)</f>
        <v>0</v>
      </c>
      <c r="BL27" s="9"/>
      <c r="BM27" s="11">
        <f>_xlfn.XLOOKUP(SU_24[[#This Row],[Grade]],GPAScale[Grade],GPAScale[Points])</f>
        <v>0</v>
      </c>
      <c r="BN27" s="11"/>
      <c r="BO27" s="1"/>
      <c r="BQ27" s="9"/>
      <c r="BR27" s="9">
        <f>IF(_xlfn.XLOOKUP(SU_25[[#This Row],[Grade]],GPAScale[Grade],GPAScale[Earned]),SU_25[[#This Row],[AH]],0)</f>
        <v>0</v>
      </c>
      <c r="BS27" s="9">
        <f>IF(_xlfn.XLOOKUP(SU_25[[#This Row],[Grade]],GPAScale[Grade],GPAScale[Graded]),SU_25[[#This Row],[AH]],0)</f>
        <v>0</v>
      </c>
      <c r="BT27" s="9"/>
      <c r="BU27" s="11">
        <f>_xlfn.XLOOKUP(SU_25[[#This Row],[Grade]],GPAScale[Grade],GPAScale[Points])</f>
        <v>0</v>
      </c>
      <c r="BV27" s="11"/>
      <c r="BW27" s="1"/>
      <c r="BY27" s="9"/>
      <c r="BZ27" s="9">
        <f>IF(_xlfn.XLOOKUP(SU_26[[#This Row],[Grade]],GPAScale[Grade],GPAScale[Earned]),SU_26[[#This Row],[AH]],0)</f>
        <v>0</v>
      </c>
      <c r="CA27" s="9">
        <f>IF(_xlfn.XLOOKUP(SU_26[[#This Row],[Grade]],GPAScale[Grade],GPAScale[Graded]),SU_26[[#This Row],[AH]],0)</f>
        <v>0</v>
      </c>
      <c r="CB27" s="9"/>
      <c r="CC27" s="11">
        <f>_xlfn.XLOOKUP(SU_26[[#This Row],[Grade]],GPAScale[Grade],GPAScale[Points])</f>
        <v>0</v>
      </c>
      <c r="CD27" s="11"/>
    </row>
    <row r="28" ht="17.100000000000001">
      <c r="B28" s="1" t="s">
        <v>200</v>
      </c>
      <c r="C28" s="1" t="s">
        <v>136</v>
      </c>
      <c r="D28" s="9" t="s">
        <v>186</v>
      </c>
      <c r="E28" s="9">
        <v>3</v>
      </c>
      <c r="F28" s="9">
        <f>IF(_xlfn.XLOOKUP(GenEd[[#This Row],[Grade]],GPAScale[Grade],GPAScale[Earned]),GenEd[[#This Row],[AH]],0)</f>
        <v>3</v>
      </c>
      <c r="G28" s="9">
        <f>IF(_xlfn.XLOOKUP(GenEd[[#This Row],[Grade]],GPAScale[Grade],GPAScale[Graded]),GenEd[[#This Row],[AH]],0)</f>
        <v>0</v>
      </c>
      <c r="H28" s="9" t="s">
        <v>30</v>
      </c>
      <c r="I28" s="11">
        <f>_xlfn.XLOOKUP(GenEd[[#This Row],[Grade]],GPAScale[Grade],GPAScale[Points])</f>
        <v>0</v>
      </c>
      <c r="K28" s="1" t="s">
        <v>201</v>
      </c>
      <c r="L28" s="1" t="s">
        <v>29</v>
      </c>
      <c r="M28" s="9" t="s">
        <v>186</v>
      </c>
      <c r="N28" s="9">
        <v>5</v>
      </c>
      <c r="O28" s="9">
        <f>IF(_xlfn.XLOOKUP(GenEng[[#This Row],[Grade]],GPAScale[Grade],GPAScale[Earned]),GenEng[[#This Row],[AH]],0)</f>
        <v>5</v>
      </c>
      <c r="P28" s="9">
        <f>IF(_xlfn.XLOOKUP(GenEng[[#This Row],[Grade]],GPAScale[Grade],GPAScale[Graded]),GenEng[[#This Row],[AH]],0)</f>
        <v>0</v>
      </c>
      <c r="Q28" s="9" t="s">
        <v>30</v>
      </c>
      <c r="R28" s="11">
        <f>_xlfn.XLOOKUP(GenEng[[#This Row],[Grade]],GPAScale[Grade],GPAScale[Points])</f>
        <v>0</v>
      </c>
      <c r="AA28" s="17" t="s">
        <v>118</v>
      </c>
      <c r="AB28" s="18"/>
      <c r="AC28" s="19">
        <f>AU_19[[#Totals],[AH]]+AC18</f>
        <v>62</v>
      </c>
      <c r="AD28" s="19">
        <f>AU_19[[#Totals],[EH]]+AD18</f>
        <v>57</v>
      </c>
      <c r="AE28" s="19">
        <f>AU_19[[#Totals],[GH]]+AE18</f>
        <v>11</v>
      </c>
      <c r="AF28" s="19">
        <f>AU_19[[#Totals],[Grade]]+AF18</f>
        <v>38</v>
      </c>
      <c r="AG28" s="20">
        <f>AF28/AE28</f>
        <v>3.4545454545454546</v>
      </c>
      <c r="AH28" s="11"/>
      <c r="AI28" s="1"/>
      <c r="AK28" s="9"/>
      <c r="AL28" s="9">
        <f>IF(_xlfn.XLOOKUP(SU_21[[#This Row],[Grade]],GPAScale[Grade],GPAScale[Earned]),SU_21[[#This Row],[AH]],0)</f>
        <v>0</v>
      </c>
      <c r="AM28" s="9">
        <f>IF(_xlfn.XLOOKUP(SU_21[[#This Row],[Grade]],GPAScale[Grade],GPAScale[Graded]),SU_21[[#This Row],[AH]],0)</f>
        <v>0</v>
      </c>
      <c r="AN28" s="9"/>
      <c r="AO28" s="11">
        <f>_xlfn.XLOOKUP(SU_21[[#This Row],[Grade]],GPAScale[Grade],GPAScale[Points])</f>
        <v>0</v>
      </c>
      <c r="AP28" s="11"/>
      <c r="AQ28" s="1"/>
      <c r="AS28" s="9"/>
      <c r="AT28" s="9">
        <f>IF(_xlfn.XLOOKUP(SU_22[[#This Row],[Grade]],GPAScale[Grade],GPAScale[Earned]),SU_22[[#This Row],[AH]],0)</f>
        <v>0</v>
      </c>
      <c r="AU28" s="9">
        <f>IF(_xlfn.XLOOKUP(SU_22[[#This Row],[Grade]],GPAScale[Grade],GPAScale[Graded]),SU_22[[#This Row],[AH]],0)</f>
        <v>0</v>
      </c>
      <c r="AV28" s="9"/>
      <c r="AW28" s="11">
        <f>_xlfn.XLOOKUP(SU_22[[#This Row],[Grade]],GPAScale[Grade],GPAScale[Points])</f>
        <v>0</v>
      </c>
      <c r="AX28" s="11"/>
      <c r="AY28" s="1"/>
      <c r="BA28" s="9"/>
      <c r="BB28" s="9">
        <f>IF(_xlfn.XLOOKUP(SU_23[[#This Row],[Grade]],GPAScale[Grade],GPAScale[Earned]),SU_23[[#This Row],[AH]],0)</f>
        <v>0</v>
      </c>
      <c r="BC28" s="9">
        <f>IF(_xlfn.XLOOKUP(SU_23[[#This Row],[Grade]],GPAScale[Grade],GPAScale[Graded]),SU_23[[#This Row],[AH]],0)</f>
        <v>0</v>
      </c>
      <c r="BD28" s="9"/>
      <c r="BE28" s="11">
        <f>_xlfn.XLOOKUP(SU_23[[#This Row],[Grade]],GPAScale[Grade],GPAScale[Points])</f>
        <v>0</v>
      </c>
      <c r="BF28" s="11"/>
      <c r="BG28" s="1"/>
      <c r="BI28" s="9"/>
      <c r="BJ28" s="9">
        <f>IF(_xlfn.XLOOKUP(SU_24[[#This Row],[Grade]],GPAScale[Grade],GPAScale[Earned]),SU_24[[#This Row],[AH]],0)</f>
        <v>0</v>
      </c>
      <c r="BK28" s="9">
        <f>IF(_xlfn.XLOOKUP(SU_24[[#This Row],[Grade]],GPAScale[Grade],GPAScale[Graded]),SU_24[[#This Row],[AH]],0)</f>
        <v>0</v>
      </c>
      <c r="BL28" s="9"/>
      <c r="BM28" s="11">
        <f>_xlfn.XLOOKUP(SU_24[[#This Row],[Grade]],GPAScale[Grade],GPAScale[Points])</f>
        <v>0</v>
      </c>
      <c r="BN28" s="11"/>
      <c r="BO28" s="1"/>
      <c r="BQ28" s="9"/>
      <c r="BR28" s="9">
        <f>IF(_xlfn.XLOOKUP(SU_25[[#This Row],[Grade]],GPAScale[Grade],GPAScale[Earned]),SU_25[[#This Row],[AH]],0)</f>
        <v>0</v>
      </c>
      <c r="BS28" s="9">
        <f>IF(_xlfn.XLOOKUP(SU_25[[#This Row],[Grade]],GPAScale[Grade],GPAScale[Graded]),SU_25[[#This Row],[AH]],0)</f>
        <v>0</v>
      </c>
      <c r="BT28" s="9"/>
      <c r="BU28" s="11">
        <f>_xlfn.XLOOKUP(SU_25[[#This Row],[Grade]],GPAScale[Grade],GPAScale[Points])</f>
        <v>0</v>
      </c>
      <c r="BV28" s="11"/>
      <c r="BW28" s="1"/>
      <c r="BY28" s="9"/>
      <c r="BZ28" s="9">
        <f>IF(_xlfn.XLOOKUP(SU_26[[#This Row],[Grade]],GPAScale[Grade],GPAScale[Earned]),SU_26[[#This Row],[AH]],0)</f>
        <v>0</v>
      </c>
      <c r="CA28" s="9">
        <f>IF(_xlfn.XLOOKUP(SU_26[[#This Row],[Grade]],GPAScale[Grade],GPAScale[Graded]),SU_26[[#This Row],[AH]],0)</f>
        <v>0</v>
      </c>
      <c r="CB28" s="9"/>
      <c r="CC28" s="11">
        <f>_xlfn.XLOOKUP(SU_26[[#This Row],[Grade]],GPAScale[Grade],GPAScale[Points])</f>
        <v>0</v>
      </c>
      <c r="CD28" s="11"/>
    </row>
    <row r="29" ht="17.100000000000001">
      <c r="B29" s="1" t="s">
        <v>202</v>
      </c>
      <c r="C29" s="1" t="s">
        <v>203</v>
      </c>
      <c r="D29" s="9" t="s">
        <v>204</v>
      </c>
      <c r="E29" s="9">
        <v>3</v>
      </c>
      <c r="F29" s="9">
        <f>IF(_xlfn.XLOOKUP(GenEd[[#This Row],[Grade]],GPAScale[Grade],GPAScale[Earned]),GenEd[[#This Row],[AH]],0)</f>
        <v>3</v>
      </c>
      <c r="G29" s="9">
        <f>IF(_xlfn.XLOOKUP(GenEd[[#This Row],[Grade]],GPAScale[Grade],GPAScale[Graded]),GenEd[[#This Row],[AH]],0)</f>
        <v>3</v>
      </c>
      <c r="H29" s="9" t="s">
        <v>23</v>
      </c>
      <c r="I29" s="11">
        <f>_xlfn.XLOOKUP(GenEd[[#This Row],[Grade]],GPAScale[Grade],GPAScale[Points])</f>
        <v>4</v>
      </c>
      <c r="K29" s="1" t="s">
        <v>205</v>
      </c>
      <c r="L29" s="1" t="s">
        <v>54</v>
      </c>
      <c r="M29" s="9" t="s">
        <v>186</v>
      </c>
      <c r="N29" s="9">
        <v>5</v>
      </c>
      <c r="O29" s="9">
        <f>IF(_xlfn.XLOOKUP(GenEng[[#This Row],[Grade]],GPAScale[Grade],GPAScale[Earned]),GenEng[[#This Row],[AH]],0)</f>
        <v>5</v>
      </c>
      <c r="P29" s="9">
        <f>IF(_xlfn.XLOOKUP(GenEng[[#This Row],[Grade]],GPAScale[Grade],GPAScale[Graded]),GenEng[[#This Row],[AH]],0)</f>
        <v>0</v>
      </c>
      <c r="Q29" s="9" t="s">
        <v>30</v>
      </c>
      <c r="R29" s="11">
        <f>_xlfn.XLOOKUP(GenEng[[#This Row],[Grade]],GPAScale[Grade],GPAScale[Points])</f>
        <v>0</v>
      </c>
      <c r="AH29" s="11"/>
      <c r="AI29" s="4" t="s">
        <v>114</v>
      </c>
      <c r="AJ29" s="9"/>
      <c r="AK29" s="4">
        <f>SUBTOTAL(109,SU_21[AH])</f>
        <v>3</v>
      </c>
      <c r="AL29" s="9">
        <f>SUBTOTAL(109,SU_21[EH])</f>
        <v>3</v>
      </c>
      <c r="AM29" s="4">
        <f>SUBTOTAL(109,SU_21[GH])</f>
        <v>3</v>
      </c>
      <c r="AN29" s="4">
        <f>SU_21[[#Totals],[GPA]]*SU_21[[#Totals],[GH]]</f>
        <v>12</v>
      </c>
      <c r="AO29" s="12">
        <f t="array" ref="AO29">IFERROR(SUM(SU_21[GPA]*SU_21[GH])/SU_21[[#Totals],[GH]],0)</f>
        <v>4</v>
      </c>
      <c r="AP29" s="11"/>
      <c r="AQ29" s="4" t="s">
        <v>114</v>
      </c>
      <c r="AR29" s="9"/>
      <c r="AS29" s="4">
        <f>SUBTOTAL(109,SU_22[AH])</f>
        <v>0</v>
      </c>
      <c r="AT29" s="9">
        <f>SUBTOTAL(109,SU_22[EH])</f>
        <v>0</v>
      </c>
      <c r="AU29" s="4">
        <f>SUBTOTAL(109,SU_22[GH])</f>
        <v>0</v>
      </c>
      <c r="AV29" s="4">
        <f>SU_22[[#Totals],[GPA]]*SU_22[[#Totals],[GH]]</f>
        <v>0</v>
      </c>
      <c r="AW29" s="12">
        <f t="array" ref="AW29">IFERROR(SUM(SU_22[GPA]*SU_22[GH])/SU_22[[#Totals],[GH]],0)</f>
        <v>0</v>
      </c>
      <c r="AX29" s="11"/>
      <c r="AY29" s="4" t="s">
        <v>114</v>
      </c>
      <c r="AZ29" s="9"/>
      <c r="BA29" s="4">
        <f>SUBTOTAL(109,SU_23[AH])</f>
        <v>0</v>
      </c>
      <c r="BB29" s="9">
        <f>SUBTOTAL(109,SU_23[EH])</f>
        <v>0</v>
      </c>
      <c r="BC29" s="4">
        <f>SUBTOTAL(109,SU_23[GH])</f>
        <v>0</v>
      </c>
      <c r="BD29" s="4">
        <f>SU_23[[#Totals],[GPA]]*SU_23[[#Totals],[GH]]</f>
        <v>0</v>
      </c>
      <c r="BE29" s="12">
        <f t="array" ref="BE29">IFERROR(SUM(SU_23[GPA]*SU_23[GH])/SU_23[[#Totals],[GH]],0)</f>
        <v>0</v>
      </c>
      <c r="BF29" s="11"/>
      <c r="BG29" s="4" t="s">
        <v>114</v>
      </c>
      <c r="BH29" s="9"/>
      <c r="BI29" s="4">
        <f>SUBTOTAL(109,SU_24[AH])</f>
        <v>0</v>
      </c>
      <c r="BJ29" s="9">
        <f>SUBTOTAL(109,SU_24[EH])</f>
        <v>0</v>
      </c>
      <c r="BK29" s="4">
        <f>SUBTOTAL(109,SU_24[GH])</f>
        <v>0</v>
      </c>
      <c r="BL29" s="4">
        <f>SU_24[[#Totals],[GPA]]*SU_24[[#Totals],[GH]]</f>
        <v>0</v>
      </c>
      <c r="BM29" s="12">
        <f t="array" ref="BM29">IFERROR(SUM(SU_24[GPA]*SU_24[GH])/SU_24[[#Totals],[GH]],0)</f>
        <v>0</v>
      </c>
      <c r="BN29" s="11"/>
      <c r="BO29" s="4" t="s">
        <v>114</v>
      </c>
      <c r="BP29" s="9"/>
      <c r="BQ29" s="4">
        <f>SUBTOTAL(109,SU_25[AH])</f>
        <v>1</v>
      </c>
      <c r="BR29" s="9">
        <f>SUBTOTAL(109,SU_25[EH])</f>
        <v>0</v>
      </c>
      <c r="BS29" s="4">
        <f>SUBTOTAL(109,SU_25[GH])</f>
        <v>0</v>
      </c>
      <c r="BT29" s="4">
        <f>SU_25[[#Totals],[GPA]]*SU_25[[#Totals],[GH]]</f>
        <v>0</v>
      </c>
      <c r="BU29" s="12">
        <f t="array" ref="BU29">IFERROR(SUM(SU_25[GPA]*SU_25[GH])/SU_25[[#Totals],[GH]],0)</f>
        <v>0</v>
      </c>
      <c r="BV29" s="11"/>
      <c r="BW29" s="4" t="s">
        <v>114</v>
      </c>
      <c r="BX29" s="9"/>
      <c r="BY29" s="4">
        <f>SUBTOTAL(109,SU_26[AH])</f>
        <v>0</v>
      </c>
      <c r="BZ29" s="9">
        <f>SUBTOTAL(109,SU_26[EH])</f>
        <v>0</v>
      </c>
      <c r="CA29" s="4">
        <f>SUBTOTAL(109,SU_26[GH])</f>
        <v>0</v>
      </c>
      <c r="CB29" s="4">
        <f>SU_26[[#Totals],[GPA]]*SU_26[[#Totals],[GH]]</f>
        <v>0</v>
      </c>
      <c r="CC29" s="12">
        <f t="array" ref="CC29">IFERROR(SUM(SU_26[GPA]*SU_26[GH])/SU_26[[#Totals],[GH]],0)</f>
        <v>0</v>
      </c>
      <c r="CD29" s="11"/>
    </row>
    <row r="30" ht="17.100000000000001">
      <c r="B30" s="1" t="s">
        <v>206</v>
      </c>
      <c r="C30" s="1" t="s">
        <v>207</v>
      </c>
      <c r="D30" s="9" t="s">
        <v>208</v>
      </c>
      <c r="E30" s="9">
        <v>3</v>
      </c>
      <c r="F30" s="9">
        <f>IF(_xlfn.XLOOKUP(GenEd[[#This Row],[Grade]],GPAScale[Grade],GPAScale[Earned]),GenEd[[#This Row],[AH]],0)</f>
        <v>3</v>
      </c>
      <c r="G30" s="9">
        <f>IF(_xlfn.XLOOKUP(GenEd[[#This Row],[Grade]],GPAScale[Grade],GPAScale[Graded]),GenEd[[#This Row],[AH]],0)</f>
        <v>0</v>
      </c>
      <c r="H30" s="9" t="s">
        <v>108</v>
      </c>
      <c r="I30" s="11">
        <f>_xlfn.XLOOKUP(GenEd[[#This Row],[Grade]],GPAScale[Grade],GPAScale[Points])</f>
        <v>0</v>
      </c>
      <c r="K30" s="1" t="s">
        <v>209</v>
      </c>
      <c r="L30" s="1" t="s">
        <v>128</v>
      </c>
      <c r="M30" s="9" t="s">
        <v>186</v>
      </c>
      <c r="N30" s="9">
        <v>5</v>
      </c>
      <c r="O30" s="9">
        <f>IF(_xlfn.XLOOKUP(GenEng[[#This Row],[Grade]],GPAScale[Grade],GPAScale[Earned]),GenEng[[#This Row],[AH]],0)</f>
        <v>5</v>
      </c>
      <c r="P30" s="9">
        <f>IF(_xlfn.XLOOKUP(GenEng[[#This Row],[Grade]],GPAScale[Grade],GPAScale[Graded]),GenEng[[#This Row],[AH]],0)</f>
        <v>0</v>
      </c>
      <c r="Q30" s="9" t="s">
        <v>30</v>
      </c>
      <c r="R30" s="11">
        <f>_xlfn.XLOOKUP(GenEng[[#This Row],[Grade]],GPAScale[Grade],GPAScale[Points])</f>
        <v>0</v>
      </c>
      <c r="AA30" s="5" t="s">
        <v>210</v>
      </c>
      <c r="AB30" s="6"/>
      <c r="AC30" s="6"/>
      <c r="AD30" s="6"/>
      <c r="AE30" s="6"/>
      <c r="AF30" s="6"/>
      <c r="AG30" s="7"/>
      <c r="AH30" s="11"/>
      <c r="AI30" s="17" t="s">
        <v>118</v>
      </c>
      <c r="AJ30" s="18"/>
      <c r="AK30" s="19">
        <f>SU_21[[#Totals],[AH]]+AK20</f>
        <v>112</v>
      </c>
      <c r="AL30" s="19">
        <f>SU_21[[#Totals],[EH]]+AL20</f>
        <v>102</v>
      </c>
      <c r="AM30" s="19">
        <f>SU_21[[#Totals],[GH]]+AM20</f>
        <v>44</v>
      </c>
      <c r="AN30" s="19">
        <f>SU_21[[#Totals],[Grade]]+AN20</f>
        <v>155.80000000000001</v>
      </c>
      <c r="AO30" s="20">
        <f>AN30/AM30</f>
        <v>3.540909090909091</v>
      </c>
      <c r="AP30" s="11"/>
      <c r="AQ30" s="21" t="s">
        <v>118</v>
      </c>
      <c r="AR30" s="22"/>
      <c r="AS30" s="23">
        <f>SU_22[[#Totals],[AH]]+AS20</f>
        <v>132</v>
      </c>
      <c r="AT30" s="23">
        <f>SU_22[[#Totals],[EH]]+AT20</f>
        <v>113</v>
      </c>
      <c r="AU30" s="23">
        <f>SU_22[[#Totals],[GH]]+AU20</f>
        <v>58</v>
      </c>
      <c r="AV30" s="23">
        <f>SU_22[[#Totals],[Grade]]+AV20</f>
        <v>178.40000000000001</v>
      </c>
      <c r="AW30" s="24">
        <f>AV30/AU30</f>
        <v>3.0758620689655172</v>
      </c>
      <c r="AX30" s="11"/>
      <c r="AY30" s="21" t="s">
        <v>118</v>
      </c>
      <c r="AZ30" s="22"/>
      <c r="BA30" s="23">
        <f>SU_23[[#Totals],[AH]]+BA20</f>
        <v>149</v>
      </c>
      <c r="BB30" s="23">
        <f>SU_23[[#Totals],[EH]]+BB20</f>
        <v>130</v>
      </c>
      <c r="BC30" s="23">
        <f>SU_23[[#Totals],[GH]]+BC20</f>
        <v>75</v>
      </c>
      <c r="BD30" s="23">
        <f>SU_23[[#Totals],[Grade]]+BD20</f>
        <v>235.59999999999999</v>
      </c>
      <c r="BE30" s="24">
        <f>BD30/BC30</f>
        <v>3.1413333333333333</v>
      </c>
      <c r="BF30" s="11"/>
      <c r="BG30" s="21" t="s">
        <v>118</v>
      </c>
      <c r="BH30" s="22"/>
      <c r="BI30" s="23">
        <f>SU_24[[#Totals],[AH]]+BI20</f>
        <v>178</v>
      </c>
      <c r="BJ30" s="23">
        <f>SU_24[[#Totals],[EH]]+BJ20</f>
        <v>156</v>
      </c>
      <c r="BK30" s="23">
        <f>SU_24[[#Totals],[GH]]+BK20</f>
        <v>101</v>
      </c>
      <c r="BL30" s="23">
        <f>SU_24[[#Totals],[Grade]]+BL20</f>
        <v>334.80000000000001</v>
      </c>
      <c r="BM30" s="24">
        <f>BL30/BK30</f>
        <v>3.3148514851485151</v>
      </c>
      <c r="BN30" s="11"/>
      <c r="BO30" s="21" t="s">
        <v>118</v>
      </c>
      <c r="BP30" s="22"/>
      <c r="BQ30" s="23">
        <f>SU_25[[#Totals],[AH]]+BQ20</f>
        <v>202</v>
      </c>
      <c r="BR30" s="23">
        <f>SU_25[[#Totals],[EH]]+BR20</f>
        <v>156</v>
      </c>
      <c r="BS30" s="23">
        <f>SU_25[[#Totals],[GH]]+BS20</f>
        <v>101</v>
      </c>
      <c r="BT30" s="23">
        <f>SU_25[[#Totals],[Grade]]+BT20</f>
        <v>334.80000000000001</v>
      </c>
      <c r="BU30" s="24">
        <f>BT30/BS30</f>
        <v>3.3148514851485151</v>
      </c>
      <c r="BV30" s="11"/>
      <c r="BW30" s="21" t="s">
        <v>118</v>
      </c>
      <c r="BX30" s="22"/>
      <c r="BY30" s="23">
        <f>SU_26[[#Totals],[AH]]+BY20</f>
        <v>224</v>
      </c>
      <c r="BZ30" s="23">
        <f>SU_26[[#Totals],[EH]]+BZ20</f>
        <v>156</v>
      </c>
      <c r="CA30" s="23">
        <f>SU_26[[#Totals],[GH]]+CA20</f>
        <v>101</v>
      </c>
      <c r="CB30" s="23">
        <f>SU_26[[#Totals],[Grade]]+CB20</f>
        <v>334.80000000000001</v>
      </c>
      <c r="CC30" s="24">
        <f>CB30/CA30</f>
        <v>3.3148514851485151</v>
      </c>
      <c r="CD30" s="11"/>
    </row>
    <row r="31">
      <c r="B31" s="1" t="s">
        <v>211</v>
      </c>
      <c r="C31" s="1" t="s">
        <v>59</v>
      </c>
      <c r="D31" s="9" t="s">
        <v>86</v>
      </c>
      <c r="E31" s="9">
        <v>3</v>
      </c>
      <c r="F31" s="9">
        <f>IF(_xlfn.XLOOKUP(GenEd[[#This Row],[Grade]],GPAScale[Grade],GPAScale[Earned]),GenEd[[#This Row],[AH]],0)</f>
        <v>3</v>
      </c>
      <c r="G31" s="9">
        <f>IF(_xlfn.XLOOKUP(GenEd[[#This Row],[Grade]],GPAScale[Grade],GPAScale[Graded]),GenEd[[#This Row],[AH]],0)</f>
        <v>3</v>
      </c>
      <c r="H31" s="9" t="s">
        <v>60</v>
      </c>
      <c r="I31" s="11">
        <f>_xlfn.XLOOKUP(GenEd[[#This Row],[Grade]],GPAScale[Grade],GPAScale[Points])</f>
        <v>3.7000000000000002</v>
      </c>
      <c r="K31" s="1" t="s">
        <v>188</v>
      </c>
      <c r="L31" s="1" t="s">
        <v>212</v>
      </c>
      <c r="M31" s="9" t="s">
        <v>213</v>
      </c>
      <c r="N31" s="9">
        <v>1</v>
      </c>
      <c r="O31" s="9">
        <f>IF(_xlfn.XLOOKUP(GenEng[[#This Row],[Grade]],GPAScale[Grade],GPAScale[Earned]),GenEng[[#This Row],[AH]],0)</f>
        <v>1</v>
      </c>
      <c r="P31" s="9">
        <f>IF(_xlfn.XLOOKUP(GenEng[[#This Row],[Grade]],GPAScale[Grade],GPAScale[Graded]),GenEng[[#This Row],[AH]],0)</f>
        <v>1</v>
      </c>
      <c r="Q31" s="9" t="s">
        <v>39</v>
      </c>
      <c r="R31" s="11">
        <f>_xlfn.XLOOKUP(GenEng[[#This Row],[Grade]],GPAScale[Grade],GPAScale[Points])</f>
        <v>3</v>
      </c>
      <c r="AA31" s="9" t="s">
        <v>10</v>
      </c>
      <c r="AB31" s="9" t="s">
        <v>11</v>
      </c>
      <c r="AC31" s="9" t="s">
        <v>13</v>
      </c>
      <c r="AD31" s="9" t="s">
        <v>14</v>
      </c>
      <c r="AE31" s="9" t="s">
        <v>15</v>
      </c>
      <c r="AF31" s="9" t="s">
        <v>16</v>
      </c>
      <c r="AG31" s="9" t="s">
        <v>17</v>
      </c>
      <c r="AH31" s="11"/>
      <c r="AP31" s="11"/>
      <c r="AX31" s="11"/>
      <c r="BF31" s="11"/>
      <c r="BN31" s="11"/>
      <c r="BV31" s="11"/>
      <c r="CD31" s="11"/>
    </row>
    <row r="32">
      <c r="B32" s="1" t="s">
        <v>120</v>
      </c>
      <c r="C32" s="1" t="s">
        <v>164</v>
      </c>
      <c r="D32" s="9" t="s">
        <v>214</v>
      </c>
      <c r="E32" s="9">
        <v>3</v>
      </c>
      <c r="F32" s="9">
        <f>IF(_xlfn.XLOOKUP(GenEd[[#This Row],[Grade]],GPAScale[Grade],GPAScale[Earned]),GenEd[[#This Row],[AH]],0)</f>
        <v>3</v>
      </c>
      <c r="G32" s="9">
        <f>IF(_xlfn.XLOOKUP(GenEd[[#This Row],[Grade]],GPAScale[Grade],GPAScale[Graded]),GenEd[[#This Row],[AH]],0)</f>
        <v>3</v>
      </c>
      <c r="H32" s="9" t="s">
        <v>23</v>
      </c>
      <c r="I32" s="11">
        <f>_xlfn.XLOOKUP(GenEd[[#This Row],[Grade]],GPAScale[Grade],GPAScale[Points])</f>
        <v>4</v>
      </c>
      <c r="K32" s="1" t="s">
        <v>177</v>
      </c>
      <c r="L32" s="1" t="s">
        <v>215</v>
      </c>
      <c r="M32" s="9" t="s">
        <v>213</v>
      </c>
      <c r="N32" s="9">
        <v>5</v>
      </c>
      <c r="O32" s="9">
        <f>IF(_xlfn.XLOOKUP(GenEng[[#This Row],[Grade]],GPAScale[Grade],GPAScale[Earned]),GenEng[[#This Row],[AH]],0)</f>
        <v>5</v>
      </c>
      <c r="P32" s="9">
        <f>IF(_xlfn.XLOOKUP(GenEng[[#This Row],[Grade]],GPAScale[Grade],GPAScale[Graded]),GenEng[[#This Row],[AH]],0)</f>
        <v>5</v>
      </c>
      <c r="Q32" s="9" t="s">
        <v>60</v>
      </c>
      <c r="R32" s="11">
        <f>_xlfn.XLOOKUP(GenEng[[#This Row],[Grade]],GPAScale[Grade],GPAScale[Points])</f>
        <v>3.7000000000000002</v>
      </c>
      <c r="AA32" s="1" t="s">
        <v>216</v>
      </c>
      <c r="AB32" s="1" t="s">
        <v>217</v>
      </c>
      <c r="AC32" s="9">
        <v>3</v>
      </c>
      <c r="AD32" s="9">
        <f>IF(_xlfn.XLOOKUP(SP_20[[#This Row],[Grade]],GPAScale[Grade],GPAScale[Earned]),SP_20[[#This Row],[AH]],0)</f>
        <v>3</v>
      </c>
      <c r="AE32" s="9">
        <f>IF(_xlfn.XLOOKUP(SP_20[[#This Row],[Grade]],GPAScale[Grade],GPAScale[Graded]),SP_20[[#This Row],[EH]],0)</f>
        <v>3</v>
      </c>
      <c r="AF32" s="9" t="s">
        <v>23</v>
      </c>
      <c r="AG32" s="11">
        <f>_xlfn.XLOOKUP(SP_20[[#This Row],[Grade]],GPAScale[Grade],GPAScale[Points])</f>
        <v>4</v>
      </c>
      <c r="AH32" s="11"/>
      <c r="AP32" s="11"/>
      <c r="AX32" s="11"/>
      <c r="BF32" s="11"/>
      <c r="BN32" s="11"/>
      <c r="BV32" s="11"/>
      <c r="CD32" s="11"/>
    </row>
    <row r="33">
      <c r="B33" s="4"/>
      <c r="C33" s="9"/>
      <c r="D33" s="4"/>
      <c r="E33" s="9">
        <f>SUBTOTAL(109,GenEd[AH])</f>
        <v>30</v>
      </c>
      <c r="F33" s="4">
        <f>SUBTOTAL(109,GenEd[EH])</f>
        <v>30</v>
      </c>
      <c r="G33" s="4">
        <f>SUBTOTAL(109,GenEd[GH])</f>
        <v>9</v>
      </c>
      <c r="H33" s="4">
        <f>GenEd[[#Totals],[GPA]]*GenEd[[#Totals],[GH]]</f>
        <v>35.100000000000001</v>
      </c>
      <c r="I33" s="12">
        <f t="array" ref="I33">IFERROR(SUM(GenEd[GPA]*GenEd[GH])/GenEd[[#Totals],[GH]],0)</f>
        <v>3.9000000000000004</v>
      </c>
      <c r="K33" s="1" t="s">
        <v>216</v>
      </c>
      <c r="L33" s="1" t="s">
        <v>218</v>
      </c>
      <c r="M33" s="9" t="s">
        <v>208</v>
      </c>
      <c r="N33" s="9">
        <v>3</v>
      </c>
      <c r="O33" s="9">
        <f>IF(_xlfn.XLOOKUP(GenEng[[#This Row],[Grade]],GPAScale[Grade],GPAScale[Earned]),GenEng[[#This Row],[AH]],0)</f>
        <v>3</v>
      </c>
      <c r="P33" s="9">
        <f>IF(_xlfn.XLOOKUP(GenEng[[#This Row],[Grade]],GPAScale[Grade],GPAScale[Graded]),GenEng[[#This Row],[AH]],0)</f>
        <v>3</v>
      </c>
      <c r="Q33" s="9" t="s">
        <v>23</v>
      </c>
      <c r="R33" s="11">
        <f>_xlfn.XLOOKUP(GenEng[[#This Row],[Grade]],GPAScale[Grade],GPAScale[Points])</f>
        <v>4</v>
      </c>
      <c r="AA33" s="1" t="s">
        <v>219</v>
      </c>
      <c r="AB33" s="1" t="s">
        <v>220</v>
      </c>
      <c r="AC33" s="9">
        <v>2</v>
      </c>
      <c r="AD33" s="9">
        <f>IF(_xlfn.XLOOKUP(SP_20[[#This Row],[Grade]],GPAScale[Grade],GPAScale[Earned]),SP_20[[#This Row],[AH]],0)</f>
        <v>2</v>
      </c>
      <c r="AE33" s="9">
        <f>IF(_xlfn.XLOOKUP(SP_20[[#This Row],[Grade]],GPAScale[Grade],GPAScale[Graded]),SP_20[[#This Row],[EH]],0)</f>
        <v>2</v>
      </c>
      <c r="AF33" s="9" t="s">
        <v>33</v>
      </c>
      <c r="AG33" s="11">
        <f>_xlfn.XLOOKUP(SP_20[[#This Row],[Grade]],GPAScale[Grade],GPAScale[Points])</f>
        <v>3.2999999999999998</v>
      </c>
      <c r="AH33" s="11"/>
      <c r="AP33" s="11"/>
      <c r="AX33" s="11"/>
      <c r="BF33" s="11"/>
      <c r="BN33" s="11"/>
      <c r="BV33" s="11"/>
      <c r="CD33" s="11"/>
    </row>
    <row r="34">
      <c r="K34" s="1" t="s">
        <v>106</v>
      </c>
      <c r="L34" s="1" t="s">
        <v>107</v>
      </c>
      <c r="M34" s="9" t="s">
        <v>204</v>
      </c>
      <c r="N34" s="9">
        <v>4</v>
      </c>
      <c r="O34" s="9">
        <f>IF(_xlfn.XLOOKUP(GenEng[[#This Row],[Grade]],GPAScale[Grade],GPAScale[Earned]),GenEng[[#This Row],[AH]],0)</f>
        <v>4</v>
      </c>
      <c r="P34" s="9">
        <f>IF(_xlfn.XLOOKUP(GenEng[[#This Row],[Grade]],GPAScale[Grade],GPAScale[Graded]),GenEng[[#This Row],[AH]],0)</f>
        <v>0</v>
      </c>
      <c r="Q34" s="9" t="s">
        <v>108</v>
      </c>
      <c r="R34" s="11">
        <f>_xlfn.XLOOKUP(GenEng[[#This Row],[Grade]],GPAScale[Grade],GPAScale[Points])</f>
        <v>0</v>
      </c>
      <c r="AA34" s="1" t="s">
        <v>221</v>
      </c>
      <c r="AB34" s="1" t="s">
        <v>222</v>
      </c>
      <c r="AC34" s="9">
        <v>5</v>
      </c>
      <c r="AD34" s="9">
        <f>IF(_xlfn.XLOOKUP(SP_20[[#This Row],[Grade]],GPAScale[Grade],GPAScale[Earned]),SP_20[[#This Row],[AH]],0)</f>
        <v>5</v>
      </c>
      <c r="AE34" s="9">
        <f>IF(_xlfn.XLOOKUP(SP_20[[#This Row],[Grade]],GPAScale[Grade],GPAScale[Graded]),SP_20[[#This Row],[EH]],0)</f>
        <v>0</v>
      </c>
      <c r="AF34" s="9" t="s">
        <v>108</v>
      </c>
      <c r="AG34" s="11">
        <f>_xlfn.XLOOKUP(SP_20[[#This Row],[Grade]],GPAScale[Grade],GPAScale[Points])</f>
        <v>0</v>
      </c>
      <c r="AH34" s="12"/>
      <c r="AP34" s="12"/>
      <c r="AX34" s="12"/>
      <c r="BF34" s="12"/>
      <c r="BN34" s="12"/>
      <c r="BV34" s="12"/>
      <c r="CD34" s="12"/>
    </row>
    <row r="35">
      <c r="B35" s="5" t="s">
        <v>223</v>
      </c>
      <c r="C35" s="6"/>
      <c r="D35" s="6"/>
      <c r="E35" s="6"/>
      <c r="F35" s="6"/>
      <c r="G35" s="6"/>
      <c r="H35" s="6"/>
      <c r="I35" s="7"/>
      <c r="K35" s="4"/>
      <c r="L35" s="9"/>
      <c r="M35" s="4"/>
      <c r="N35" s="9">
        <f>SUBTOTAL(109,GenEng[AH])</f>
        <v>28</v>
      </c>
      <c r="O35" s="4">
        <f>SUBTOTAL(109,GenEng[EH])</f>
        <v>28</v>
      </c>
      <c r="P35" s="4">
        <f>SUBTOTAL(109,GenEng[GH])</f>
        <v>9</v>
      </c>
      <c r="Q35" s="4">
        <f>GenEng[[#Totals],[GPA]]*GenEng[[#Totals],[GH]]</f>
        <v>33.5</v>
      </c>
      <c r="R35" s="12">
        <f t="array" ref="R35">IFERROR(SUM(GenEng[GPA]*GenEng[GH])/GenEng[[#Totals],[GH]],0)</f>
        <v>3.7222222222222223</v>
      </c>
      <c r="AA35" s="1" t="s">
        <v>224</v>
      </c>
      <c r="AB35" s="1" t="s">
        <v>207</v>
      </c>
      <c r="AC35" s="9">
        <v>3</v>
      </c>
      <c r="AD35" s="9">
        <f>IF(_xlfn.XLOOKUP(SP_20[[#This Row],[Grade]],GPAScale[Grade],GPAScale[Earned]),SP_20[[#This Row],[AH]],0)</f>
        <v>3</v>
      </c>
      <c r="AE35" s="9">
        <f>IF(_xlfn.XLOOKUP(SP_20[[#This Row],[Grade]],GPAScale[Grade],GPAScale[Graded]),SP_20[[#This Row],[EH]],0)</f>
        <v>0</v>
      </c>
      <c r="AF35" s="9" t="s">
        <v>108</v>
      </c>
      <c r="AG35" s="11">
        <f>_xlfn.XLOOKUP(SP_20[[#This Row],[Grade]],GPAScale[Grade],GPAScale[Points])</f>
        <v>0</v>
      </c>
    </row>
    <row r="36">
      <c r="B36" s="9" t="s">
        <v>10</v>
      </c>
      <c r="C36" s="9" t="s">
        <v>11</v>
      </c>
      <c r="D36" s="9" t="s">
        <v>12</v>
      </c>
      <c r="E36" s="9" t="s">
        <v>13</v>
      </c>
      <c r="F36" s="9" t="s">
        <v>14</v>
      </c>
      <c r="G36" s="9" t="s">
        <v>15</v>
      </c>
      <c r="H36" s="9" t="s">
        <v>16</v>
      </c>
      <c r="I36" s="9" t="s">
        <v>17</v>
      </c>
      <c r="AA36" s="1" t="s">
        <v>225</v>
      </c>
      <c r="AB36" s="1" t="s">
        <v>226</v>
      </c>
      <c r="AC36" s="9">
        <v>2</v>
      </c>
      <c r="AD36" s="9">
        <f>IF(_xlfn.XLOOKUP(SP_20[[#This Row],[Grade]],GPAScale[Grade],GPAScale[Earned]),SP_20[[#This Row],[AH]],0)</f>
        <v>2</v>
      </c>
      <c r="AE36" s="9">
        <f>IF(_xlfn.XLOOKUP(SP_20[[#This Row],[Grade]],GPAScale[Grade],GPAScale[Graded]),SP_20[[#This Row],[EH]],0)</f>
        <v>2</v>
      </c>
      <c r="AF36" s="9" t="s">
        <v>23</v>
      </c>
      <c r="AG36" s="11">
        <f>_xlfn.XLOOKUP(SP_20[[#This Row],[Grade]],GPAScale[Grade],GPAScale[Points])</f>
        <v>4</v>
      </c>
    </row>
    <row r="37" ht="17.100000000000001">
      <c r="B37" s="1" t="s">
        <v>199</v>
      </c>
      <c r="C37" s="1" t="s">
        <v>161</v>
      </c>
      <c r="D37" s="9" t="s">
        <v>186</v>
      </c>
      <c r="E37" s="9">
        <v>3</v>
      </c>
      <c r="F37" s="9">
        <f>IF(_xlfn.XLOOKUP(Uncounted[[#This Row],[Grade]],GPAScale[Grade],GPAScale[Earned]),Uncounted[[#This Row],[AH]],0)</f>
        <v>3</v>
      </c>
      <c r="G37" s="9">
        <f>IF(_xlfn.XLOOKUP(Uncounted[[#This Row],[Grade]],GPAScale[Grade],GPAScale[Graded]),Uncounted[[#This Row],[AH]],0)</f>
        <v>0</v>
      </c>
      <c r="H37" s="9" t="s">
        <v>30</v>
      </c>
      <c r="I37" s="11">
        <f>_xlfn.XLOOKUP(Uncounted[[#This Row],[Grade]],GPAScale[Grade],GPAScale[Points])</f>
        <v>0</v>
      </c>
      <c r="K37" s="5" t="s">
        <v>227</v>
      </c>
      <c r="L37" s="6"/>
      <c r="M37" s="6"/>
      <c r="N37" s="6"/>
      <c r="O37" s="6"/>
      <c r="P37" s="6"/>
      <c r="Q37" s="6"/>
      <c r="R37" s="7"/>
      <c r="AA37" s="4" t="s">
        <v>114</v>
      </c>
      <c r="AB37" s="9"/>
      <c r="AC37" s="4">
        <f>SUBTOTAL(109,SP_20[AH])</f>
        <v>15</v>
      </c>
      <c r="AD37" s="9">
        <f>SUBTOTAL(109,SP_20[EH])</f>
        <v>15</v>
      </c>
      <c r="AE37" s="4">
        <f>SUBTOTAL(109,SP_20[GH])</f>
        <v>7</v>
      </c>
      <c r="AF37" s="4">
        <f>SP_20[[#Totals],[GPA]]*SP_20[[#Totals],[GH]]</f>
        <v>26.600000000000001</v>
      </c>
      <c r="AG37" s="12">
        <f t="array" ref="AG37">IFERROR(SUM(SP_20[GPA]*SP_20[GH])/SP_20[[#Totals],[GH]],0)</f>
        <v>3.8000000000000003</v>
      </c>
    </row>
    <row r="38" ht="17.100000000000001">
      <c r="B38" s="1" t="s">
        <v>228</v>
      </c>
      <c r="C38" s="1" t="s">
        <v>113</v>
      </c>
      <c r="D38" s="9" t="s">
        <v>186</v>
      </c>
      <c r="E38" s="9">
        <v>3</v>
      </c>
      <c r="F38" s="9">
        <f>IF(_xlfn.XLOOKUP(Uncounted[[#This Row],[Grade]],GPAScale[Grade],GPAScale[Earned]),Uncounted[[#This Row],[AH]],0)</f>
        <v>3</v>
      </c>
      <c r="G38" s="9">
        <f>IF(_xlfn.XLOOKUP(Uncounted[[#This Row],[Grade]],GPAScale[Grade],GPAScale[Graded]),Uncounted[[#This Row],[AH]],0)</f>
        <v>0</v>
      </c>
      <c r="H38" s="9" t="s">
        <v>30</v>
      </c>
      <c r="I38" s="11">
        <f>_xlfn.XLOOKUP(Uncounted[[#This Row],[Grade]],GPAScale[Grade],GPAScale[Points])</f>
        <v>0</v>
      </c>
      <c r="K38" s="9" t="s">
        <v>10</v>
      </c>
      <c r="L38" s="9" t="s">
        <v>11</v>
      </c>
      <c r="M38" s="9" t="s">
        <v>12</v>
      </c>
      <c r="N38" s="9" t="s">
        <v>13</v>
      </c>
      <c r="O38" s="9" t="s">
        <v>14</v>
      </c>
      <c r="P38" s="9" t="s">
        <v>15</v>
      </c>
      <c r="Q38" s="9" t="s">
        <v>16</v>
      </c>
      <c r="R38" s="9" t="s">
        <v>17</v>
      </c>
      <c r="AA38" s="17" t="s">
        <v>118</v>
      </c>
      <c r="AB38" s="18"/>
      <c r="AC38" s="19">
        <f>SP_20[[#Totals],[AH]]+AC28</f>
        <v>77</v>
      </c>
      <c r="AD38" s="19">
        <f>SP_20[[#Totals],[EH]]+AD28</f>
        <v>72</v>
      </c>
      <c r="AE38" s="19">
        <f>SP_20[[#Totals],[GH]]+AE28</f>
        <v>18</v>
      </c>
      <c r="AF38" s="19">
        <f>SP_20[[#Totals],[Grade]]+AF28</f>
        <v>64.599999999999994</v>
      </c>
      <c r="AG38" s="20">
        <f>AF38/AE38</f>
        <v>3.5888888888888886</v>
      </c>
    </row>
    <row r="39">
      <c r="B39" s="1" t="s">
        <v>139</v>
      </c>
      <c r="C39" s="1" t="s">
        <v>140</v>
      </c>
      <c r="D39" s="9" t="s">
        <v>186</v>
      </c>
      <c r="E39" s="9">
        <v>3</v>
      </c>
      <c r="F39" s="9">
        <f>IF(_xlfn.XLOOKUP(Uncounted[[#This Row],[Grade]],GPAScale[Grade],GPAScale[Earned]),Uncounted[[#This Row],[AH]],0)</f>
        <v>3</v>
      </c>
      <c r="G39" s="9">
        <f>IF(_xlfn.XLOOKUP(Uncounted[[#This Row],[Grade]],GPAScale[Grade],GPAScale[Graded]),Uncounted[[#This Row],[AH]],0)</f>
        <v>0</v>
      </c>
      <c r="H39" s="9" t="s">
        <v>30</v>
      </c>
      <c r="I39" s="11">
        <f>_xlfn.XLOOKUP(Uncounted[[#This Row],[Grade]],GPAScale[Grade],GPAScale[Points])</f>
        <v>0</v>
      </c>
      <c r="K39" s="8" t="s">
        <v>169</v>
      </c>
      <c r="L39" s="8" t="s">
        <v>170</v>
      </c>
      <c r="M39" s="14" t="s">
        <v>51</v>
      </c>
      <c r="N39" s="14">
        <v>3</v>
      </c>
      <c r="O39" s="14">
        <f>IF(_xlfn.XLOOKUP(NonMajor[[#This Row],[Grade]],GPAScale[Grade],GPAScale[Earned]),NonMajor[[#This Row],[AH]],0)</f>
        <v>3</v>
      </c>
      <c r="P39" s="14">
        <f>IF(_xlfn.XLOOKUP(NonMajor[[#This Row],[Grade]],GPAScale[Grade],GPAScale[Graded]),NonMajor[[#This Row],[AH]],0)</f>
        <v>3</v>
      </c>
      <c r="Q39" s="14" t="s">
        <v>33</v>
      </c>
      <c r="R39" s="15">
        <f>_xlfn.XLOOKUP(NonMajor[[#This Row],[Grade]],GPAScale[Grade],GPAScale[Points])</f>
        <v>3.2999999999999998</v>
      </c>
    </row>
    <row r="40">
      <c r="B40" s="1" t="s">
        <v>197</v>
      </c>
      <c r="C40" s="1" t="s">
        <v>198</v>
      </c>
      <c r="D40" s="9" t="s">
        <v>213</v>
      </c>
      <c r="E40" s="9">
        <v>4</v>
      </c>
      <c r="F40" s="9">
        <f>IF(_xlfn.XLOOKUP(Uncounted[[#This Row],[Grade]],GPAScale[Grade],GPAScale[Earned]),Uncounted[[#This Row],[AH]],0)</f>
        <v>4</v>
      </c>
      <c r="G40" s="9">
        <f>IF(_xlfn.XLOOKUP(Uncounted[[#This Row],[Grade]],GPAScale[Grade],GPAScale[Graded]),Uncounted[[#This Row],[AH]],0)</f>
        <v>0</v>
      </c>
      <c r="H40" s="9" t="s">
        <v>30</v>
      </c>
      <c r="I40" s="11">
        <f>_xlfn.XLOOKUP(Uncounted[[#This Row],[Grade]],GPAScale[Grade],GPAScale[Points])</f>
        <v>0</v>
      </c>
      <c r="K40" s="1" t="s">
        <v>96</v>
      </c>
      <c r="L40" s="1" t="s">
        <v>97</v>
      </c>
      <c r="M40" s="9" t="s">
        <v>26</v>
      </c>
      <c r="N40" s="9">
        <v>3</v>
      </c>
      <c r="O40" s="9">
        <f>IF(_xlfn.XLOOKUP(NonMajor[[#This Row],[Grade]],GPAScale[Grade],GPAScale[Earned]),NonMajor[[#This Row],[AH]],0)</f>
        <v>3</v>
      </c>
      <c r="P40" s="9">
        <f>IF(_xlfn.XLOOKUP(NonMajor[[#This Row],[Grade]],GPAScale[Grade],GPAScale[Graded]),NonMajor[[#This Row],[AH]],0)</f>
        <v>3</v>
      </c>
      <c r="Q40" s="9" t="s">
        <v>60</v>
      </c>
      <c r="R40" s="11">
        <f>_xlfn.XLOOKUP(NonMajor[[#This Row],[Grade]],GPAScale[Grade],GPAScale[Points])</f>
        <v>3.7000000000000002</v>
      </c>
    </row>
    <row r="41">
      <c r="B41" s="1" t="s">
        <v>193</v>
      </c>
      <c r="C41" s="1" t="s">
        <v>194</v>
      </c>
      <c r="D41" s="9" t="s">
        <v>213</v>
      </c>
      <c r="E41" s="9">
        <v>5</v>
      </c>
      <c r="F41" s="9">
        <f>IF(_xlfn.XLOOKUP(Uncounted[[#This Row],[Grade]],GPAScale[Grade],GPAScale[Earned]),Uncounted[[#This Row],[AH]],0)</f>
        <v>0</v>
      </c>
      <c r="G41" s="9">
        <f>IF(_xlfn.XLOOKUP(Uncounted[[#This Row],[Grade]],GPAScale[Grade],GPAScale[Graded]),Uncounted[[#This Row],[AH]],0)</f>
        <v>0</v>
      </c>
      <c r="H41" s="9" t="s">
        <v>76</v>
      </c>
      <c r="I41" s="11">
        <f>_xlfn.XLOOKUP(Uncounted[[#This Row],[Grade]],GPAScale[Grade],GPAScale[Points])</f>
        <v>0</v>
      </c>
      <c r="K41" s="1" t="s">
        <v>152</v>
      </c>
      <c r="L41" s="1" t="s">
        <v>153</v>
      </c>
      <c r="M41" s="9" t="s">
        <v>214</v>
      </c>
      <c r="N41" s="9">
        <v>3</v>
      </c>
      <c r="O41" s="9">
        <f>IF(_xlfn.XLOOKUP(NonMajor[[#This Row],[Grade]],GPAScale[Grade],GPAScale[Earned]),NonMajor[[#This Row],[AH]],0)</f>
        <v>3</v>
      </c>
      <c r="P41" s="9">
        <f>IF(_xlfn.XLOOKUP(NonMajor[[#This Row],[Grade]],GPAScale[Grade],GPAScale[Graded]),NonMajor[[#This Row],[AH]],0)</f>
        <v>3</v>
      </c>
      <c r="Q41" s="9" t="s">
        <v>154</v>
      </c>
      <c r="R41" s="11">
        <f>_xlfn.XLOOKUP(NonMajor[[#This Row],[Grade]],GPAScale[Grade],GPAScale[Points])</f>
        <v>1.7</v>
      </c>
    </row>
    <row r="42">
      <c r="B42" s="1" t="s">
        <v>221</v>
      </c>
      <c r="C42" s="1" t="s">
        <v>222</v>
      </c>
      <c r="D42" s="9" t="s">
        <v>208</v>
      </c>
      <c r="E42" s="9">
        <v>4</v>
      </c>
      <c r="F42" s="9">
        <f>IF(_xlfn.XLOOKUP(Uncounted[[#This Row],[Grade]],GPAScale[Grade],GPAScale[Earned]),Uncounted[[#This Row],[AH]],0)</f>
        <v>4</v>
      </c>
      <c r="G42" s="9">
        <f>IF(_xlfn.XLOOKUP(Uncounted[[#This Row],[Grade]],GPAScale[Grade],GPAScale[Graded]),Uncounted[[#This Row],[AH]],0)</f>
        <v>0</v>
      </c>
      <c r="H42" s="9" t="s">
        <v>108</v>
      </c>
      <c r="I42" s="11">
        <f>_xlfn.XLOOKUP(Uncounted[[#This Row],[Grade]],GPAScale[Grade],GPAScale[Points])</f>
        <v>0</v>
      </c>
      <c r="K42" s="1" t="s">
        <v>229</v>
      </c>
      <c r="L42" s="1" t="s">
        <v>62</v>
      </c>
      <c r="M42" s="9" t="s">
        <v>26</v>
      </c>
      <c r="N42" s="9">
        <v>3</v>
      </c>
      <c r="O42" s="9">
        <f>IF(_xlfn.XLOOKUP(NonMajor[[#This Row],[Grade]],GPAScale[Grade],GPAScale[Earned]),NonMajor[[#This Row],[AH]],0)</f>
        <v>3</v>
      </c>
      <c r="P42" s="9">
        <f>IF(_xlfn.XLOOKUP(NonMajor[[#This Row],[Grade]],GPAScale[Grade],GPAScale[Graded]),NonMajor[[#This Row],[AH]],0)</f>
        <v>3</v>
      </c>
      <c r="Q42" s="9" t="s">
        <v>60</v>
      </c>
      <c r="R42" s="11">
        <f>_xlfn.XLOOKUP(NonMajor[[#This Row],[Grade]],GPAScale[Grade],GPAScale[Points])</f>
        <v>3.7000000000000002</v>
      </c>
    </row>
    <row r="43">
      <c r="B43" s="1" t="s">
        <v>230</v>
      </c>
      <c r="C43" s="1" t="s">
        <v>226</v>
      </c>
      <c r="D43" s="9" t="s">
        <v>208</v>
      </c>
      <c r="E43" s="9">
        <v>2</v>
      </c>
      <c r="F43" s="9">
        <f>IF(_xlfn.XLOOKUP(Uncounted[[#This Row],[Grade]],GPAScale[Grade],GPAScale[Earned]),Uncounted[[#This Row],[AH]],0)</f>
        <v>2</v>
      </c>
      <c r="G43" s="9">
        <f>IF(_xlfn.XLOOKUP(Uncounted[[#This Row],[Grade]],GPAScale[Grade],GPAScale[Graded]),Uncounted[[#This Row],[AH]],0)</f>
        <v>2</v>
      </c>
      <c r="H43" s="9" t="s">
        <v>23</v>
      </c>
      <c r="I43" s="11">
        <f>_xlfn.XLOOKUP(Uncounted[[#This Row],[Grade]],GPAScale[Grade],GPAScale[Points])</f>
        <v>4</v>
      </c>
      <c r="K43" s="1" t="s">
        <v>231</v>
      </c>
      <c r="L43" s="1" t="s">
        <v>93</v>
      </c>
      <c r="M43" s="9" t="s">
        <v>204</v>
      </c>
      <c r="N43" s="9">
        <v>2</v>
      </c>
      <c r="O43" s="9">
        <f>IF(_xlfn.XLOOKUP(NonMajor[[#This Row],[Grade]],GPAScale[Grade],GPAScale[Earned]),NonMajor[[#This Row],[AH]],0)</f>
        <v>2</v>
      </c>
      <c r="P43" s="9">
        <f>IF(_xlfn.XLOOKUP(NonMajor[[#This Row],[Grade]],GPAScale[Grade],GPAScale[Graded]),NonMajor[[#This Row],[AH]],0)</f>
        <v>2</v>
      </c>
      <c r="Q43" s="9" t="s">
        <v>33</v>
      </c>
      <c r="R43" s="11">
        <f>_xlfn.XLOOKUP(NonMajor[[#This Row],[Grade]],GPAScale[Grade],GPAScale[Points])</f>
        <v>3.2999999999999998</v>
      </c>
      <c r="T43" s="9"/>
      <c r="U43" s="9"/>
      <c r="V43" s="9"/>
    </row>
    <row r="44">
      <c r="B44" s="1" t="s">
        <v>219</v>
      </c>
      <c r="C44" s="1" t="s">
        <v>232</v>
      </c>
      <c r="D44" s="9" t="s">
        <v>208</v>
      </c>
      <c r="E44" s="9">
        <v>2</v>
      </c>
      <c r="F44" s="9">
        <f>IF(_xlfn.XLOOKUP(Uncounted[[#This Row],[Grade]],GPAScale[Grade],GPAScale[Earned]),Uncounted[[#This Row],[AH]],0)</f>
        <v>2</v>
      </c>
      <c r="G44" s="9">
        <f>IF(_xlfn.XLOOKUP(Uncounted[[#This Row],[Grade]],GPAScale[Grade],GPAScale[Graded]),Uncounted[[#This Row],[AH]],0)</f>
        <v>2</v>
      </c>
      <c r="H44" s="9" t="s">
        <v>33</v>
      </c>
      <c r="I44" s="11">
        <f>_xlfn.XLOOKUP(Uncounted[[#This Row],[Grade]],GPAScale[Grade],GPAScale[Points])</f>
        <v>3.2999999999999998</v>
      </c>
      <c r="K44" s="1" t="s">
        <v>233</v>
      </c>
      <c r="L44" s="1" t="s">
        <v>73</v>
      </c>
      <c r="M44" s="9" t="s">
        <v>213</v>
      </c>
      <c r="N44" s="9">
        <v>5</v>
      </c>
      <c r="O44" s="9">
        <f>IF(_xlfn.XLOOKUP(NonMajor[[#This Row],[Grade]],GPAScale[Grade],GPAScale[Earned]),NonMajor[[#This Row],[AH]],0)</f>
        <v>5</v>
      </c>
      <c r="P44" s="9">
        <f>IF(_xlfn.XLOOKUP(NonMajor[[#This Row],[Grade]],GPAScale[Grade],GPAScale[Graded]),NonMajor[[#This Row],[AH]],0)</f>
        <v>5</v>
      </c>
      <c r="Q44" s="9" t="s">
        <v>33</v>
      </c>
      <c r="R44" s="11">
        <f>_xlfn.XLOOKUP(NonMajor[[#This Row],[Grade]],GPAScale[Grade],GPAScale[Points])</f>
        <v>3.2999999999999998</v>
      </c>
      <c r="AA44" s="3"/>
      <c r="AB44" s="3"/>
      <c r="AC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>
      <c r="B45" s="1" t="s">
        <v>31</v>
      </c>
      <c r="C45" s="1" t="s">
        <v>32</v>
      </c>
      <c r="D45" s="9" t="s">
        <v>204</v>
      </c>
      <c r="E45" s="9">
        <v>3</v>
      </c>
      <c r="F45" s="9">
        <f>IF(_xlfn.XLOOKUP(Uncounted[[#This Row],[Grade]],GPAScale[Grade],GPAScale[Earned]),Uncounted[[#This Row],[AH]],0)</f>
        <v>3</v>
      </c>
      <c r="G45" s="9">
        <f>IF(_xlfn.XLOOKUP(Uncounted[[#This Row],[Grade]],GPAScale[Grade],GPAScale[Graded]),Uncounted[[#This Row],[AH]],0)</f>
        <v>3</v>
      </c>
      <c r="H45" s="9" t="s">
        <v>33</v>
      </c>
      <c r="I45" s="11">
        <f>_xlfn.XLOOKUP(Uncounted[[#This Row],[Grade]],GPAScale[Grade],GPAScale[Points])</f>
        <v>3.2999999999999998</v>
      </c>
      <c r="K45" s="1" t="s">
        <v>233</v>
      </c>
      <c r="L45" s="1" t="s">
        <v>222</v>
      </c>
      <c r="M45" s="9" t="s">
        <v>208</v>
      </c>
      <c r="N45" s="9">
        <v>1</v>
      </c>
      <c r="O45" s="9">
        <f>IF(_xlfn.XLOOKUP(NonMajor[[#This Row],[Grade]],GPAScale[Grade],GPAScale[Earned]),NonMajor[[#This Row],[AH]],0)</f>
        <v>1</v>
      </c>
      <c r="P45" s="9">
        <f>IF(_xlfn.XLOOKUP(NonMajor[[#This Row],[Grade]],GPAScale[Grade],GPAScale[Graded]),NonMajor[[#This Row],[AH]],0)</f>
        <v>0</v>
      </c>
      <c r="Q45" s="9" t="s">
        <v>108</v>
      </c>
      <c r="R45" s="11">
        <f>_xlfn.XLOOKUP(NonMajor[[#This Row],[Grade]],GPAScale[Grade],GPAScale[Points])</f>
        <v>0</v>
      </c>
      <c r="AA45" s="3"/>
      <c r="AB45" s="3"/>
      <c r="AC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>
      <c r="B46" s="1" t="s">
        <v>74</v>
      </c>
      <c r="C46" s="1" t="s">
        <v>75</v>
      </c>
      <c r="D46" s="9" t="s">
        <v>204</v>
      </c>
      <c r="E46" s="9">
        <v>5</v>
      </c>
      <c r="F46" s="9">
        <f>IF(_xlfn.XLOOKUP(Uncounted[[#This Row],[Grade]],GPAScale[Grade],GPAScale[Earned]),Uncounted[[#This Row],[AH]],0)</f>
        <v>0</v>
      </c>
      <c r="G46" s="9">
        <f>IF(_xlfn.XLOOKUP(Uncounted[[#This Row],[Grade]],GPAScale[Grade],GPAScale[Graded]),Uncounted[[#This Row],[AH]],0)</f>
        <v>0</v>
      </c>
      <c r="H46" s="9" t="s">
        <v>76</v>
      </c>
      <c r="I46" s="11">
        <f>_xlfn.XLOOKUP(Uncounted[[#This Row],[Grade]],GPAScale[Grade],GPAScale[Points])</f>
        <v>0</v>
      </c>
      <c r="K46" s="4"/>
      <c r="L46" s="9"/>
      <c r="M46" s="4"/>
      <c r="N46" s="9">
        <f>SUBTOTAL(109,NonMajor[AH])</f>
        <v>20</v>
      </c>
      <c r="O46" s="4">
        <f>SUBTOTAL(109,NonMajor[EH])</f>
        <v>20</v>
      </c>
      <c r="P46" s="4">
        <f>SUBTOTAL(109,NonMajor[GH])</f>
        <v>19</v>
      </c>
      <c r="Q46" s="4">
        <f>NonMajor[[#Totals],[GPA]]*NonMajor[[#Totals],[GH]]</f>
        <v>60.300000000000004</v>
      </c>
      <c r="R46" s="12">
        <f t="array" ref="R46">IFERROR(SUM(NonMajor[GPA]*NonMajor[GH])/NonMajor[[#Totals],[GH]],0)</f>
        <v>3.1736842105263161</v>
      </c>
      <c r="AA46" s="3"/>
      <c r="AB46" s="3"/>
      <c r="AC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>
      <c r="B47" s="1" t="s">
        <v>162</v>
      </c>
      <c r="C47" s="1" t="s">
        <v>163</v>
      </c>
      <c r="D47" s="9" t="s">
        <v>22</v>
      </c>
      <c r="E47" s="9">
        <v>4</v>
      </c>
      <c r="F47" s="9">
        <f>IF(_xlfn.XLOOKUP(Uncounted[[#This Row],[Grade]],GPAScale[Grade],GPAScale[Earned]),Uncounted[[#This Row],[AH]],0)</f>
        <v>4</v>
      </c>
      <c r="G47" s="9">
        <f>IF(_xlfn.XLOOKUP(Uncounted[[#This Row],[Grade]],GPAScale[Grade],GPAScale[Graded]),Uncounted[[#This Row],[AH]],0)</f>
        <v>4</v>
      </c>
      <c r="H47" s="9" t="s">
        <v>39</v>
      </c>
      <c r="I47" s="11">
        <f>_xlfn.XLOOKUP(Uncounted[[#This Row],[Grade]],GPAScale[Grade],GPAScale[Points])</f>
        <v>3</v>
      </c>
      <c r="AA47" s="3"/>
      <c r="AB47" s="3"/>
      <c r="AC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>
      <c r="B48" s="1" t="s">
        <v>234</v>
      </c>
      <c r="C48" s="1" t="s">
        <v>168</v>
      </c>
      <c r="D48" s="9" t="s">
        <v>22</v>
      </c>
      <c r="E48" s="9">
        <v>2</v>
      </c>
      <c r="F48" s="9">
        <f>IF(_xlfn.XLOOKUP(Uncounted[[#This Row],[Grade]],GPAScale[Grade],GPAScale[Earned]),Uncounted[[#This Row],[AH]],0)</f>
        <v>2</v>
      </c>
      <c r="G48" s="9">
        <f>IF(_xlfn.XLOOKUP(Uncounted[[#This Row],[Grade]],GPAScale[Grade],GPAScale[Graded]),Uncounted[[#This Row],[AH]],0)</f>
        <v>2</v>
      </c>
      <c r="H48" s="9" t="s">
        <v>33</v>
      </c>
      <c r="I48" s="11">
        <f>_xlfn.XLOOKUP(Uncounted[[#This Row],[Grade]],GPAScale[Grade],GPAScale[Points])</f>
        <v>3.2999999999999998</v>
      </c>
      <c r="S48" s="8"/>
      <c r="T48" s="8"/>
      <c r="U48" s="8"/>
      <c r="V48" s="8"/>
      <c r="W48" s="14"/>
      <c r="AA48" s="3"/>
      <c r="AB48" s="3"/>
      <c r="AC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>
      <c r="B49" s="1" t="s">
        <v>235</v>
      </c>
      <c r="C49" s="1" t="s">
        <v>172</v>
      </c>
      <c r="D49" s="9" t="s">
        <v>22</v>
      </c>
      <c r="E49" s="9">
        <v>3</v>
      </c>
      <c r="F49" s="9">
        <f>IF(_xlfn.XLOOKUP(Uncounted[[#This Row],[Grade]],GPAScale[Grade],GPAScale[Earned]),Uncounted[[#This Row],[AH]],0)</f>
        <v>3</v>
      </c>
      <c r="G49" s="9">
        <f>IF(_xlfn.XLOOKUP(Uncounted[[#This Row],[Grade]],GPAScale[Grade],GPAScale[Graded]),Uncounted[[#This Row],[AH]],0)</f>
        <v>3</v>
      </c>
      <c r="H49" s="9" t="s">
        <v>173</v>
      </c>
      <c r="I49" s="11">
        <f>_xlfn.XLOOKUP(Uncounted[[#This Row],[Grade]],GPAScale[Grade],GPAScale[Points])</f>
        <v>2.7000000000000002</v>
      </c>
      <c r="S49" s="9"/>
      <c r="T49" s="9"/>
      <c r="U49" s="9"/>
      <c r="V49" s="9"/>
      <c r="W49" s="9"/>
      <c r="AA49" s="3"/>
      <c r="AB49" s="3"/>
      <c r="AC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>
      <c r="B50" s="1" t="s">
        <v>34</v>
      </c>
      <c r="C50" s="1" t="s">
        <v>236</v>
      </c>
      <c r="D50" s="9" t="s">
        <v>237</v>
      </c>
      <c r="E50" s="9">
        <v>5</v>
      </c>
      <c r="F50" s="9">
        <f>IF(_xlfn.XLOOKUP(Uncounted[[#This Row],[Grade]],GPAScale[Grade],GPAScale[Earned]),Uncounted[[#This Row],[AH]],0)</f>
        <v>5</v>
      </c>
      <c r="G50" s="9">
        <f>IF(_xlfn.XLOOKUP(Uncounted[[#This Row],[Grade]],GPAScale[Grade],GPAScale[Graded]),Uncounted[[#This Row],[AH]],0)</f>
        <v>5</v>
      </c>
      <c r="H50" s="9" t="s">
        <v>36</v>
      </c>
      <c r="I50" s="11">
        <f>_xlfn.XLOOKUP(Uncounted[[#This Row],[Grade]],GPAScale[Grade],GPAScale[Points])</f>
        <v>2</v>
      </c>
      <c r="T50" s="9"/>
      <c r="U50" s="9"/>
      <c r="V50" s="9"/>
      <c r="W50" s="9"/>
      <c r="AA50" s="3"/>
      <c r="AB50" s="3"/>
      <c r="AC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>
      <c r="B51" s="1" t="s">
        <v>37</v>
      </c>
      <c r="C51" s="1" t="s">
        <v>38</v>
      </c>
      <c r="D51" s="9" t="s">
        <v>237</v>
      </c>
      <c r="E51" s="9">
        <v>3</v>
      </c>
      <c r="F51" s="9">
        <f>IF(_xlfn.XLOOKUP(Uncounted[[#This Row],[Grade]],GPAScale[Grade],GPAScale[Earned]),Uncounted[[#This Row],[AH]],0)</f>
        <v>0</v>
      </c>
      <c r="G51" s="9">
        <f>IF(_xlfn.XLOOKUP(Uncounted[[#This Row],[Grade]],GPAScale[Grade],GPAScale[Graded]),Uncounted[[#This Row],[AH]],0)</f>
        <v>3</v>
      </c>
      <c r="H51" s="9" t="s">
        <v>57</v>
      </c>
      <c r="I51" s="11">
        <f>_xlfn.XLOOKUP(Uncounted[[#This Row],[Grade]],GPAScale[Grade],GPAScale[Points])</f>
        <v>0</v>
      </c>
      <c r="T51" s="9"/>
      <c r="U51" s="9"/>
      <c r="V51" s="9"/>
      <c r="W51" s="9"/>
      <c r="X51" s="28"/>
      <c r="Y51" s="28"/>
      <c r="Z51" s="28"/>
      <c r="AA51" s="3"/>
      <c r="AB51" s="3"/>
      <c r="AC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>
      <c r="B52" s="1" t="s">
        <v>77</v>
      </c>
      <c r="C52" s="1" t="s">
        <v>78</v>
      </c>
      <c r="D52" s="9" t="s">
        <v>237</v>
      </c>
      <c r="E52" s="9">
        <v>4</v>
      </c>
      <c r="F52" s="9">
        <f>IF(_xlfn.XLOOKUP(Uncounted[[#This Row],[Grade]],GPAScale[Grade],GPAScale[Earned]),Uncounted[[#This Row],[AH]],0)</f>
        <v>0</v>
      </c>
      <c r="G52" s="9">
        <f>IF(_xlfn.XLOOKUP(Uncounted[[#This Row],[Grade]],GPAScale[Grade],GPAScale[Graded]),Uncounted[[#This Row],[AH]],0)</f>
        <v>0</v>
      </c>
      <c r="H52" s="9" t="s">
        <v>76</v>
      </c>
      <c r="I52" s="11">
        <f>_xlfn.XLOOKUP(Uncounted[[#This Row],[Grade]],GPAScale[Grade],GPAScale[Points])</f>
        <v>0</v>
      </c>
      <c r="T52" s="9"/>
      <c r="U52" s="9"/>
      <c r="V52" s="9"/>
      <c r="W52" s="9"/>
      <c r="X52" s="28"/>
      <c r="Y52" s="28"/>
      <c r="Z52" s="28"/>
      <c r="AA52" s="3"/>
      <c r="AB52" s="3"/>
      <c r="AC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>
      <c r="B53" s="1" t="s">
        <v>94</v>
      </c>
      <c r="C53" s="1" t="s">
        <v>95</v>
      </c>
      <c r="D53" s="9" t="s">
        <v>237</v>
      </c>
      <c r="E53" s="9">
        <v>2</v>
      </c>
      <c r="F53" s="9">
        <f>IF(_xlfn.XLOOKUP(Uncounted[[#This Row],[Grade]],GPAScale[Grade],GPAScale[Earned]),Uncounted[[#This Row],[AH]],0)</f>
        <v>0</v>
      </c>
      <c r="G53" s="9">
        <f>IF(_xlfn.XLOOKUP(Uncounted[[#This Row],[Grade]],GPAScale[Grade],GPAScale[Graded]),Uncounted[[#This Row],[AH]],0)</f>
        <v>0</v>
      </c>
      <c r="H53" s="9" t="s">
        <v>76</v>
      </c>
      <c r="I53" s="11">
        <f>_xlfn.XLOOKUP(Uncounted[[#This Row],[Grade]],GPAScale[Grade],GPAScale[Points])</f>
        <v>0</v>
      </c>
      <c r="T53" s="9"/>
      <c r="U53" s="9"/>
      <c r="V53" s="9"/>
      <c r="W53" s="9"/>
      <c r="X53" s="28"/>
      <c r="Y53" s="28"/>
      <c r="Z53" s="28"/>
      <c r="AA53" s="3"/>
      <c r="AB53" s="3"/>
      <c r="AC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>
      <c r="B54" s="1" t="s">
        <v>141</v>
      </c>
      <c r="C54" s="1" t="s">
        <v>142</v>
      </c>
      <c r="D54" s="9" t="s">
        <v>238</v>
      </c>
      <c r="E54" s="9">
        <v>4</v>
      </c>
      <c r="F54" s="9">
        <f>IF(_xlfn.XLOOKUP(Uncounted[[#This Row],[Grade]],GPAScale[Grade],GPAScale[Earned]),Uncounted[[#This Row],[AH]],0)</f>
        <v>4</v>
      </c>
      <c r="G54" s="9">
        <f>IF(_xlfn.XLOOKUP(Uncounted[[#This Row],[Grade]],GPAScale[Grade],GPAScale[Graded]),Uncounted[[#This Row],[AH]],0)</f>
        <v>4</v>
      </c>
      <c r="H54" s="9" t="s">
        <v>143</v>
      </c>
      <c r="I54" s="11">
        <f>_xlfn.XLOOKUP(Uncounted[[#This Row],[Grade]],GPAScale[Grade],GPAScale[Points])</f>
        <v>1.3</v>
      </c>
      <c r="T54" s="9"/>
      <c r="U54" s="9"/>
      <c r="V54" s="9"/>
      <c r="W54" s="9"/>
      <c r="AA54" s="3"/>
      <c r="AB54" s="3"/>
      <c r="AC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>
      <c r="B55" s="1" t="s">
        <v>150</v>
      </c>
      <c r="C55" s="1" t="s">
        <v>151</v>
      </c>
      <c r="D55" s="9" t="s">
        <v>238</v>
      </c>
      <c r="E55" s="9">
        <v>2</v>
      </c>
      <c r="F55" s="9">
        <f>IF(_xlfn.XLOOKUP(Uncounted[[#This Row],[Grade]],GPAScale[Grade],GPAScale[Earned]),Uncounted[[#This Row],[AH]],0)</f>
        <v>2</v>
      </c>
      <c r="G55" s="9">
        <f>IF(_xlfn.XLOOKUP(Uncounted[[#This Row],[Grade]],GPAScale[Grade],GPAScale[Graded]),Uncounted[[#This Row],[AH]],0)</f>
        <v>2</v>
      </c>
      <c r="H55" s="9" t="s">
        <v>60</v>
      </c>
      <c r="I55" s="11">
        <f>_xlfn.XLOOKUP(Uncounted[[#This Row],[Grade]],GPAScale[Grade],GPAScale[Points])</f>
        <v>3.7000000000000002</v>
      </c>
      <c r="S55" s="9"/>
      <c r="T55" s="4"/>
      <c r="U55" s="9"/>
      <c r="V55" s="4"/>
      <c r="W55" s="4"/>
      <c r="AA55" s="3"/>
      <c r="AB55" s="3"/>
      <c r="AC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>
      <c r="B56" s="1" t="s">
        <v>74</v>
      </c>
      <c r="C56" s="1" t="s">
        <v>75</v>
      </c>
      <c r="D56" s="9" t="s">
        <v>214</v>
      </c>
      <c r="E56" s="9">
        <v>5</v>
      </c>
      <c r="F56" s="9">
        <f>IF(_xlfn.XLOOKUP(Uncounted[[#This Row],[Grade]],GPAScale[Grade],GPAScale[Earned]),Uncounted[[#This Row],[AH]],0)</f>
        <v>5</v>
      </c>
      <c r="G56" s="9">
        <f>IF(_xlfn.XLOOKUP(Uncounted[[#This Row],[Grade]],GPAScale[Grade],GPAScale[Graded]),Uncounted[[#This Row],[AH]],0)</f>
        <v>5</v>
      </c>
      <c r="H56" s="9" t="s">
        <v>23</v>
      </c>
      <c r="I56" s="11">
        <f>_xlfn.XLOOKUP(Uncounted[[#This Row],[Grade]],GPAScale[Grade],GPAScale[Points])</f>
        <v>4</v>
      </c>
      <c r="T56" s="9"/>
      <c r="V56" s="16"/>
      <c r="W56" s="11"/>
      <c r="AA56" s="3"/>
      <c r="AB56" s="3"/>
      <c r="AC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>
      <c r="B57" s="1" t="s">
        <v>79</v>
      </c>
      <c r="C57" s="1" t="s">
        <v>80</v>
      </c>
      <c r="D57" s="9" t="s">
        <v>26</v>
      </c>
      <c r="E57" s="9">
        <v>3</v>
      </c>
      <c r="F57" s="9">
        <f>IF(_xlfn.XLOOKUP(Uncounted[[#This Row],[Grade]],GPAScale[Grade],GPAScale[Earned]),Uncounted[[#This Row],[AH]],0)</f>
        <v>0</v>
      </c>
      <c r="G57" s="9">
        <f>IF(_xlfn.XLOOKUP(Uncounted[[#This Row],[Grade]],GPAScale[Grade],GPAScale[Graded]),Uncounted[[#This Row],[AH]],0)</f>
        <v>0</v>
      </c>
      <c r="H57" s="9" t="s">
        <v>76</v>
      </c>
      <c r="I57" s="11">
        <f>_xlfn.XLOOKUP(Uncounted[[#This Row],[Grade]],GPAScale[Grade],GPAScale[Points])</f>
        <v>0</v>
      </c>
      <c r="S57" s="25"/>
      <c r="T57" s="9"/>
      <c r="V57" s="16"/>
      <c r="W57" s="11"/>
      <c r="AA57" s="3"/>
      <c r="AB57" s="3"/>
      <c r="AC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>
      <c r="B58" s="8" t="s">
        <v>165</v>
      </c>
      <c r="C58" s="8" t="s">
        <v>166</v>
      </c>
      <c r="D58" s="14" t="s">
        <v>51</v>
      </c>
      <c r="E58" s="14">
        <v>3</v>
      </c>
      <c r="F58" s="14">
        <f>IF(_xlfn.XLOOKUP(Uncounted[[#This Row],[Grade]],GPAScale[Grade],GPAScale[Earned]),Uncounted[[#This Row],[AH]],0)</f>
        <v>3</v>
      </c>
      <c r="G58" s="14">
        <f>IF(_xlfn.XLOOKUP(Uncounted[[#This Row],[Grade]],GPAScale[Grade],GPAScale[Graded]),Uncounted[[#This Row],[AH]],0)</f>
        <v>3</v>
      </c>
      <c r="H58" s="14" t="s">
        <v>23</v>
      </c>
      <c r="I58" s="15">
        <f>_xlfn.XLOOKUP(Uncounted[[#This Row],[Grade]],GPAScale[Grade],GPAScale[Points])</f>
        <v>4</v>
      </c>
      <c r="T58" s="9"/>
      <c r="V58" s="16"/>
      <c r="W58" s="11"/>
      <c r="AA58" s="3"/>
      <c r="AB58" s="3"/>
      <c r="AC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>
      <c r="B59" s="4"/>
      <c r="C59" s="9"/>
      <c r="D59" s="4"/>
      <c r="E59" s="9">
        <f>SUBTOTAL(109,Uncounted[AH])</f>
        <v>74</v>
      </c>
      <c r="F59" s="4">
        <f>SUBTOTAL(109,Uncounted[EH])</f>
        <v>52</v>
      </c>
      <c r="G59" s="4">
        <f>SUBTOTAL(109,Uncounted[GH])</f>
        <v>38</v>
      </c>
      <c r="H59" s="4">
        <f>Uncounted[[#Totals],[GPA]]*Uncounted[[#Totals],[GH]]</f>
        <v>105.80000000000001</v>
      </c>
      <c r="I59" s="12">
        <f t="array" ref="I59">IFERROR(SUM(Uncounted[GPA]*Uncounted[GH])/Uncounted[[#Totals],[GH]],0)</f>
        <v>2.7842105263157899</v>
      </c>
      <c r="AA59" s="3"/>
      <c r="AB59" s="3"/>
      <c r="AC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>
      <c r="AA60" s="3"/>
      <c r="AB60" s="3"/>
      <c r="AC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>
      <c r="B61" s="5" t="s">
        <v>239</v>
      </c>
      <c r="C61" s="6"/>
      <c r="D61" s="6"/>
      <c r="E61" s="6"/>
      <c r="F61" s="6"/>
      <c r="G61" s="6"/>
      <c r="H61" s="6"/>
      <c r="I61" s="7"/>
      <c r="AA61" s="3"/>
      <c r="AB61" s="3"/>
      <c r="AC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>
      <c r="B62" s="9" t="s">
        <v>10</v>
      </c>
      <c r="C62" s="9" t="s">
        <v>11</v>
      </c>
      <c r="D62" s="9" t="s">
        <v>12</v>
      </c>
      <c r="E62" s="9" t="s">
        <v>13</v>
      </c>
      <c r="F62" s="9" t="s">
        <v>14</v>
      </c>
      <c r="G62" s="9" t="s">
        <v>15</v>
      </c>
      <c r="H62" s="9" t="s">
        <v>16</v>
      </c>
      <c r="I62" s="9" t="s">
        <v>17</v>
      </c>
      <c r="AA62" s="3"/>
      <c r="AB62" s="3"/>
      <c r="AC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>
      <c r="B63" s="1" t="s">
        <v>240</v>
      </c>
      <c r="C63" s="1" t="s">
        <v>241</v>
      </c>
      <c r="D63" s="9" t="s">
        <v>88</v>
      </c>
      <c r="E63" s="9">
        <v>3</v>
      </c>
      <c r="F63" s="9">
        <f>IF(_xlfn.XLOOKUP(GameMinor[[#This Row],[Grade]],GPAScale[Grade],GPAScale[Earned]),GameMinor[[#This Row],[AH]],0)</f>
        <v>0</v>
      </c>
      <c r="G63" s="9">
        <f>IF(_xlfn.XLOOKUP(GameMinor[[#This Row],[Grade]],GPAScale[Grade],GPAScale[Graded]),GameMinor[[#This Row],[AH]],0)</f>
        <v>0</v>
      </c>
      <c r="H63" s="9"/>
      <c r="I63" s="11">
        <f>_xlfn.XLOOKUP(GameMinor[[#This Row],[Grade]],GPAScale[Grade],GPAScale[Points])</f>
        <v>0</v>
      </c>
      <c r="AA63" s="3"/>
      <c r="AB63" s="3"/>
      <c r="AC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>
      <c r="B64" s="1" t="s">
        <v>242</v>
      </c>
      <c r="C64" s="1" t="s">
        <v>243</v>
      </c>
      <c r="D64" s="9" t="s">
        <v>160</v>
      </c>
      <c r="E64" s="9">
        <v>3</v>
      </c>
      <c r="F64" s="9">
        <f>IF(_xlfn.XLOOKUP(GameMinor[[#This Row],[Grade]],GPAScale[Grade],GPAScale[Earned]),GameMinor[[#This Row],[AH]],0)</f>
        <v>0</v>
      </c>
      <c r="G64" s="9">
        <f>IF(_xlfn.XLOOKUP(GameMinor[[#This Row],[Grade]],GPAScale[Grade],GPAScale[Graded]),GameMinor[[#This Row],[AH]],0)</f>
        <v>0</v>
      </c>
      <c r="H64" s="9"/>
      <c r="I64" s="11">
        <f>_xlfn.XLOOKUP(GameMinor[[#This Row],[Grade]],GPAScale[Grade],GPAScale[Points])</f>
        <v>0</v>
      </c>
      <c r="AA64" s="3"/>
      <c r="AB64" s="3"/>
      <c r="AC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>
      <c r="B65" s="1" t="s">
        <v>244</v>
      </c>
      <c r="C65" s="1" t="s">
        <v>245</v>
      </c>
      <c r="D65" s="9" t="s">
        <v>88</v>
      </c>
      <c r="E65" s="9">
        <v>3</v>
      </c>
      <c r="F65" s="9">
        <f>IF(_xlfn.XLOOKUP(GameMinor[[#This Row],[Grade]],GPAScale[Grade],GPAScale[Earned]),GameMinor[[#This Row],[AH]],0)</f>
        <v>0</v>
      </c>
      <c r="G65" s="9">
        <f>IF(_xlfn.XLOOKUP(GameMinor[[#This Row],[Grade]],GPAScale[Grade],GPAScale[Graded]),GameMinor[[#This Row],[AH]],0)</f>
        <v>0</v>
      </c>
      <c r="H65" s="9"/>
      <c r="I65" s="11">
        <f>_xlfn.XLOOKUP(GameMinor[[#This Row],[Grade]],GPAScale[Grade],GPAScale[Points])</f>
        <v>0</v>
      </c>
      <c r="AA65" s="3"/>
      <c r="AB65" s="3"/>
      <c r="AC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>
      <c r="B66" s="1" t="s">
        <v>246</v>
      </c>
      <c r="C66" s="1" t="s">
        <v>247</v>
      </c>
      <c r="D66" s="9" t="s">
        <v>248</v>
      </c>
      <c r="E66" s="9">
        <v>3</v>
      </c>
      <c r="F66" s="9">
        <f>IF(_xlfn.XLOOKUP(GameMinor[[#This Row],[Grade]],GPAScale[Grade],GPAScale[Earned]),GameMinor[[#This Row],[AH]],0)</f>
        <v>0</v>
      </c>
      <c r="G66" s="9">
        <f>IF(_xlfn.XLOOKUP(GameMinor[[#This Row],[Grade]],GPAScale[Grade],GPAScale[Graded]),GameMinor[[#This Row],[AH]],0)</f>
        <v>0</v>
      </c>
      <c r="H66" s="9"/>
      <c r="I66" s="11">
        <f>_xlfn.XLOOKUP(GameMinor[[#This Row],[Grade]],GPAScale[Grade],GPAScale[Points])</f>
        <v>0</v>
      </c>
      <c r="AA66" s="3"/>
      <c r="AB66" s="3"/>
      <c r="AC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>
      <c r="B67" s="1" t="s">
        <v>249</v>
      </c>
      <c r="C67" s="1" t="s">
        <v>250</v>
      </c>
      <c r="D67" s="9" t="s">
        <v>111</v>
      </c>
      <c r="E67" s="9">
        <v>3</v>
      </c>
      <c r="F67" s="9">
        <f>IF(_xlfn.XLOOKUP(GameMinor[[#This Row],[Grade]],GPAScale[Grade],GPAScale[Earned]),GameMinor[[#This Row],[AH]],0)</f>
        <v>0</v>
      </c>
      <c r="G67" s="9">
        <f>IF(_xlfn.XLOOKUP(GameMinor[[#This Row],[Grade]],GPAScale[Grade],GPAScale[Graded]),GameMinor[[#This Row],[AH]],0)</f>
        <v>0</v>
      </c>
      <c r="H67" s="9"/>
      <c r="I67" s="11">
        <f>_xlfn.XLOOKUP(GameMinor[[#This Row],[Grade]],GPAScale[Grade],GPAScale[Points])</f>
        <v>0</v>
      </c>
      <c r="AA67" s="3"/>
      <c r="AB67" s="3"/>
      <c r="AC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>
      <c r="B68" s="4"/>
      <c r="C68" s="9"/>
      <c r="D68" s="4"/>
      <c r="E68" s="9">
        <f>SUBTOTAL(109,GameMinor[AH])</f>
        <v>15</v>
      </c>
      <c r="F68" s="4">
        <f>SUBTOTAL(109,GameMinor[EH])</f>
        <v>0</v>
      </c>
      <c r="G68" s="4">
        <f>SUBTOTAL(109,GameMinor[GH])</f>
        <v>0</v>
      </c>
      <c r="H68" s="4">
        <f>GameMinor[[#Totals],[GPA]]*GameMinor[[#Totals],[GH]]</f>
        <v>0</v>
      </c>
      <c r="I68" s="12">
        <f t="array" ref="I68">IFERROR(SUM(GameMinor[GPA]*GameMinor[GH])/GameMinor[[#Totals],[GH]],0)</f>
        <v>0</v>
      </c>
      <c r="AA68" s="3"/>
      <c r="AB68" s="3"/>
      <c r="AC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>
      <c r="AA69" s="3"/>
      <c r="AB69" s="3"/>
      <c r="AC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>
      <c r="AA70" s="3"/>
      <c r="AB70" s="3"/>
      <c r="AC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>
      <c r="AA71" s="3"/>
      <c r="AB71" s="3"/>
      <c r="AC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>
      <c r="AA72" s="3"/>
      <c r="AB72" s="3"/>
      <c r="AC72" s="3"/>
      <c r="AF72" s="3"/>
      <c r="AG72" s="3"/>
      <c r="AH72" s="3"/>
      <c r="AI72" s="3"/>
      <c r="AJ72" s="3"/>
      <c r="AK72" s="3"/>
      <c r="AP72" s="3"/>
      <c r="AQ72" s="3"/>
      <c r="AR72" s="3"/>
      <c r="AS72" s="3"/>
      <c r="AX72" s="3"/>
      <c r="AY72" s="3"/>
      <c r="AZ72" s="3"/>
      <c r="BA72" s="3"/>
      <c r="BF72" s="3"/>
      <c r="BG72" s="3"/>
      <c r="BH72" s="3"/>
      <c r="BI72" s="3"/>
      <c r="BN72" s="3"/>
      <c r="BO72" s="3"/>
      <c r="BP72" s="3"/>
      <c r="BQ72" s="3"/>
      <c r="BV72" s="3"/>
      <c r="BW72" s="3"/>
      <c r="BX72" s="3"/>
      <c r="BY72" s="3"/>
    </row>
    <row r="73">
      <c r="AA73" s="3"/>
      <c r="AB73" s="3"/>
      <c r="AC73" s="3"/>
      <c r="AF73" s="3"/>
      <c r="AG73" s="3"/>
      <c r="AH73" s="3"/>
      <c r="AI73" s="3"/>
      <c r="AJ73" s="3"/>
      <c r="AK73" s="3"/>
      <c r="AP73" s="3"/>
      <c r="AQ73" s="3"/>
      <c r="AR73" s="3"/>
      <c r="AS73" s="3"/>
      <c r="AX73" s="3"/>
      <c r="AY73" s="3"/>
      <c r="AZ73" s="3"/>
      <c r="BA73" s="3"/>
      <c r="BF73" s="3"/>
      <c r="BG73" s="3"/>
      <c r="BH73" s="3"/>
      <c r="BI73" s="3"/>
      <c r="BN73" s="3"/>
      <c r="BO73" s="3"/>
      <c r="BP73" s="3"/>
      <c r="BQ73" s="3"/>
      <c r="BV73" s="3"/>
      <c r="BW73" s="3"/>
      <c r="BX73" s="3"/>
      <c r="BY73" s="3"/>
    </row>
    <row r="74">
      <c r="AA74" s="3"/>
      <c r="AB74" s="3"/>
      <c r="AC74" s="3"/>
      <c r="AF74" s="3"/>
      <c r="AG74" s="3"/>
      <c r="AH74" s="3"/>
      <c r="AP74" s="3"/>
      <c r="AX74" s="3"/>
      <c r="BF74" s="3"/>
      <c r="BN74" s="3"/>
      <c r="BV74" s="3"/>
    </row>
    <row r="75">
      <c r="AA75" s="3"/>
      <c r="AB75" s="3"/>
      <c r="AC75" s="3"/>
      <c r="AF75" s="3"/>
      <c r="AG75" s="3"/>
      <c r="AH75" s="3"/>
      <c r="AP75" s="3"/>
      <c r="AX75" s="3"/>
      <c r="BF75" s="3"/>
      <c r="BN75" s="3"/>
      <c r="BV75" s="3"/>
    </row>
    <row r="76">
      <c r="AA76" s="3"/>
      <c r="AB76" s="3"/>
      <c r="AC76" s="3"/>
      <c r="AF76" s="3"/>
      <c r="AG76" s="3"/>
      <c r="AH76" s="3"/>
      <c r="AP76" s="3"/>
      <c r="AX76" s="3"/>
      <c r="BF76" s="3"/>
      <c r="BN76" s="3"/>
      <c r="BV76" s="3"/>
    </row>
    <row r="77">
      <c r="AA77" s="3"/>
      <c r="AB77" s="3"/>
      <c r="AC77" s="3"/>
      <c r="AF77" s="3"/>
      <c r="AG77" s="3"/>
      <c r="AH77" s="3"/>
      <c r="AP77" s="3"/>
      <c r="AX77" s="3"/>
      <c r="BF77" s="3"/>
      <c r="BN77" s="3"/>
      <c r="BV77" s="3"/>
    </row>
    <row r="78">
      <c r="AA78" s="3"/>
      <c r="AB78" s="3"/>
      <c r="AC78" s="3"/>
      <c r="AF78" s="3"/>
      <c r="AG78" s="3"/>
      <c r="AH78" s="3"/>
      <c r="AP78" s="3"/>
      <c r="AX78" s="3"/>
      <c r="BF78" s="3"/>
      <c r="BN78" s="3"/>
      <c r="BV78" s="3"/>
    </row>
    <row r="79">
      <c r="AA79" s="3"/>
      <c r="AB79" s="3"/>
      <c r="AC79" s="3"/>
      <c r="AF79" s="3"/>
      <c r="AG79" s="3"/>
      <c r="AH79" s="3"/>
      <c r="AP79" s="3"/>
      <c r="AX79" s="3"/>
      <c r="BF79" s="3"/>
      <c r="BN79" s="3"/>
      <c r="BV79" s="3"/>
    </row>
    <row r="80">
      <c r="AA80" s="3"/>
      <c r="AB80" s="3"/>
      <c r="AC80" s="3"/>
      <c r="AF80" s="3"/>
      <c r="AG80" s="3"/>
      <c r="AH80" s="3"/>
      <c r="AI80" s="8"/>
      <c r="AK80" s="8"/>
      <c r="AL80" s="8"/>
      <c r="AM80" s="8"/>
      <c r="AN80" s="8"/>
      <c r="AP80" s="3"/>
      <c r="AQ80" s="8"/>
      <c r="AS80" s="8"/>
      <c r="AT80" s="8"/>
      <c r="AU80" s="8"/>
      <c r="AV80" s="8"/>
      <c r="AX80" s="3"/>
      <c r="AY80" s="8"/>
      <c r="BA80" s="8"/>
      <c r="BB80" s="8"/>
      <c r="BC80" s="8"/>
      <c r="BD80" s="8"/>
      <c r="BF80" s="3"/>
      <c r="BG80" s="8"/>
      <c r="BI80" s="8"/>
      <c r="BJ80" s="8"/>
      <c r="BK80" s="8"/>
      <c r="BL80" s="8"/>
      <c r="BN80" s="3"/>
      <c r="BO80" s="8"/>
      <c r="BQ80" s="8"/>
      <c r="BR80" s="8"/>
      <c r="BS80" s="8"/>
      <c r="BT80" s="8"/>
      <c r="BV80" s="3"/>
      <c r="BW80" s="8"/>
      <c r="BY80" s="8"/>
      <c r="BZ80" s="8"/>
      <c r="CA80" s="8"/>
      <c r="CB80" s="8"/>
      <c r="CD80" s="1"/>
    </row>
    <row r="81">
      <c r="R81" s="3"/>
      <c r="S81" s="3"/>
      <c r="T81" s="3"/>
      <c r="AA81" s="3"/>
      <c r="AB81" s="3"/>
      <c r="AC81" s="3"/>
      <c r="AF81" s="3"/>
      <c r="AG81" s="3"/>
      <c r="AH81" s="3"/>
      <c r="AI81" s="9"/>
      <c r="AK81" s="9"/>
      <c r="AL81" s="9"/>
      <c r="AM81" s="9"/>
      <c r="AN81" s="9"/>
      <c r="AP81" s="3"/>
      <c r="AQ81" s="9"/>
      <c r="AS81" s="9"/>
      <c r="AT81" s="9"/>
      <c r="AU81" s="9"/>
      <c r="AV81" s="9"/>
      <c r="AX81" s="3"/>
      <c r="AY81" s="9"/>
      <c r="BA81" s="9"/>
      <c r="BB81" s="9"/>
      <c r="BC81" s="9"/>
      <c r="BD81" s="9"/>
      <c r="BF81" s="3"/>
      <c r="BG81" s="9"/>
      <c r="BI81" s="9"/>
      <c r="BJ81" s="9"/>
      <c r="BK81" s="9"/>
      <c r="BL81" s="9"/>
      <c r="BN81" s="3"/>
      <c r="BO81" s="9"/>
      <c r="BQ81" s="9"/>
      <c r="BR81" s="9"/>
      <c r="BS81" s="9"/>
      <c r="BT81" s="9"/>
      <c r="BV81" s="3"/>
      <c r="BW81" s="9"/>
      <c r="BY81" s="9"/>
      <c r="BZ81" s="9"/>
      <c r="CA81" s="9"/>
      <c r="CB81" s="9"/>
      <c r="CD81" s="9"/>
    </row>
    <row r="82">
      <c r="R82" s="3"/>
      <c r="S82" s="3"/>
      <c r="T82" s="3"/>
      <c r="AA82" s="3"/>
      <c r="AB82" s="3"/>
      <c r="AC82" s="3"/>
      <c r="AF82" s="3"/>
      <c r="AG82" s="3"/>
      <c r="AH82" s="3"/>
      <c r="AI82" s="9"/>
      <c r="AM82" s="9"/>
      <c r="AN82" s="9"/>
      <c r="AP82" s="3"/>
      <c r="AQ82" s="9"/>
      <c r="AU82" s="9"/>
      <c r="AV82" s="9"/>
      <c r="AX82" s="3"/>
      <c r="AY82" s="9"/>
      <c r="BC82" s="9"/>
      <c r="BD82" s="9"/>
      <c r="BF82" s="3"/>
      <c r="BG82" s="9"/>
      <c r="BK82" s="9"/>
      <c r="BL82" s="9"/>
      <c r="BN82" s="3"/>
      <c r="BO82" s="9"/>
      <c r="BS82" s="9"/>
      <c r="BT82" s="9"/>
      <c r="BV82" s="3"/>
      <c r="BW82" s="9"/>
      <c r="CA82" s="9"/>
      <c r="CB82" s="9"/>
      <c r="CD82" s="9"/>
    </row>
    <row r="83">
      <c r="R83" s="3"/>
      <c r="S83" s="3"/>
      <c r="T83" s="3"/>
      <c r="AA83" s="3"/>
      <c r="AB83" s="3"/>
      <c r="AC83" s="3"/>
      <c r="AF83" s="3"/>
      <c r="AG83" s="3"/>
      <c r="AH83" s="3"/>
      <c r="AI83" s="9"/>
      <c r="AM83" s="9"/>
      <c r="AN83" s="9"/>
      <c r="AP83" s="3"/>
      <c r="AQ83" s="9"/>
      <c r="AU83" s="9"/>
      <c r="AV83" s="9"/>
      <c r="AX83" s="3"/>
      <c r="AY83" s="9"/>
      <c r="BC83" s="9"/>
      <c r="BD83" s="9"/>
      <c r="BF83" s="3"/>
      <c r="BG83" s="9"/>
      <c r="BK83" s="9"/>
      <c r="BL83" s="9"/>
      <c r="BN83" s="3"/>
      <c r="BO83" s="9"/>
      <c r="BS83" s="9"/>
      <c r="BT83" s="9"/>
      <c r="BV83" s="3"/>
      <c r="BW83" s="9"/>
      <c r="CA83" s="9"/>
      <c r="CB83" s="9"/>
      <c r="CD83" s="9"/>
    </row>
    <row r="84">
      <c r="R84" s="3"/>
      <c r="S84" s="3"/>
      <c r="T84" s="3"/>
      <c r="AA84" s="3"/>
      <c r="AB84" s="3"/>
      <c r="AC84" s="3"/>
      <c r="AF84" s="3"/>
      <c r="AG84" s="3"/>
      <c r="AH84" s="3"/>
      <c r="AI84" s="9"/>
      <c r="AM84" s="9"/>
      <c r="AN84" s="9"/>
      <c r="AP84" s="3"/>
      <c r="AQ84" s="9"/>
      <c r="AU84" s="9"/>
      <c r="AV84" s="9"/>
      <c r="AX84" s="3"/>
      <c r="AY84" s="9"/>
      <c r="BC84" s="9"/>
      <c r="BD84" s="9"/>
      <c r="BF84" s="3"/>
      <c r="BG84" s="9"/>
      <c r="BK84" s="9"/>
      <c r="BL84" s="9"/>
      <c r="BN84" s="3"/>
      <c r="BO84" s="9"/>
      <c r="BS84" s="9"/>
      <c r="BT84" s="9"/>
      <c r="BV84" s="3"/>
      <c r="BW84" s="9"/>
      <c r="CA84" s="9"/>
      <c r="CB84" s="9"/>
      <c r="CD84" s="9"/>
    </row>
    <row r="85">
      <c r="R85" s="3"/>
      <c r="S85" s="3"/>
      <c r="T85" s="3"/>
      <c r="AA85" s="3"/>
      <c r="AB85" s="3"/>
      <c r="AC85" s="3"/>
      <c r="AF85" s="3"/>
      <c r="AG85" s="3"/>
      <c r="AH85" s="3"/>
      <c r="AI85" s="9"/>
      <c r="AM85" s="9"/>
      <c r="AN85" s="9"/>
      <c r="AP85" s="3"/>
      <c r="AQ85" s="9"/>
      <c r="AU85" s="9"/>
      <c r="AV85" s="9"/>
      <c r="AX85" s="3"/>
      <c r="AY85" s="9"/>
      <c r="BC85" s="9"/>
      <c r="BD85" s="9"/>
      <c r="BF85" s="3"/>
      <c r="BG85" s="9"/>
      <c r="BK85" s="9"/>
      <c r="BL85" s="9"/>
      <c r="BN85" s="3"/>
      <c r="BO85" s="9"/>
      <c r="BS85" s="9"/>
      <c r="BT85" s="9"/>
      <c r="BV85" s="3"/>
      <c r="BW85" s="9"/>
      <c r="CA85" s="9"/>
      <c r="CB85" s="9"/>
      <c r="CD85" s="9"/>
    </row>
    <row r="86">
      <c r="R86" s="3"/>
      <c r="S86" s="3"/>
      <c r="T86" s="3"/>
      <c r="AC86" s="9"/>
      <c r="AD86" s="9"/>
      <c r="AE86" s="1"/>
      <c r="AF86" s="1"/>
      <c r="AG86" s="1"/>
      <c r="AH86" s="9"/>
      <c r="AI86" s="9"/>
      <c r="AM86" s="9"/>
      <c r="AN86" s="9"/>
      <c r="AP86" s="9"/>
      <c r="AQ86" s="9"/>
      <c r="AU86" s="9"/>
      <c r="AV86" s="9"/>
      <c r="AX86" s="9"/>
      <c r="AY86" s="9"/>
      <c r="BC86" s="9"/>
      <c r="BD86" s="9"/>
      <c r="BF86" s="9"/>
      <c r="BG86" s="9"/>
      <c r="BK86" s="9"/>
      <c r="BL86" s="9"/>
      <c r="BN86" s="9"/>
      <c r="BO86" s="9"/>
      <c r="BS86" s="9"/>
      <c r="BT86" s="9"/>
      <c r="BV86" s="9"/>
      <c r="BW86" s="9"/>
      <c r="CA86" s="9"/>
      <c r="CB86" s="9"/>
      <c r="CD86" s="9"/>
    </row>
    <row r="87">
      <c r="R87" s="3"/>
      <c r="S87" s="3"/>
      <c r="T87" s="3"/>
      <c r="AB87" s="9"/>
      <c r="AD87" s="16"/>
      <c r="AE87" s="1"/>
      <c r="AF87" s="1"/>
      <c r="AG87" s="9"/>
      <c r="AH87" s="1"/>
      <c r="AI87" s="16"/>
      <c r="AL87" s="9"/>
      <c r="AN87" s="16"/>
      <c r="AP87" s="1"/>
      <c r="AQ87" s="16"/>
      <c r="AT87" s="9"/>
      <c r="AV87" s="16"/>
      <c r="AX87" s="1"/>
      <c r="AY87" s="16"/>
      <c r="BB87" s="9"/>
      <c r="BD87" s="16"/>
      <c r="BF87" s="1"/>
      <c r="BG87" s="16"/>
      <c r="BJ87" s="9"/>
      <c r="BL87" s="16"/>
      <c r="BN87" s="1"/>
      <c r="BO87" s="16"/>
      <c r="BR87" s="9"/>
      <c r="BT87" s="16"/>
      <c r="BV87" s="1"/>
      <c r="BW87" s="16"/>
      <c r="BZ87" s="9"/>
      <c r="CB87" s="16"/>
      <c r="CD87" s="1"/>
    </row>
    <row r="88">
      <c r="R88" s="3"/>
      <c r="S88" s="3"/>
      <c r="T88" s="3"/>
      <c r="AA88" s="25"/>
      <c r="AB88" s="9"/>
      <c r="AD88" s="16"/>
      <c r="AE88" s="1"/>
      <c r="AF88" s="25"/>
      <c r="AG88" s="9"/>
      <c r="AH88" s="1"/>
      <c r="AI88" s="16"/>
      <c r="AK88" s="25"/>
      <c r="AL88" s="9"/>
      <c r="AN88" s="16"/>
      <c r="AP88" s="1"/>
      <c r="AQ88" s="16"/>
      <c r="AS88" s="25"/>
      <c r="AT88" s="9"/>
      <c r="AV88" s="16"/>
      <c r="AX88" s="1"/>
      <c r="AY88" s="16"/>
      <c r="BA88" s="25"/>
      <c r="BB88" s="9"/>
      <c r="BD88" s="16"/>
      <c r="BF88" s="1"/>
      <c r="BG88" s="16"/>
      <c r="BI88" s="25"/>
      <c r="BJ88" s="9"/>
      <c r="BL88" s="16"/>
      <c r="BN88" s="1"/>
      <c r="BO88" s="16"/>
      <c r="BQ88" s="25"/>
      <c r="BR88" s="9"/>
      <c r="BT88" s="16"/>
      <c r="BV88" s="1"/>
      <c r="BW88" s="16"/>
      <c r="BY88" s="25"/>
      <c r="BZ88" s="9"/>
      <c r="CB88" s="16"/>
      <c r="CD88" s="1"/>
    </row>
    <row r="89">
      <c r="R89" s="3"/>
      <c r="S89" s="3"/>
      <c r="T89" s="3"/>
      <c r="AB89" s="9"/>
      <c r="AD89" s="16"/>
      <c r="AE89" s="1"/>
      <c r="AF89" s="1"/>
      <c r="AG89" s="9"/>
      <c r="AH89" s="1"/>
      <c r="AI89" s="16"/>
      <c r="AL89" s="9"/>
      <c r="AN89" s="16"/>
      <c r="AP89" s="1"/>
      <c r="AQ89" s="16"/>
      <c r="AT89" s="9"/>
      <c r="AV89" s="16"/>
      <c r="AX89" s="1"/>
      <c r="AY89" s="16"/>
      <c r="BB89" s="9"/>
      <c r="BD89" s="16"/>
      <c r="BF89" s="1"/>
      <c r="BG89" s="16"/>
      <c r="BJ89" s="9"/>
      <c r="BL89" s="16"/>
      <c r="BN89" s="1"/>
      <c r="BO89" s="16"/>
      <c r="BR89" s="9"/>
      <c r="BT89" s="16"/>
      <c r="BV89" s="1"/>
      <c r="BW89" s="16"/>
      <c r="BZ89" s="9"/>
      <c r="CB89" s="16"/>
      <c r="CD89" s="1"/>
    </row>
    <row r="90">
      <c r="R90" s="3"/>
      <c r="S90" s="3"/>
      <c r="T90" s="3"/>
      <c r="AD90" s="1"/>
      <c r="AE90" s="1"/>
      <c r="AF90" s="1"/>
      <c r="AG90" s="1"/>
      <c r="AH90" s="1"/>
      <c r="AI90" s="1"/>
      <c r="AP90" s="1"/>
      <c r="AQ90" s="1"/>
      <c r="AX90" s="1"/>
      <c r="AY90" s="1"/>
      <c r="BF90" s="1"/>
      <c r="BG90" s="1"/>
      <c r="BN90" s="1"/>
      <c r="BO90" s="1"/>
      <c r="BV90" s="1"/>
      <c r="BW90" s="1"/>
      <c r="CD90" s="1"/>
    </row>
    <row r="91">
      <c r="R91" s="3"/>
      <c r="S91" s="3"/>
      <c r="T91" s="3"/>
      <c r="AA91" s="8"/>
      <c r="AB91" s="8"/>
      <c r="AC91" s="8"/>
      <c r="AD91" s="8"/>
      <c r="AE91" s="1"/>
      <c r="AF91" s="8"/>
      <c r="AG91" s="8"/>
      <c r="AH91" s="8"/>
      <c r="AI91" s="8"/>
      <c r="AK91" s="8"/>
      <c r="AL91" s="8"/>
      <c r="AM91" s="8"/>
      <c r="AN91" s="8"/>
      <c r="AP91" s="8"/>
      <c r="AQ91" s="8"/>
      <c r="AS91" s="8"/>
      <c r="AT91" s="8"/>
      <c r="AU91" s="8"/>
      <c r="AV91" s="8"/>
      <c r="AX91" s="8"/>
      <c r="AY91" s="8"/>
      <c r="BA91" s="8"/>
      <c r="BB91" s="8"/>
      <c r="BC91" s="8"/>
      <c r="BD91" s="8"/>
      <c r="BF91" s="8"/>
      <c r="BG91" s="8"/>
      <c r="BI91" s="8"/>
      <c r="BJ91" s="8"/>
      <c r="BK91" s="8"/>
      <c r="BL91" s="8"/>
      <c r="BN91" s="8"/>
      <c r="BO91" s="8"/>
      <c r="BQ91" s="8"/>
      <c r="BR91" s="8"/>
      <c r="BS91" s="8"/>
      <c r="BT91" s="8"/>
      <c r="BV91" s="8"/>
      <c r="BW91" s="8"/>
      <c r="BY91" s="8"/>
      <c r="BZ91" s="8"/>
      <c r="CA91" s="8"/>
      <c r="CB91" s="8"/>
      <c r="CD91" s="1"/>
    </row>
    <row r="92">
      <c r="R92" s="3"/>
      <c r="S92" s="3"/>
      <c r="T92" s="3"/>
      <c r="AA92" s="9"/>
      <c r="AB92" s="9"/>
      <c r="AC92" s="9"/>
      <c r="AD92" s="9"/>
      <c r="AE92" s="1"/>
      <c r="AF92" s="9"/>
      <c r="AG92" s="9"/>
      <c r="AH92" s="9"/>
      <c r="AI92" s="9"/>
      <c r="AK92" s="9"/>
      <c r="AL92" s="9"/>
      <c r="AM92" s="9"/>
      <c r="AN92" s="9"/>
      <c r="AP92" s="9"/>
      <c r="AQ92" s="9"/>
      <c r="AS92" s="9"/>
      <c r="AT92" s="9"/>
      <c r="AU92" s="9"/>
      <c r="AV92" s="9"/>
      <c r="AX92" s="9"/>
      <c r="AY92" s="9"/>
      <c r="BA92" s="9"/>
      <c r="BB92" s="9"/>
      <c r="BC92" s="9"/>
      <c r="BD92" s="9"/>
      <c r="BF92" s="9"/>
      <c r="BG92" s="9"/>
      <c r="BI92" s="9"/>
      <c r="BJ92" s="9"/>
      <c r="BK92" s="9"/>
      <c r="BL92" s="9"/>
      <c r="BN92" s="9"/>
      <c r="BO92" s="9"/>
      <c r="BQ92" s="9"/>
      <c r="BR92" s="9"/>
      <c r="BS92" s="9"/>
      <c r="BT92" s="9"/>
      <c r="BV92" s="9"/>
      <c r="BW92" s="9"/>
      <c r="BY92" s="9"/>
      <c r="BZ92" s="9"/>
      <c r="CA92" s="9"/>
      <c r="CB92" s="9"/>
      <c r="CD92" s="9"/>
    </row>
    <row r="93">
      <c r="R93" s="3"/>
      <c r="S93" s="3"/>
      <c r="T93" s="3"/>
      <c r="AC93" s="9"/>
      <c r="AD93" s="9"/>
      <c r="AE93" s="1"/>
      <c r="AF93" s="1"/>
      <c r="AG93" s="1"/>
      <c r="AH93" s="9"/>
      <c r="AI93" s="9"/>
      <c r="AM93" s="9"/>
      <c r="AN93" s="9"/>
      <c r="AP93" s="9"/>
      <c r="AQ93" s="9"/>
      <c r="AU93" s="9"/>
      <c r="AV93" s="9"/>
      <c r="AX93" s="9"/>
      <c r="AY93" s="9"/>
      <c r="BC93" s="9"/>
      <c r="BD93" s="9"/>
      <c r="BF93" s="9"/>
      <c r="BG93" s="9"/>
      <c r="BK93" s="9"/>
      <c r="BL93" s="9"/>
      <c r="BN93" s="9"/>
      <c r="BO93" s="9"/>
      <c r="BS93" s="9"/>
      <c r="BT93" s="9"/>
      <c r="BV93" s="9"/>
      <c r="BW93" s="9"/>
      <c r="CA93" s="9"/>
      <c r="CB93" s="9"/>
      <c r="CD93" s="9"/>
    </row>
    <row r="94">
      <c r="R94" s="3"/>
      <c r="S94" s="3"/>
      <c r="T94" s="3"/>
      <c r="AC94" s="9"/>
      <c r="AD94" s="9"/>
      <c r="AE94" s="1"/>
      <c r="AF94" s="1"/>
      <c r="AG94" s="1"/>
      <c r="AH94" s="9"/>
      <c r="AI94" s="9"/>
      <c r="AM94" s="9"/>
      <c r="AN94" s="9"/>
      <c r="AP94" s="9"/>
      <c r="AQ94" s="9"/>
      <c r="AU94" s="9"/>
      <c r="AV94" s="9"/>
      <c r="AX94" s="9"/>
      <c r="AY94" s="9"/>
      <c r="BC94" s="9"/>
      <c r="BD94" s="9"/>
      <c r="BF94" s="9"/>
      <c r="BG94" s="9"/>
      <c r="BK94" s="9"/>
      <c r="BL94" s="9"/>
      <c r="BN94" s="9"/>
      <c r="BO94" s="9"/>
      <c r="BS94" s="9"/>
      <c r="BT94" s="9"/>
      <c r="BV94" s="9"/>
      <c r="BW94" s="9"/>
      <c r="CA94" s="9"/>
      <c r="CB94" s="9"/>
      <c r="CD94" s="9"/>
    </row>
    <row r="95">
      <c r="R95" s="3"/>
      <c r="S95" s="3"/>
      <c r="T95" s="3"/>
      <c r="AC95" s="9"/>
      <c r="AD95" s="9"/>
      <c r="AE95" s="1"/>
      <c r="AF95" s="1"/>
      <c r="AG95" s="1"/>
      <c r="AH95" s="9"/>
      <c r="AI95" s="9"/>
      <c r="AM95" s="9"/>
      <c r="AN95" s="9"/>
      <c r="AP95" s="9"/>
      <c r="AQ95" s="9"/>
      <c r="AU95" s="9"/>
      <c r="AV95" s="9"/>
      <c r="AX95" s="9"/>
      <c r="AY95" s="9"/>
      <c r="BC95" s="9"/>
      <c r="BD95" s="9"/>
      <c r="BF95" s="9"/>
      <c r="BG95" s="9"/>
      <c r="BK95" s="9"/>
      <c r="BL95" s="9"/>
      <c r="BN95" s="9"/>
      <c r="BO95" s="9"/>
      <c r="BS95" s="9"/>
      <c r="BT95" s="9"/>
      <c r="BV95" s="9"/>
      <c r="BW95" s="9"/>
      <c r="CA95" s="9"/>
      <c r="CB95" s="9"/>
      <c r="CD95" s="9"/>
    </row>
    <row r="96">
      <c r="R96" s="3"/>
      <c r="S96" s="3"/>
      <c r="T96" s="3"/>
      <c r="AC96" s="9"/>
      <c r="AD96" s="9"/>
      <c r="AE96" s="1"/>
      <c r="AF96" s="1"/>
      <c r="AG96" s="1"/>
      <c r="AH96" s="9"/>
      <c r="AI96" s="9"/>
      <c r="AM96" s="9"/>
      <c r="AN96" s="9"/>
      <c r="AP96" s="9"/>
      <c r="AQ96" s="9"/>
      <c r="AU96" s="9"/>
      <c r="AV96" s="9"/>
      <c r="AX96" s="9"/>
      <c r="AY96" s="9"/>
      <c r="BC96" s="9"/>
      <c r="BD96" s="9"/>
      <c r="BF96" s="9"/>
      <c r="BG96" s="9"/>
      <c r="BK96" s="9"/>
      <c r="BL96" s="9"/>
      <c r="BN96" s="9"/>
      <c r="BO96" s="9"/>
      <c r="BS96" s="9"/>
      <c r="BT96" s="9"/>
      <c r="BV96" s="9"/>
      <c r="BW96" s="9"/>
      <c r="CA96" s="9"/>
      <c r="CB96" s="9"/>
      <c r="CD96" s="9"/>
    </row>
    <row r="97">
      <c r="R97" s="3"/>
      <c r="S97" s="3"/>
      <c r="T97" s="3"/>
      <c r="AC97" s="9"/>
      <c r="AD97" s="9"/>
      <c r="AE97" s="1"/>
      <c r="AF97" s="1"/>
      <c r="AG97" s="1"/>
      <c r="AH97" s="9"/>
      <c r="AI97" s="9"/>
      <c r="AM97" s="9"/>
      <c r="AN97" s="9"/>
      <c r="AP97" s="9"/>
      <c r="AQ97" s="9"/>
      <c r="AU97" s="9"/>
      <c r="AV97" s="9"/>
      <c r="AX97" s="9"/>
      <c r="AY97" s="9"/>
      <c r="BC97" s="9"/>
      <c r="BD97" s="9"/>
      <c r="BF97" s="9"/>
      <c r="BG97" s="9"/>
      <c r="BK97" s="9"/>
      <c r="BL97" s="9"/>
      <c r="BN97" s="9"/>
      <c r="BO97" s="9"/>
      <c r="BS97" s="9"/>
      <c r="BT97" s="9"/>
      <c r="BV97" s="9"/>
      <c r="BW97" s="9"/>
      <c r="CA97" s="9"/>
      <c r="CB97" s="9"/>
      <c r="CD97" s="9"/>
    </row>
    <row r="98">
      <c r="R98" s="3"/>
      <c r="S98" s="3"/>
      <c r="T98" s="3"/>
      <c r="AB98" s="9"/>
      <c r="AD98" s="16"/>
      <c r="AE98" s="1"/>
      <c r="AF98" s="1"/>
      <c r="AG98" s="9"/>
      <c r="AH98" s="1"/>
      <c r="AI98" s="16"/>
      <c r="AL98" s="9"/>
      <c r="AN98" s="16"/>
      <c r="AP98" s="1"/>
      <c r="AQ98" s="16"/>
      <c r="AT98" s="9"/>
      <c r="AV98" s="16"/>
      <c r="AX98" s="1"/>
      <c r="AY98" s="16"/>
      <c r="BB98" s="9"/>
      <c r="BD98" s="16"/>
      <c r="BF98" s="1"/>
      <c r="BG98" s="16"/>
      <c r="BJ98" s="9"/>
      <c r="BL98" s="16"/>
      <c r="BN98" s="1"/>
      <c r="BO98" s="16"/>
      <c r="BR98" s="9"/>
      <c r="BT98" s="16"/>
      <c r="BV98" s="1"/>
      <c r="BW98" s="16"/>
      <c r="BZ98" s="9"/>
      <c r="CB98" s="16"/>
      <c r="CD98" s="1"/>
    </row>
    <row r="99">
      <c r="AA99" s="25"/>
      <c r="AB99" s="9"/>
      <c r="AD99" s="16"/>
      <c r="AE99" s="1"/>
      <c r="AF99" s="25"/>
      <c r="AG99" s="9"/>
      <c r="AH99" s="1"/>
      <c r="AI99" s="16"/>
      <c r="AK99" s="25"/>
      <c r="AL99" s="9"/>
      <c r="AN99" s="16"/>
      <c r="AP99" s="1"/>
      <c r="AQ99" s="16"/>
      <c r="AS99" s="25"/>
      <c r="AT99" s="9"/>
      <c r="AV99" s="16"/>
      <c r="AX99" s="1"/>
      <c r="AY99" s="16"/>
      <c r="BA99" s="25"/>
      <c r="BB99" s="9"/>
      <c r="BD99" s="16"/>
      <c r="BF99" s="1"/>
      <c r="BG99" s="16"/>
      <c r="BI99" s="25"/>
      <c r="BJ99" s="9"/>
      <c r="BL99" s="16"/>
      <c r="BN99" s="1"/>
      <c r="BO99" s="16"/>
      <c r="BQ99" s="25"/>
      <c r="BR99" s="9"/>
      <c r="BT99" s="16"/>
      <c r="BV99" s="1"/>
      <c r="BW99" s="16"/>
      <c r="BY99" s="25"/>
      <c r="BZ99" s="9"/>
      <c r="CB99" s="16"/>
      <c r="CD99" s="1"/>
    </row>
    <row r="100">
      <c r="AB100" s="9"/>
      <c r="AD100" s="16"/>
      <c r="AE100" s="1"/>
      <c r="AF100" s="1"/>
      <c r="AG100" s="9"/>
      <c r="AH100" s="1"/>
      <c r="AI100" s="16"/>
      <c r="AL100" s="9"/>
      <c r="AN100" s="16"/>
      <c r="AP100" s="1"/>
      <c r="AQ100" s="16"/>
      <c r="AT100" s="9"/>
      <c r="AV100" s="16"/>
      <c r="AX100" s="1"/>
      <c r="AY100" s="16"/>
      <c r="BB100" s="9"/>
      <c r="BD100" s="16"/>
      <c r="BF100" s="1"/>
      <c r="BG100" s="16"/>
      <c r="BJ100" s="9"/>
      <c r="BL100" s="16"/>
      <c r="BN100" s="1"/>
      <c r="BO100" s="16"/>
      <c r="BR100" s="9"/>
      <c r="BT100" s="16"/>
      <c r="BV100" s="1"/>
      <c r="BW100" s="16"/>
      <c r="BZ100" s="9"/>
      <c r="CB100" s="16"/>
      <c r="CD100" s="1"/>
    </row>
    <row r="101">
      <c r="AD101" s="1"/>
      <c r="AE101" s="1"/>
      <c r="AF101" s="1"/>
      <c r="AG101" s="1"/>
      <c r="AH101" s="1"/>
      <c r="AI101" s="1"/>
      <c r="AP101" s="1"/>
      <c r="AQ101" s="1"/>
      <c r="AX101" s="1"/>
      <c r="AY101" s="1"/>
      <c r="BF101" s="1"/>
      <c r="BG101" s="1"/>
      <c r="BN101" s="1"/>
      <c r="BO101" s="1"/>
      <c r="BV101" s="1"/>
      <c r="BW101" s="1"/>
      <c r="CD101" s="1"/>
    </row>
    <row r="102">
      <c r="AA102" s="8"/>
      <c r="AB102" s="8"/>
      <c r="AC102" s="8"/>
      <c r="AD102" s="8"/>
      <c r="AE102" s="1"/>
      <c r="AF102" s="8"/>
      <c r="AG102" s="8"/>
      <c r="AH102" s="8"/>
      <c r="AI102" s="8"/>
      <c r="AK102" s="8"/>
      <c r="AL102" s="8"/>
      <c r="AM102" s="8"/>
      <c r="AN102" s="8"/>
      <c r="AP102" s="8"/>
      <c r="AQ102" s="8"/>
      <c r="AS102" s="8"/>
      <c r="AT102" s="8"/>
      <c r="AU102" s="8"/>
      <c r="AV102" s="8"/>
      <c r="AX102" s="8"/>
      <c r="AY102" s="8"/>
      <c r="BA102" s="8"/>
      <c r="BB102" s="8"/>
      <c r="BC102" s="8"/>
      <c r="BD102" s="8"/>
      <c r="BF102" s="8"/>
      <c r="BG102" s="8"/>
      <c r="BI102" s="8"/>
      <c r="BJ102" s="8"/>
      <c r="BK102" s="8"/>
      <c r="BL102" s="8"/>
      <c r="BN102" s="8"/>
      <c r="BO102" s="8"/>
      <c r="BQ102" s="8"/>
      <c r="BR102" s="8"/>
      <c r="BS102" s="8"/>
      <c r="BT102" s="8"/>
      <c r="BV102" s="8"/>
      <c r="BW102" s="8"/>
      <c r="BY102" s="8"/>
      <c r="BZ102" s="8"/>
      <c r="CA102" s="8"/>
      <c r="CB102" s="8"/>
      <c r="CD102" s="1"/>
    </row>
    <row r="103">
      <c r="AA103" s="9"/>
      <c r="AB103" s="9"/>
      <c r="AC103" s="9"/>
      <c r="AD103" s="9"/>
      <c r="AE103" s="1"/>
      <c r="AF103" s="9"/>
      <c r="AG103" s="9"/>
      <c r="AH103" s="9"/>
      <c r="AI103" s="9"/>
      <c r="AK103" s="9"/>
      <c r="AL103" s="9"/>
      <c r="AM103" s="9"/>
      <c r="AN103" s="9"/>
      <c r="AP103" s="9"/>
      <c r="AQ103" s="9"/>
      <c r="AS103" s="9"/>
      <c r="AT103" s="9"/>
      <c r="AU103" s="9"/>
      <c r="AV103" s="9"/>
      <c r="AX103" s="9"/>
      <c r="AY103" s="9"/>
      <c r="BA103" s="9"/>
      <c r="BB103" s="9"/>
      <c r="BC103" s="9"/>
      <c r="BD103" s="9"/>
      <c r="BF103" s="9"/>
      <c r="BG103" s="9"/>
      <c r="BI103" s="9"/>
      <c r="BJ103" s="9"/>
      <c r="BK103" s="9"/>
      <c r="BL103" s="9"/>
      <c r="BN103" s="9"/>
      <c r="BO103" s="9"/>
      <c r="BQ103" s="9"/>
      <c r="BR103" s="9"/>
      <c r="BS103" s="9"/>
      <c r="BT103" s="9"/>
      <c r="BV103" s="9"/>
      <c r="BW103" s="9"/>
      <c r="BY103" s="9"/>
      <c r="BZ103" s="9"/>
      <c r="CA103" s="9"/>
      <c r="CB103" s="9"/>
      <c r="CD103" s="9"/>
    </row>
    <row r="104">
      <c r="AC104" s="9"/>
      <c r="AD104" s="9"/>
      <c r="AE104" s="1"/>
      <c r="AF104" s="1"/>
      <c r="AG104" s="1"/>
      <c r="AH104" s="9"/>
      <c r="AI104" s="9"/>
      <c r="AM104" s="9"/>
      <c r="AN104" s="9"/>
      <c r="AP104" s="9"/>
      <c r="AQ104" s="9"/>
      <c r="AU104" s="9"/>
      <c r="AV104" s="9"/>
      <c r="AX104" s="9"/>
      <c r="AY104" s="9"/>
      <c r="BC104" s="9"/>
      <c r="BD104" s="9"/>
      <c r="BF104" s="9"/>
      <c r="BG104" s="9"/>
      <c r="BK104" s="9"/>
      <c r="BL104" s="9"/>
      <c r="BN104" s="9"/>
      <c r="BO104" s="9"/>
      <c r="BS104" s="9"/>
      <c r="BT104" s="9"/>
      <c r="BV104" s="9"/>
      <c r="BW104" s="9"/>
      <c r="CA104" s="9"/>
      <c r="CB104" s="9"/>
      <c r="CD104" s="9"/>
    </row>
    <row r="105">
      <c r="AC105" s="9"/>
      <c r="AD105" s="9"/>
      <c r="AE105" s="1"/>
      <c r="AF105" s="1"/>
      <c r="AG105" s="1"/>
      <c r="AH105" s="9"/>
      <c r="AI105" s="9"/>
      <c r="AM105" s="9"/>
      <c r="AN105" s="9"/>
      <c r="AP105" s="9"/>
      <c r="AQ105" s="9"/>
      <c r="AU105" s="9"/>
      <c r="AV105" s="9"/>
      <c r="AX105" s="9"/>
      <c r="AY105" s="9"/>
      <c r="BC105" s="9"/>
      <c r="BD105" s="9"/>
      <c r="BF105" s="9"/>
      <c r="BG105" s="9"/>
      <c r="BK105" s="9"/>
      <c r="BL105" s="9"/>
      <c r="BN105" s="9"/>
      <c r="BO105" s="9"/>
      <c r="BS105" s="9"/>
      <c r="BT105" s="9"/>
      <c r="BV105" s="9"/>
      <c r="BW105" s="9"/>
      <c r="CA105" s="9"/>
      <c r="CB105" s="9"/>
      <c r="CD105" s="9"/>
    </row>
    <row r="106">
      <c r="AB106" s="9"/>
      <c r="AD106" s="16"/>
      <c r="AE106" s="1"/>
      <c r="AF106" s="1"/>
      <c r="AG106" s="9"/>
      <c r="AH106" s="1"/>
      <c r="AI106" s="16"/>
      <c r="AL106" s="9"/>
      <c r="AN106" s="16"/>
      <c r="AP106" s="1"/>
      <c r="AQ106" s="16"/>
      <c r="AT106" s="9"/>
      <c r="AV106" s="16"/>
      <c r="AX106" s="1"/>
      <c r="AY106" s="16"/>
      <c r="BB106" s="9"/>
      <c r="BD106" s="16"/>
      <c r="BF106" s="1"/>
      <c r="BG106" s="16"/>
      <c r="BJ106" s="9"/>
      <c r="BL106" s="16"/>
      <c r="BN106" s="1"/>
      <c r="BO106" s="16"/>
      <c r="BR106" s="9"/>
      <c r="BT106" s="16"/>
      <c r="BV106" s="1"/>
      <c r="BW106" s="16"/>
      <c r="BZ106" s="9"/>
      <c r="CB106" s="16"/>
      <c r="CD106" s="1"/>
    </row>
    <row r="107">
      <c r="AA107" s="25"/>
      <c r="AB107" s="9"/>
      <c r="AD107" s="16"/>
      <c r="AE107" s="1"/>
      <c r="AF107" s="25"/>
      <c r="AG107" s="9"/>
      <c r="AH107" s="1"/>
      <c r="AI107" s="16"/>
      <c r="AK107" s="25"/>
      <c r="AL107" s="9"/>
      <c r="AN107" s="16"/>
      <c r="AP107" s="1"/>
      <c r="AQ107" s="16"/>
      <c r="AS107" s="25"/>
      <c r="AT107" s="9"/>
      <c r="AV107" s="16"/>
      <c r="AX107" s="1"/>
      <c r="AY107" s="16"/>
      <c r="BA107" s="25"/>
      <c r="BB107" s="9"/>
      <c r="BD107" s="16"/>
      <c r="BF107" s="1"/>
      <c r="BG107" s="16"/>
      <c r="BI107" s="25"/>
      <c r="BJ107" s="9"/>
      <c r="BL107" s="16"/>
      <c r="BN107" s="1"/>
      <c r="BO107" s="16"/>
      <c r="BQ107" s="25"/>
      <c r="BR107" s="9"/>
      <c r="BT107" s="16"/>
      <c r="BV107" s="1"/>
      <c r="BW107" s="16"/>
      <c r="BY107" s="25"/>
      <c r="BZ107" s="9"/>
      <c r="CB107" s="16"/>
      <c r="CD107" s="1"/>
    </row>
    <row r="108">
      <c r="AB108" s="9"/>
      <c r="AD108" s="16"/>
      <c r="AE108" s="1"/>
      <c r="AF108" s="1"/>
      <c r="AG108" s="9"/>
      <c r="AH108" s="1"/>
      <c r="AI108" s="16"/>
      <c r="AL108" s="9"/>
      <c r="AN108" s="16"/>
      <c r="AP108" s="1"/>
      <c r="AQ108" s="16"/>
      <c r="AT108" s="9"/>
      <c r="AV108" s="16"/>
      <c r="AX108" s="1"/>
      <c r="AY108" s="16"/>
      <c r="BB108" s="9"/>
      <c r="BD108" s="16"/>
      <c r="BF108" s="1"/>
      <c r="BG108" s="16"/>
      <c r="BJ108" s="9"/>
      <c r="BL108" s="16"/>
      <c r="BN108" s="1"/>
      <c r="BO108" s="16"/>
      <c r="BR108" s="9"/>
      <c r="BT108" s="16"/>
      <c r="BV108" s="1"/>
      <c r="BW108" s="16"/>
      <c r="BZ108" s="9"/>
      <c r="CB108" s="16"/>
      <c r="CD108" s="1"/>
    </row>
    <row r="109">
      <c r="AD109" s="1"/>
      <c r="AE109" s="1"/>
      <c r="AF109" s="1"/>
      <c r="AG109" s="1"/>
      <c r="AH109" s="1"/>
      <c r="AI109" s="1"/>
      <c r="AP109" s="1"/>
      <c r="AQ109" s="1"/>
      <c r="AX109" s="1"/>
      <c r="AY109" s="1"/>
      <c r="BF109" s="1"/>
      <c r="BG109" s="1"/>
      <c r="BN109" s="1"/>
      <c r="BO109" s="1"/>
      <c r="BV109" s="1"/>
      <c r="BW109" s="1"/>
      <c r="CD109" s="1"/>
    </row>
    <row r="110">
      <c r="AA110" s="8"/>
      <c r="AB110" s="8"/>
      <c r="AC110" s="8"/>
      <c r="AD110" s="8"/>
      <c r="AE110" s="1"/>
      <c r="AF110" s="8"/>
      <c r="AG110" s="8"/>
      <c r="AH110" s="8"/>
      <c r="AI110" s="8"/>
      <c r="AK110" s="8"/>
      <c r="AL110" s="8"/>
      <c r="AM110" s="8"/>
      <c r="AN110" s="8"/>
      <c r="AP110" s="8"/>
      <c r="AQ110" s="8"/>
      <c r="AS110" s="8"/>
      <c r="AT110" s="8"/>
      <c r="AU110" s="8"/>
      <c r="AV110" s="8"/>
      <c r="AX110" s="8"/>
      <c r="AY110" s="8"/>
      <c r="BA110" s="8"/>
      <c r="BB110" s="8"/>
      <c r="BC110" s="8"/>
      <c r="BD110" s="8"/>
      <c r="BF110" s="8"/>
      <c r="BG110" s="8"/>
      <c r="BI110" s="8"/>
      <c r="BJ110" s="8"/>
      <c r="BK110" s="8"/>
      <c r="BL110" s="8"/>
      <c r="BN110" s="8"/>
      <c r="BO110" s="8"/>
      <c r="BQ110" s="8"/>
      <c r="BR110" s="8"/>
      <c r="BS110" s="8"/>
      <c r="BT110" s="8"/>
      <c r="BV110" s="8"/>
      <c r="BW110" s="8"/>
      <c r="BY110" s="8"/>
      <c r="BZ110" s="8"/>
      <c r="CA110" s="8"/>
      <c r="CB110" s="8"/>
      <c r="CD110" s="1"/>
    </row>
    <row r="111">
      <c r="AA111" s="9"/>
      <c r="AB111" s="9"/>
      <c r="AC111" s="9"/>
      <c r="AD111" s="9"/>
      <c r="AE111" s="1"/>
      <c r="AF111" s="9"/>
      <c r="AG111" s="9"/>
      <c r="AH111" s="9"/>
      <c r="AI111" s="9"/>
      <c r="AK111" s="9"/>
      <c r="AL111" s="9"/>
      <c r="AM111" s="9"/>
      <c r="AN111" s="9"/>
      <c r="AP111" s="9"/>
      <c r="AQ111" s="9"/>
      <c r="AS111" s="9"/>
      <c r="AT111" s="9"/>
      <c r="AU111" s="9"/>
      <c r="AV111" s="9"/>
      <c r="AX111" s="9"/>
      <c r="AY111" s="9"/>
      <c r="BA111" s="9"/>
      <c r="BB111" s="9"/>
      <c r="BC111" s="9"/>
      <c r="BD111" s="9"/>
      <c r="BF111" s="9"/>
      <c r="BG111" s="9"/>
      <c r="BI111" s="9"/>
      <c r="BJ111" s="9"/>
      <c r="BK111" s="9"/>
      <c r="BL111" s="9"/>
      <c r="BN111" s="9"/>
      <c r="BO111" s="9"/>
      <c r="BQ111" s="9"/>
      <c r="BR111" s="9"/>
      <c r="BS111" s="9"/>
      <c r="BT111" s="9"/>
      <c r="BV111" s="9"/>
      <c r="BW111" s="9"/>
      <c r="BY111" s="9"/>
      <c r="BZ111" s="9"/>
      <c r="CA111" s="9"/>
      <c r="CB111" s="9"/>
      <c r="CD111" s="9"/>
    </row>
    <row r="112">
      <c r="AC112" s="9"/>
      <c r="AD112" s="9"/>
      <c r="AE112" s="1"/>
      <c r="AF112" s="1"/>
      <c r="AG112" s="1"/>
      <c r="AH112" s="9"/>
      <c r="AI112" s="9"/>
      <c r="AM112" s="9"/>
      <c r="AN112" s="9"/>
      <c r="AP112" s="9"/>
      <c r="AQ112" s="9"/>
      <c r="AU112" s="9"/>
      <c r="AV112" s="9"/>
      <c r="AX112" s="9"/>
      <c r="AY112" s="9"/>
      <c r="BC112" s="9"/>
      <c r="BD112" s="9"/>
      <c r="BF112" s="9"/>
      <c r="BG112" s="9"/>
      <c r="BK112" s="9"/>
      <c r="BL112" s="9"/>
      <c r="BN112" s="9"/>
      <c r="BO112" s="9"/>
      <c r="BS112" s="9"/>
      <c r="BT112" s="9"/>
      <c r="BV112" s="9"/>
      <c r="BW112" s="9"/>
      <c r="CA112" s="9"/>
      <c r="CB112" s="9"/>
      <c r="CD112" s="9"/>
    </row>
    <row r="113">
      <c r="AC113" s="9"/>
      <c r="AD113" s="9"/>
      <c r="AE113" s="1"/>
      <c r="AF113" s="1"/>
      <c r="AG113" s="1"/>
      <c r="AH113" s="9"/>
      <c r="AI113" s="9"/>
      <c r="AM113" s="9"/>
      <c r="AN113" s="9"/>
      <c r="AP113" s="9"/>
      <c r="AQ113" s="9"/>
      <c r="AU113" s="9"/>
      <c r="AV113" s="9"/>
      <c r="AX113" s="9"/>
      <c r="AY113" s="9"/>
      <c r="BC113" s="9"/>
      <c r="BD113" s="9"/>
      <c r="BF113" s="9"/>
      <c r="BG113" s="9"/>
      <c r="BK113" s="9"/>
      <c r="BL113" s="9"/>
      <c r="BN113" s="9"/>
      <c r="BO113" s="9"/>
      <c r="BS113" s="9"/>
      <c r="BT113" s="9"/>
      <c r="BV113" s="9"/>
      <c r="BW113" s="9"/>
      <c r="CA113" s="9"/>
      <c r="CB113" s="9"/>
      <c r="CD113" s="9"/>
    </row>
    <row r="114">
      <c r="AC114" s="9"/>
      <c r="AD114" s="9"/>
      <c r="AE114" s="1"/>
      <c r="AF114" s="1"/>
      <c r="AG114" s="1"/>
      <c r="AH114" s="9"/>
      <c r="AI114" s="9"/>
      <c r="AM114" s="9"/>
      <c r="AN114" s="9"/>
      <c r="AP114" s="9"/>
      <c r="AQ114" s="9"/>
      <c r="AU114" s="9"/>
      <c r="AV114" s="9"/>
      <c r="AX114" s="9"/>
      <c r="AY114" s="9"/>
      <c r="BC114" s="9"/>
      <c r="BD114" s="9"/>
      <c r="BF114" s="9"/>
      <c r="BG114" s="9"/>
      <c r="BK114" s="9"/>
      <c r="BL114" s="9"/>
      <c r="BN114" s="9"/>
      <c r="BO114" s="9"/>
      <c r="BS114" s="9"/>
      <c r="BT114" s="9"/>
      <c r="BV114" s="9"/>
      <c r="BW114" s="9"/>
      <c r="CA114" s="9"/>
      <c r="CB114" s="9"/>
      <c r="CD114" s="9"/>
    </row>
    <row r="115">
      <c r="AC115" s="9"/>
      <c r="AD115" s="9"/>
      <c r="AE115" s="1"/>
      <c r="AF115" s="1"/>
      <c r="AG115" s="1"/>
      <c r="AH115" s="9"/>
      <c r="AI115" s="9"/>
      <c r="AM115" s="9"/>
      <c r="AN115" s="9"/>
      <c r="AP115" s="9"/>
      <c r="AQ115" s="9"/>
      <c r="AU115" s="9"/>
      <c r="AV115" s="9"/>
      <c r="AX115" s="9"/>
      <c r="AY115" s="9"/>
      <c r="BC115" s="9"/>
      <c r="BD115" s="9"/>
      <c r="BF115" s="9"/>
      <c r="BG115" s="9"/>
      <c r="BK115" s="9"/>
      <c r="BL115" s="9"/>
      <c r="BN115" s="9"/>
      <c r="BO115" s="9"/>
      <c r="BS115" s="9"/>
      <c r="BT115" s="9"/>
      <c r="BV115" s="9"/>
      <c r="BW115" s="9"/>
      <c r="CA115" s="9"/>
      <c r="CB115" s="9"/>
      <c r="CD115" s="9"/>
    </row>
    <row r="116">
      <c r="AC116" s="9"/>
      <c r="AD116" s="9"/>
      <c r="AE116" s="1"/>
      <c r="AF116" s="1"/>
      <c r="AG116" s="1"/>
      <c r="AH116" s="9"/>
      <c r="AI116" s="9"/>
      <c r="AM116" s="9"/>
      <c r="AN116" s="9"/>
      <c r="AP116" s="9"/>
      <c r="AQ116" s="9"/>
      <c r="AU116" s="9"/>
      <c r="AV116" s="9"/>
      <c r="AX116" s="9"/>
      <c r="AY116" s="9"/>
      <c r="BC116" s="9"/>
      <c r="BD116" s="9"/>
      <c r="BF116" s="9"/>
      <c r="BG116" s="9"/>
      <c r="BK116" s="9"/>
      <c r="BL116" s="9"/>
      <c r="BN116" s="9"/>
      <c r="BO116" s="9"/>
      <c r="BS116" s="9"/>
      <c r="BT116" s="9"/>
      <c r="BV116" s="9"/>
      <c r="BW116" s="9"/>
      <c r="CA116" s="9"/>
      <c r="CB116" s="9"/>
      <c r="CD116" s="9"/>
    </row>
    <row r="117">
      <c r="AC117" s="9"/>
      <c r="AD117" s="9"/>
      <c r="AE117" s="1"/>
      <c r="AF117" s="1"/>
      <c r="AG117" s="9"/>
      <c r="AH117" s="1"/>
      <c r="AI117" s="16"/>
      <c r="AL117" s="9"/>
      <c r="AN117" s="16"/>
      <c r="AP117" s="1"/>
      <c r="AQ117" s="16"/>
      <c r="AT117" s="9"/>
      <c r="AV117" s="16"/>
      <c r="AX117" s="1"/>
      <c r="AY117" s="16"/>
      <c r="BB117" s="9"/>
      <c r="BD117" s="16"/>
      <c r="BF117" s="1"/>
      <c r="BG117" s="16"/>
      <c r="BJ117" s="9"/>
      <c r="BL117" s="16"/>
      <c r="BN117" s="1"/>
      <c r="BO117" s="16"/>
      <c r="BR117" s="9"/>
      <c r="BT117" s="16"/>
      <c r="BV117" s="1"/>
      <c r="BW117" s="16"/>
      <c r="BZ117" s="9"/>
      <c r="CB117" s="16"/>
      <c r="CD117" s="1"/>
    </row>
    <row r="118">
      <c r="AC118" s="9"/>
      <c r="AD118" s="9"/>
      <c r="AE118" s="1"/>
      <c r="AF118" s="25"/>
      <c r="AG118" s="9"/>
      <c r="AH118" s="1"/>
      <c r="AI118" s="16"/>
      <c r="AK118" s="25"/>
      <c r="AL118" s="9"/>
      <c r="AN118" s="16"/>
      <c r="AP118" s="1"/>
      <c r="AQ118" s="16"/>
      <c r="AS118" s="25"/>
      <c r="AT118" s="9"/>
      <c r="AV118" s="16"/>
      <c r="AX118" s="1"/>
      <c r="AY118" s="16"/>
      <c r="BA118" s="25"/>
      <c r="BB118" s="9"/>
      <c r="BD118" s="16"/>
      <c r="BF118" s="1"/>
      <c r="BG118" s="16"/>
      <c r="BI118" s="25"/>
      <c r="BJ118" s="9"/>
      <c r="BL118" s="16"/>
      <c r="BN118" s="1"/>
      <c r="BO118" s="16"/>
      <c r="BQ118" s="25"/>
      <c r="BR118" s="9"/>
      <c r="BT118" s="16"/>
      <c r="BV118" s="1"/>
      <c r="BW118" s="16"/>
      <c r="BY118" s="25"/>
      <c r="BZ118" s="9"/>
      <c r="CB118" s="16"/>
      <c r="CD118" s="1"/>
    </row>
    <row r="119">
      <c r="AC119" s="9"/>
      <c r="AD119" s="9"/>
      <c r="AE119" s="1"/>
      <c r="AF119" s="1"/>
      <c r="AG119" s="9"/>
      <c r="AH119" s="1"/>
      <c r="AI119" s="16"/>
      <c r="AL119" s="9"/>
      <c r="AN119" s="16"/>
      <c r="AP119" s="1"/>
      <c r="AQ119" s="16"/>
      <c r="AT119" s="9"/>
      <c r="AV119" s="16"/>
      <c r="AX119" s="1"/>
      <c r="AY119" s="16"/>
      <c r="BB119" s="9"/>
      <c r="BD119" s="16"/>
      <c r="BF119" s="1"/>
      <c r="BG119" s="16"/>
      <c r="BJ119" s="9"/>
      <c r="BL119" s="16"/>
      <c r="BN119" s="1"/>
      <c r="BO119" s="16"/>
      <c r="BR119" s="9"/>
      <c r="BT119" s="16"/>
      <c r="BV119" s="1"/>
      <c r="BW119" s="16"/>
      <c r="BZ119" s="9"/>
      <c r="CB119" s="16"/>
      <c r="CD119" s="1"/>
    </row>
    <row r="120">
      <c r="AC120" s="9"/>
      <c r="AD120" s="9"/>
      <c r="AE120" s="1"/>
      <c r="AF120" s="1"/>
      <c r="AG120" s="1"/>
      <c r="AH120" s="1"/>
      <c r="AI120" s="1"/>
      <c r="AM120" s="9"/>
      <c r="AN120" s="9"/>
      <c r="AP120" s="1"/>
      <c r="AQ120" s="1"/>
      <c r="AU120" s="9"/>
      <c r="AV120" s="9"/>
      <c r="AX120" s="1"/>
      <c r="AY120" s="1"/>
      <c r="BC120" s="9"/>
      <c r="BD120" s="9"/>
      <c r="BF120" s="1"/>
      <c r="BG120" s="1"/>
      <c r="BK120" s="9"/>
      <c r="BL120" s="9"/>
      <c r="BN120" s="1"/>
      <c r="BO120" s="1"/>
      <c r="BS120" s="9"/>
      <c r="BT120" s="9"/>
      <c r="BV120" s="1"/>
      <c r="BW120" s="1"/>
      <c r="CA120" s="9"/>
      <c r="CB120" s="9"/>
      <c r="CD120" s="1"/>
    </row>
    <row r="121">
      <c r="AC121" s="9"/>
      <c r="AD121" s="9"/>
      <c r="AE121" s="1"/>
      <c r="AF121" s="8"/>
      <c r="AG121" s="8"/>
      <c r="AH121" s="8"/>
      <c r="AI121" s="8"/>
      <c r="AK121" s="8"/>
      <c r="AL121" s="8"/>
      <c r="AM121" s="8"/>
      <c r="AN121" s="8"/>
      <c r="AP121" s="8"/>
      <c r="AQ121" s="8"/>
      <c r="AS121" s="8"/>
      <c r="AT121" s="8"/>
      <c r="AU121" s="8"/>
      <c r="AV121" s="8"/>
      <c r="AX121" s="8"/>
      <c r="AY121" s="8"/>
      <c r="BA121" s="8"/>
      <c r="BB121" s="8"/>
      <c r="BC121" s="8"/>
      <c r="BD121" s="8"/>
      <c r="BF121" s="8"/>
      <c r="BG121" s="8"/>
      <c r="BI121" s="8"/>
      <c r="BJ121" s="8"/>
      <c r="BK121" s="8"/>
      <c r="BL121" s="8"/>
      <c r="BN121" s="8"/>
      <c r="BO121" s="8"/>
      <c r="BQ121" s="8"/>
      <c r="BR121" s="8"/>
      <c r="BS121" s="8"/>
      <c r="BT121" s="8"/>
      <c r="BV121" s="8"/>
      <c r="BW121" s="8"/>
      <c r="BY121" s="8"/>
      <c r="BZ121" s="8"/>
      <c r="CA121" s="8"/>
      <c r="CB121" s="8"/>
      <c r="CD121" s="1"/>
    </row>
    <row r="122">
      <c r="AC122" s="9"/>
      <c r="AD122" s="9"/>
      <c r="AE122" s="1"/>
      <c r="AF122" s="9"/>
      <c r="AG122" s="9"/>
      <c r="AH122" s="9"/>
      <c r="AI122" s="9"/>
      <c r="AK122" s="9"/>
      <c r="AL122" s="9"/>
      <c r="AM122" s="9"/>
      <c r="AN122" s="9"/>
      <c r="AP122" s="9"/>
      <c r="AQ122" s="9"/>
      <c r="AS122" s="9"/>
      <c r="AT122" s="9"/>
      <c r="AU122" s="9"/>
      <c r="AV122" s="9"/>
      <c r="AX122" s="9"/>
      <c r="AY122" s="9"/>
      <c r="BA122" s="9"/>
      <c r="BB122" s="9"/>
      <c r="BC122" s="9"/>
      <c r="BD122" s="9"/>
      <c r="BF122" s="9"/>
      <c r="BG122" s="9"/>
      <c r="BI122" s="9"/>
      <c r="BJ122" s="9"/>
      <c r="BK122" s="9"/>
      <c r="BL122" s="9"/>
      <c r="BN122" s="9"/>
      <c r="BO122" s="9"/>
      <c r="BQ122" s="9"/>
      <c r="BR122" s="9"/>
      <c r="BS122" s="9"/>
      <c r="BT122" s="9"/>
      <c r="BV122" s="9"/>
      <c r="BW122" s="9"/>
      <c r="BY122" s="9"/>
      <c r="BZ122" s="9"/>
      <c r="CA122" s="9"/>
      <c r="CB122" s="9"/>
      <c r="CD122" s="9"/>
    </row>
    <row r="123">
      <c r="AC123" s="9"/>
      <c r="AD123" s="9"/>
      <c r="AE123" s="1"/>
      <c r="AF123" s="1"/>
      <c r="AG123" s="1"/>
      <c r="AH123" s="9"/>
      <c r="AI123" s="9"/>
      <c r="AM123" s="9"/>
      <c r="AN123" s="9"/>
      <c r="AP123" s="9"/>
      <c r="AQ123" s="9"/>
      <c r="AU123" s="9"/>
      <c r="AV123" s="9"/>
      <c r="AX123" s="9"/>
      <c r="AY123" s="9"/>
      <c r="BC123" s="9"/>
      <c r="BD123" s="9"/>
      <c r="BF123" s="9"/>
      <c r="BG123" s="9"/>
      <c r="BK123" s="9"/>
      <c r="BL123" s="9"/>
      <c r="BN123" s="9"/>
      <c r="BO123" s="9"/>
      <c r="BS123" s="9"/>
      <c r="BT123" s="9"/>
      <c r="BV123" s="9"/>
      <c r="BW123" s="9"/>
      <c r="CA123" s="9"/>
      <c r="CB123" s="9"/>
      <c r="CD123" s="9"/>
    </row>
    <row r="124">
      <c r="AC124" s="9"/>
      <c r="AD124" s="9"/>
      <c r="AE124" s="1"/>
      <c r="AF124" s="1"/>
      <c r="AG124" s="1"/>
      <c r="AH124" s="9"/>
      <c r="AI124" s="9"/>
      <c r="AM124" s="9"/>
      <c r="AN124" s="9"/>
      <c r="AP124" s="9"/>
      <c r="AQ124" s="9"/>
      <c r="AU124" s="9"/>
      <c r="AV124" s="9"/>
      <c r="AX124" s="9"/>
      <c r="AY124" s="9"/>
      <c r="BC124" s="9"/>
      <c r="BD124" s="9"/>
      <c r="BF124" s="9"/>
      <c r="BG124" s="9"/>
      <c r="BK124" s="9"/>
      <c r="BL124" s="9"/>
      <c r="BN124" s="9"/>
      <c r="BO124" s="9"/>
      <c r="BS124" s="9"/>
      <c r="BT124" s="9"/>
      <c r="BV124" s="9"/>
      <c r="BW124" s="9"/>
      <c r="CA124" s="9"/>
      <c r="CB124" s="9"/>
      <c r="CD124" s="9"/>
    </row>
    <row r="125">
      <c r="AB125" s="9"/>
      <c r="AD125" s="16"/>
      <c r="AE125" s="1"/>
      <c r="AF125" s="1"/>
      <c r="AG125" s="1"/>
      <c r="AH125" s="9"/>
      <c r="AI125" s="9"/>
      <c r="AL125" s="9"/>
      <c r="AN125" s="16"/>
      <c r="AP125" s="9"/>
      <c r="AQ125" s="9"/>
      <c r="AT125" s="9"/>
      <c r="AV125" s="16"/>
      <c r="AX125" s="9"/>
      <c r="AY125" s="9"/>
      <c r="BB125" s="9"/>
      <c r="BD125" s="16"/>
      <c r="BF125" s="9"/>
      <c r="BG125" s="9"/>
      <c r="BJ125" s="9"/>
      <c r="BL125" s="16"/>
      <c r="BN125" s="9"/>
      <c r="BO125" s="9"/>
      <c r="BR125" s="9"/>
      <c r="BT125" s="16"/>
      <c r="BV125" s="9"/>
      <c r="BW125" s="9"/>
      <c r="BZ125" s="9"/>
      <c r="CB125" s="16"/>
      <c r="CD125" s="9"/>
    </row>
    <row r="126">
      <c r="AA126" s="25"/>
      <c r="AB126" s="9"/>
      <c r="AD126" s="16"/>
      <c r="AE126" s="1"/>
      <c r="AF126" s="1"/>
      <c r="AG126" s="1"/>
      <c r="AH126" s="9"/>
      <c r="AI126" s="9"/>
      <c r="AK126" s="25"/>
      <c r="AL126" s="9"/>
      <c r="AN126" s="16"/>
      <c r="AP126" s="9"/>
      <c r="AQ126" s="9"/>
      <c r="AS126" s="25"/>
      <c r="AT126" s="9"/>
      <c r="AV126" s="16"/>
      <c r="AX126" s="9"/>
      <c r="AY126" s="9"/>
      <c r="BA126" s="25"/>
      <c r="BB126" s="9"/>
      <c r="BD126" s="16"/>
      <c r="BF126" s="9"/>
      <c r="BG126" s="9"/>
      <c r="BI126" s="25"/>
      <c r="BJ126" s="9"/>
      <c r="BL126" s="16"/>
      <c r="BN126" s="9"/>
      <c r="BO126" s="9"/>
      <c r="BQ126" s="25"/>
      <c r="BR126" s="9"/>
      <c r="BT126" s="16"/>
      <c r="BV126" s="9"/>
      <c r="BW126" s="9"/>
      <c r="BY126" s="25"/>
      <c r="BZ126" s="9"/>
      <c r="CB126" s="16"/>
      <c r="CD126" s="9"/>
    </row>
    <row r="127">
      <c r="AB127" s="9"/>
      <c r="AD127" s="16"/>
      <c r="AE127" s="1"/>
      <c r="AF127" s="1"/>
      <c r="AG127" s="1"/>
      <c r="AH127" s="9"/>
      <c r="AI127" s="9"/>
      <c r="AL127" s="9"/>
      <c r="AN127" s="16"/>
      <c r="AP127" s="9"/>
      <c r="AQ127" s="9"/>
      <c r="AT127" s="9"/>
      <c r="AV127" s="16"/>
      <c r="AX127" s="9"/>
      <c r="AY127" s="9"/>
      <c r="BB127" s="9"/>
      <c r="BD127" s="16"/>
      <c r="BF127" s="9"/>
      <c r="BG127" s="9"/>
      <c r="BJ127" s="9"/>
      <c r="BL127" s="16"/>
      <c r="BN127" s="9"/>
      <c r="BO127" s="9"/>
      <c r="BR127" s="9"/>
      <c r="BT127" s="16"/>
      <c r="BV127" s="9"/>
      <c r="BW127" s="9"/>
      <c r="BZ127" s="9"/>
      <c r="CB127" s="16"/>
      <c r="CD127" s="9"/>
    </row>
    <row r="128">
      <c r="AD128" s="1"/>
      <c r="AE128" s="1"/>
      <c r="AF128" s="1"/>
      <c r="AG128" s="9"/>
      <c r="AH128" s="1"/>
      <c r="AI128" s="16"/>
      <c r="AP128" s="1"/>
      <c r="AQ128" s="16"/>
      <c r="AX128" s="1"/>
      <c r="AY128" s="16"/>
      <c r="BF128" s="1"/>
      <c r="BG128" s="16"/>
      <c r="BN128" s="1"/>
      <c r="BO128" s="16"/>
      <c r="BV128" s="1"/>
      <c r="BW128" s="16"/>
      <c r="CD128" s="1"/>
    </row>
    <row r="129">
      <c r="AA129" s="8"/>
      <c r="AB129" s="8"/>
      <c r="AC129" s="8"/>
      <c r="AD129" s="8"/>
      <c r="AE129" s="1"/>
      <c r="AF129" s="25"/>
      <c r="AG129" s="9"/>
      <c r="AH129" s="1"/>
      <c r="AI129" s="16"/>
      <c r="AK129" s="8"/>
      <c r="AL129" s="8"/>
      <c r="AM129" s="8"/>
      <c r="AN129" s="8"/>
      <c r="AP129" s="1"/>
      <c r="AQ129" s="16"/>
      <c r="AS129" s="8"/>
      <c r="AT129" s="8"/>
      <c r="AU129" s="8"/>
      <c r="AV129" s="8"/>
      <c r="AX129" s="1"/>
      <c r="AY129" s="16"/>
      <c r="BA129" s="8"/>
      <c r="BB129" s="8"/>
      <c r="BC129" s="8"/>
      <c r="BD129" s="8"/>
      <c r="BF129" s="1"/>
      <c r="BG129" s="16"/>
      <c r="BI129" s="8"/>
      <c r="BJ129" s="8"/>
      <c r="BK129" s="8"/>
      <c r="BL129" s="8"/>
      <c r="BN129" s="1"/>
      <c r="BO129" s="16"/>
      <c r="BQ129" s="8"/>
      <c r="BR129" s="8"/>
      <c r="BS129" s="8"/>
      <c r="BT129" s="8"/>
      <c r="BV129" s="1"/>
      <c r="BW129" s="16"/>
      <c r="BY129" s="8"/>
      <c r="BZ129" s="8"/>
      <c r="CA129" s="8"/>
      <c r="CB129" s="8"/>
      <c r="CD129" s="1"/>
    </row>
    <row r="130">
      <c r="AA130" s="9"/>
      <c r="AB130" s="9"/>
      <c r="AC130" s="9"/>
      <c r="AD130" s="9"/>
      <c r="AE130" s="1"/>
      <c r="AF130" s="1"/>
      <c r="AG130" s="9"/>
      <c r="AH130" s="1"/>
      <c r="AI130" s="16"/>
      <c r="AK130" s="9"/>
      <c r="AL130" s="9"/>
      <c r="AM130" s="9"/>
      <c r="AN130" s="9"/>
      <c r="AP130" s="1"/>
      <c r="AQ130" s="16"/>
      <c r="AS130" s="9"/>
      <c r="AT130" s="9"/>
      <c r="AU130" s="9"/>
      <c r="AV130" s="9"/>
      <c r="AX130" s="1"/>
      <c r="AY130" s="16"/>
      <c r="BA130" s="9"/>
      <c r="BB130" s="9"/>
      <c r="BC130" s="9"/>
      <c r="BD130" s="9"/>
      <c r="BF130" s="1"/>
      <c r="BG130" s="16"/>
      <c r="BI130" s="9"/>
      <c r="BJ130" s="9"/>
      <c r="BK130" s="9"/>
      <c r="BL130" s="9"/>
      <c r="BN130" s="1"/>
      <c r="BO130" s="16"/>
      <c r="BQ130" s="9"/>
      <c r="BR130" s="9"/>
      <c r="BS130" s="9"/>
      <c r="BT130" s="9"/>
      <c r="BV130" s="1"/>
      <c r="BW130" s="16"/>
      <c r="BY130" s="9"/>
      <c r="BZ130" s="9"/>
      <c r="CA130" s="9"/>
      <c r="CB130" s="9"/>
      <c r="CD130" s="1"/>
    </row>
    <row r="131">
      <c r="AC131" s="9"/>
      <c r="AD131" s="9"/>
      <c r="AE131" s="1"/>
      <c r="AF131" s="1"/>
      <c r="AG131" s="1"/>
      <c r="AH131" s="1"/>
      <c r="AI131" s="1"/>
      <c r="AM131" s="9"/>
      <c r="AN131" s="9"/>
      <c r="AP131" s="1"/>
      <c r="AQ131" s="1"/>
      <c r="AU131" s="9"/>
      <c r="AV131" s="9"/>
      <c r="AX131" s="1"/>
      <c r="AY131" s="1"/>
      <c r="BC131" s="9"/>
      <c r="BD131" s="9"/>
      <c r="BF131" s="1"/>
      <c r="BG131" s="1"/>
      <c r="BK131" s="9"/>
      <c r="BL131" s="9"/>
      <c r="BN131" s="1"/>
      <c r="BO131" s="1"/>
      <c r="BS131" s="9"/>
      <c r="BT131" s="9"/>
      <c r="BV131" s="1"/>
      <c r="BW131" s="1"/>
      <c r="CA131" s="9"/>
      <c r="CB131" s="9"/>
      <c r="CD131" s="1"/>
    </row>
    <row r="132">
      <c r="AC132" s="9"/>
      <c r="AD132" s="9"/>
      <c r="AE132" s="1"/>
      <c r="AF132" s="8"/>
      <c r="AG132" s="8"/>
      <c r="AH132" s="8"/>
      <c r="AI132" s="8"/>
      <c r="AM132" s="9"/>
      <c r="AN132" s="9"/>
      <c r="AP132" s="8"/>
      <c r="AQ132" s="8"/>
      <c r="AU132" s="9"/>
      <c r="AV132" s="9"/>
      <c r="AX132" s="8"/>
      <c r="AY132" s="8"/>
      <c r="BC132" s="9"/>
      <c r="BD132" s="9"/>
      <c r="BF132" s="8"/>
      <c r="BG132" s="8"/>
      <c r="BK132" s="9"/>
      <c r="BL132" s="9"/>
      <c r="BN132" s="8"/>
      <c r="BO132" s="8"/>
      <c r="BS132" s="9"/>
      <c r="BT132" s="9"/>
      <c r="BV132" s="8"/>
      <c r="BW132" s="8"/>
      <c r="CA132" s="9"/>
      <c r="CB132" s="9"/>
      <c r="CD132" s="1"/>
    </row>
    <row r="133">
      <c r="AC133" s="9"/>
      <c r="AD133" s="9"/>
      <c r="AE133" s="1"/>
      <c r="AF133" s="9"/>
      <c r="AG133" s="9"/>
      <c r="AH133" s="9"/>
      <c r="AI133" s="9"/>
      <c r="AL133" s="9"/>
      <c r="AN133" s="16"/>
      <c r="AP133" s="9"/>
      <c r="AQ133" s="9"/>
      <c r="AT133" s="9"/>
      <c r="AV133" s="16"/>
      <c r="AX133" s="9"/>
      <c r="AY133" s="9"/>
      <c r="BB133" s="9"/>
      <c r="BD133" s="16"/>
      <c r="BF133" s="9"/>
      <c r="BG133" s="9"/>
      <c r="BJ133" s="9"/>
      <c r="BL133" s="16"/>
      <c r="BN133" s="9"/>
      <c r="BO133" s="9"/>
      <c r="BR133" s="9"/>
      <c r="BT133" s="16"/>
      <c r="BV133" s="9"/>
      <c r="BW133" s="9"/>
      <c r="BZ133" s="9"/>
      <c r="CB133" s="16"/>
      <c r="CD133" s="9"/>
    </row>
    <row r="134">
      <c r="AC134" s="9"/>
      <c r="AD134" s="9"/>
      <c r="AE134" s="1"/>
      <c r="AF134" s="1"/>
      <c r="AG134" s="1"/>
      <c r="AH134" s="9"/>
      <c r="AI134" s="9"/>
      <c r="AK134" s="25"/>
      <c r="AL134" s="9"/>
      <c r="AN134" s="16"/>
      <c r="AP134" s="9"/>
      <c r="AQ134" s="9"/>
      <c r="AS134" s="25"/>
      <c r="AT134" s="9"/>
      <c r="AV134" s="16"/>
      <c r="AX134" s="9"/>
      <c r="AY134" s="9"/>
      <c r="BA134" s="25"/>
      <c r="BB134" s="9"/>
      <c r="BD134" s="16"/>
      <c r="BF134" s="9"/>
      <c r="BG134" s="9"/>
      <c r="BI134" s="25"/>
      <c r="BJ134" s="9"/>
      <c r="BL134" s="16"/>
      <c r="BN134" s="9"/>
      <c r="BO134" s="9"/>
      <c r="BQ134" s="25"/>
      <c r="BR134" s="9"/>
      <c r="BT134" s="16"/>
      <c r="BV134" s="9"/>
      <c r="BW134" s="9"/>
      <c r="BY134" s="25"/>
      <c r="BZ134" s="9"/>
      <c r="CB134" s="16"/>
      <c r="CD134" s="9"/>
    </row>
    <row r="135">
      <c r="AC135" s="9"/>
      <c r="AD135" s="9"/>
      <c r="AE135" s="1"/>
      <c r="AF135" s="1"/>
      <c r="AG135" s="9"/>
      <c r="AH135" s="1"/>
      <c r="AI135" s="16"/>
      <c r="AL135" s="9"/>
      <c r="AN135" s="16"/>
      <c r="AP135" s="1"/>
      <c r="AQ135" s="16"/>
      <c r="AT135" s="9"/>
      <c r="AV135" s="16"/>
      <c r="AX135" s="1"/>
      <c r="AY135" s="16"/>
      <c r="BB135" s="9"/>
      <c r="BD135" s="16"/>
      <c r="BF135" s="1"/>
      <c r="BG135" s="16"/>
      <c r="BJ135" s="9"/>
      <c r="BL135" s="16"/>
      <c r="BN135" s="1"/>
      <c r="BO135" s="16"/>
      <c r="BR135" s="9"/>
      <c r="BT135" s="16"/>
      <c r="BV135" s="1"/>
      <c r="BW135" s="16"/>
      <c r="BZ135" s="9"/>
      <c r="CB135" s="16"/>
      <c r="CD135" s="1"/>
    </row>
    <row r="136">
      <c r="AB136" s="9"/>
      <c r="AD136" s="16"/>
      <c r="AE136" s="1"/>
      <c r="AF136" s="25"/>
      <c r="AG136" s="9"/>
      <c r="AH136" s="1"/>
      <c r="AI136" s="16"/>
      <c r="AP136" s="1"/>
      <c r="AQ136" s="16"/>
      <c r="AX136" s="1"/>
      <c r="AY136" s="16"/>
      <c r="BF136" s="1"/>
      <c r="BG136" s="16"/>
      <c r="BN136" s="1"/>
      <c r="BO136" s="16"/>
      <c r="BV136" s="1"/>
      <c r="BW136" s="16"/>
      <c r="CD136" s="1"/>
    </row>
    <row r="137">
      <c r="AA137" s="25"/>
      <c r="AB137" s="9"/>
      <c r="AD137" s="16"/>
      <c r="AE137" s="1"/>
      <c r="AF137" s="1"/>
      <c r="AG137" s="9"/>
      <c r="AH137" s="1"/>
      <c r="AI137" s="16"/>
      <c r="AK137" s="8"/>
      <c r="AL137" s="8"/>
      <c r="AM137" s="8"/>
      <c r="AN137" s="8"/>
      <c r="AP137" s="1"/>
      <c r="AQ137" s="16"/>
      <c r="AS137" s="8"/>
      <c r="AT137" s="8"/>
      <c r="AU137" s="8"/>
      <c r="AV137" s="8"/>
      <c r="AX137" s="1"/>
      <c r="AY137" s="16"/>
      <c r="BA137" s="8"/>
      <c r="BB137" s="8"/>
      <c r="BC137" s="8"/>
      <c r="BD137" s="8"/>
      <c r="BF137" s="1"/>
      <c r="BG137" s="16"/>
      <c r="BI137" s="8"/>
      <c r="BJ137" s="8"/>
      <c r="BK137" s="8"/>
      <c r="BL137" s="8"/>
      <c r="BN137" s="1"/>
      <c r="BO137" s="16"/>
      <c r="BQ137" s="8"/>
      <c r="BR137" s="8"/>
      <c r="BS137" s="8"/>
      <c r="BT137" s="8"/>
      <c r="BV137" s="1"/>
      <c r="BW137" s="16"/>
      <c r="BY137" s="8"/>
      <c r="BZ137" s="8"/>
      <c r="CA137" s="8"/>
      <c r="CB137" s="8"/>
      <c r="CD137" s="1"/>
    </row>
    <row r="138">
      <c r="AB138" s="9"/>
      <c r="AD138" s="16"/>
      <c r="AE138" s="1"/>
      <c r="AF138" s="1"/>
      <c r="AG138" s="1"/>
      <c r="AH138" s="1"/>
      <c r="AI138" s="1"/>
      <c r="AK138" s="9"/>
      <c r="AL138" s="9"/>
      <c r="AM138" s="9"/>
      <c r="AN138" s="9"/>
      <c r="AP138" s="1"/>
      <c r="AQ138" s="1"/>
      <c r="AS138" s="9"/>
      <c r="AT138" s="9"/>
      <c r="AU138" s="9"/>
      <c r="AV138" s="9"/>
      <c r="AX138" s="1"/>
      <c r="AY138" s="1"/>
      <c r="BA138" s="9"/>
      <c r="BB138" s="9"/>
      <c r="BC138" s="9"/>
      <c r="BD138" s="9"/>
      <c r="BF138" s="1"/>
      <c r="BG138" s="1"/>
      <c r="BI138" s="9"/>
      <c r="BJ138" s="9"/>
      <c r="BK138" s="9"/>
      <c r="BL138" s="9"/>
      <c r="BN138" s="1"/>
      <c r="BO138" s="1"/>
      <c r="BQ138" s="9"/>
      <c r="BR138" s="9"/>
      <c r="BS138" s="9"/>
      <c r="BT138" s="9"/>
      <c r="BV138" s="1"/>
      <c r="BW138" s="1"/>
      <c r="BY138" s="9"/>
      <c r="BZ138" s="9"/>
      <c r="CA138" s="9"/>
      <c r="CB138" s="9"/>
      <c r="CD138" s="1"/>
    </row>
    <row r="139">
      <c r="AC139" s="9"/>
      <c r="AD139" s="9"/>
      <c r="AE139" s="1"/>
      <c r="AF139" s="1"/>
      <c r="AG139" s="1"/>
      <c r="AH139" s="1"/>
      <c r="AI139" s="1"/>
      <c r="AM139" s="9"/>
      <c r="AN139" s="9"/>
      <c r="AP139" s="1"/>
      <c r="AQ139" s="1"/>
      <c r="AU139" s="9"/>
      <c r="AV139" s="9"/>
      <c r="AX139" s="1"/>
      <c r="AY139" s="1"/>
      <c r="BC139" s="9"/>
      <c r="BD139" s="9"/>
      <c r="BF139" s="1"/>
      <c r="BG139" s="1"/>
      <c r="BK139" s="9"/>
      <c r="BL139" s="9"/>
      <c r="BN139" s="1"/>
      <c r="BO139" s="1"/>
      <c r="BS139" s="9"/>
      <c r="BT139" s="9"/>
      <c r="BV139" s="1"/>
      <c r="BW139" s="1"/>
      <c r="CA139" s="9"/>
      <c r="CB139" s="9"/>
      <c r="CD139" s="1"/>
    </row>
    <row r="140">
      <c r="AA140" s="8"/>
      <c r="AB140" s="8"/>
      <c r="AC140" s="8"/>
      <c r="AD140" s="8"/>
      <c r="AE140" s="1"/>
      <c r="AF140" s="1"/>
      <c r="AG140" s="1"/>
      <c r="AH140" s="1"/>
      <c r="AI140" s="1"/>
      <c r="AM140" s="9"/>
      <c r="AN140" s="9"/>
      <c r="AP140" s="1"/>
      <c r="AQ140" s="1"/>
      <c r="AU140" s="9"/>
      <c r="AV140" s="9"/>
      <c r="AX140" s="1"/>
      <c r="AY140" s="1"/>
      <c r="BC140" s="9"/>
      <c r="BD140" s="9"/>
      <c r="BF140" s="1"/>
      <c r="BG140" s="1"/>
      <c r="BK140" s="9"/>
      <c r="BL140" s="9"/>
      <c r="BN140" s="1"/>
      <c r="BO140" s="1"/>
      <c r="BS140" s="9"/>
      <c r="BT140" s="9"/>
      <c r="BV140" s="1"/>
      <c r="BW140" s="1"/>
      <c r="CA140" s="9"/>
      <c r="CB140" s="9"/>
      <c r="CD140" s="1"/>
    </row>
    <row r="141">
      <c r="AA141" s="9"/>
      <c r="AB141" s="9"/>
      <c r="AC141" s="9"/>
      <c r="AD141" s="9"/>
      <c r="AE141" s="1"/>
      <c r="AF141" s="1"/>
      <c r="AG141" s="1"/>
      <c r="AH141" s="1"/>
      <c r="AI141" s="1"/>
      <c r="AM141" s="9"/>
      <c r="AN141" s="9"/>
      <c r="AP141" s="1"/>
      <c r="AQ141" s="1"/>
      <c r="AU141" s="9"/>
      <c r="AV141" s="9"/>
      <c r="AX141" s="1"/>
      <c r="AY141" s="1"/>
      <c r="BC141" s="9"/>
      <c r="BD141" s="9"/>
      <c r="BF141" s="1"/>
      <c r="BG141" s="1"/>
      <c r="BK141" s="9"/>
      <c r="BL141" s="9"/>
      <c r="BN141" s="1"/>
      <c r="BO141" s="1"/>
      <c r="BS141" s="9"/>
      <c r="BT141" s="9"/>
      <c r="BV141" s="1"/>
      <c r="BW141" s="1"/>
      <c r="CA141" s="9"/>
      <c r="CB141" s="9"/>
      <c r="CD141" s="1"/>
    </row>
    <row r="142">
      <c r="AC142" s="9"/>
      <c r="AD142" s="9"/>
      <c r="AE142" s="1"/>
      <c r="AF142" s="1"/>
      <c r="AG142" s="1"/>
      <c r="AH142" s="1"/>
      <c r="AI142" s="1"/>
      <c r="AL142" s="9"/>
      <c r="AN142" s="16"/>
      <c r="AP142" s="1"/>
      <c r="AQ142" s="1"/>
      <c r="AT142" s="9"/>
      <c r="AV142" s="16"/>
      <c r="AX142" s="1"/>
      <c r="AY142" s="1"/>
      <c r="BB142" s="9"/>
      <c r="BD142" s="16"/>
      <c r="BF142" s="1"/>
      <c r="BG142" s="1"/>
      <c r="BJ142" s="9"/>
      <c r="BL142" s="16"/>
      <c r="BN142" s="1"/>
      <c r="BO142" s="1"/>
      <c r="BR142" s="9"/>
      <c r="BT142" s="16"/>
      <c r="BV142" s="1"/>
      <c r="BW142" s="1"/>
      <c r="BZ142" s="9"/>
      <c r="CB142" s="16"/>
      <c r="CD142" s="1"/>
    </row>
    <row r="143">
      <c r="AC143" s="9"/>
      <c r="AD143" s="9"/>
      <c r="AE143" s="1"/>
      <c r="AF143" s="1"/>
      <c r="AG143" s="1"/>
      <c r="AH143" s="1"/>
      <c r="AI143" s="1"/>
      <c r="AK143" s="25"/>
      <c r="AL143" s="9"/>
      <c r="AN143" s="16"/>
      <c r="AP143" s="1"/>
      <c r="AQ143" s="1"/>
      <c r="AS143" s="25"/>
      <c r="AT143" s="9"/>
      <c r="AV143" s="16"/>
      <c r="AX143" s="1"/>
      <c r="AY143" s="1"/>
      <c r="BA143" s="25"/>
      <c r="BB143" s="9"/>
      <c r="BD143" s="16"/>
      <c r="BF143" s="1"/>
      <c r="BG143" s="1"/>
      <c r="BI143" s="25"/>
      <c r="BJ143" s="9"/>
      <c r="BL143" s="16"/>
      <c r="BN143" s="1"/>
      <c r="BO143" s="1"/>
      <c r="BQ143" s="25"/>
      <c r="BR143" s="9"/>
      <c r="BT143" s="16"/>
      <c r="BV143" s="1"/>
      <c r="BW143" s="1"/>
      <c r="BY143" s="25"/>
      <c r="BZ143" s="9"/>
      <c r="CB143" s="16"/>
      <c r="CD143" s="1"/>
    </row>
    <row r="144">
      <c r="AC144" s="9"/>
      <c r="AD144" s="9"/>
      <c r="AE144" s="1"/>
      <c r="AF144" s="1"/>
      <c r="AG144" s="1"/>
      <c r="AH144" s="1"/>
      <c r="AI144" s="1"/>
      <c r="AL144" s="9"/>
      <c r="AN144" s="16"/>
      <c r="AP144" s="1"/>
      <c r="AQ144" s="1"/>
      <c r="AT144" s="9"/>
      <c r="AV144" s="16"/>
      <c r="AX144" s="1"/>
      <c r="AY144" s="1"/>
      <c r="BB144" s="9"/>
      <c r="BD144" s="16"/>
      <c r="BF144" s="1"/>
      <c r="BG144" s="1"/>
      <c r="BJ144" s="9"/>
      <c r="BL144" s="16"/>
      <c r="BN144" s="1"/>
      <c r="BO144" s="1"/>
      <c r="BR144" s="9"/>
      <c r="BT144" s="16"/>
      <c r="BV144" s="1"/>
      <c r="BW144" s="1"/>
      <c r="BZ144" s="9"/>
      <c r="CB144" s="16"/>
      <c r="CD144" s="1"/>
    </row>
    <row r="145">
      <c r="AC145" s="9"/>
      <c r="AD145" s="9"/>
      <c r="AE145" s="1"/>
      <c r="AF145" s="1"/>
      <c r="AG145" s="1"/>
      <c r="AH145" s="1"/>
      <c r="AI145" s="1"/>
      <c r="AP145" s="1"/>
      <c r="AQ145" s="1"/>
      <c r="AX145" s="1"/>
      <c r="AY145" s="1"/>
      <c r="BF145" s="1"/>
      <c r="BG145" s="1"/>
      <c r="BN145" s="1"/>
      <c r="BO145" s="1"/>
      <c r="BV145" s="1"/>
      <c r="BW145" s="1"/>
      <c r="CD145" s="1"/>
    </row>
    <row r="146">
      <c r="AC146" s="9"/>
      <c r="AD146" s="9"/>
      <c r="AE146" s="1"/>
      <c r="AF146" s="1"/>
      <c r="AG146" s="1"/>
      <c r="AH146" s="1"/>
      <c r="AI146" s="1"/>
      <c r="AP146" s="1"/>
      <c r="AQ146" s="1"/>
      <c r="AX146" s="1"/>
      <c r="AY146" s="1"/>
      <c r="BF146" s="1"/>
      <c r="BG146" s="1"/>
      <c r="BN146" s="1"/>
      <c r="BO146" s="1"/>
      <c r="BV146" s="1"/>
      <c r="BW146" s="1"/>
      <c r="CD146" s="1"/>
    </row>
    <row r="147">
      <c r="AB147" s="9"/>
      <c r="AD147" s="16"/>
      <c r="AE147" s="1"/>
      <c r="AF147" s="1"/>
      <c r="AG147" s="1"/>
      <c r="AH147" s="1"/>
      <c r="AI147" s="1"/>
      <c r="AP147" s="1"/>
      <c r="AQ147" s="1"/>
      <c r="AX147" s="1"/>
      <c r="AY147" s="1"/>
      <c r="BF147" s="1"/>
      <c r="BG147" s="1"/>
      <c r="BN147" s="1"/>
      <c r="BO147" s="1"/>
      <c r="BV147" s="1"/>
      <c r="BW147" s="1"/>
      <c r="CD147" s="1"/>
    </row>
    <row r="148">
      <c r="AA148" s="25"/>
      <c r="AB148" s="9"/>
      <c r="AD148" s="16"/>
      <c r="AE148" s="1"/>
      <c r="AF148" s="1"/>
      <c r="AG148" s="1"/>
      <c r="AH148" s="1"/>
      <c r="AI148" s="1"/>
      <c r="AP148" s="1"/>
      <c r="AQ148" s="1"/>
      <c r="AX148" s="1"/>
      <c r="AY148" s="1"/>
      <c r="BF148" s="1"/>
      <c r="BG148" s="1"/>
      <c r="BN148" s="1"/>
      <c r="BO148" s="1"/>
      <c r="BV148" s="1"/>
      <c r="BW148" s="1"/>
      <c r="CD148" s="1"/>
    </row>
    <row r="149">
      <c r="AB149" s="9"/>
      <c r="AD149" s="16"/>
      <c r="AE149" s="1"/>
      <c r="AF149" s="1"/>
      <c r="AG149" s="1"/>
      <c r="AH149" s="1"/>
      <c r="AI149" s="1"/>
      <c r="AP149" s="1"/>
      <c r="AQ149" s="1"/>
      <c r="AX149" s="1"/>
      <c r="AY149" s="1"/>
      <c r="BF149" s="1"/>
      <c r="BG149" s="1"/>
      <c r="BN149" s="1"/>
      <c r="BO149" s="1"/>
      <c r="BV149" s="1"/>
      <c r="BW149" s="1"/>
      <c r="CD149" s="1"/>
    </row>
    <row r="150">
      <c r="AD150" s="1"/>
      <c r="AE150" s="1"/>
      <c r="AF150" s="1"/>
      <c r="AG150" s="1"/>
      <c r="AH150" s="1"/>
      <c r="AI150" s="1"/>
      <c r="AP150" s="1"/>
      <c r="AQ150" s="1"/>
      <c r="AX150" s="1"/>
      <c r="AY150" s="1"/>
      <c r="BF150" s="1"/>
      <c r="BG150" s="1"/>
      <c r="BN150" s="1"/>
      <c r="BO150" s="1"/>
      <c r="BV150" s="1"/>
      <c r="BW150" s="1"/>
      <c r="CD150" s="1"/>
    </row>
    <row r="151">
      <c r="AD151" s="1"/>
      <c r="AE151" s="1"/>
      <c r="AF151" s="1"/>
      <c r="AG151" s="1"/>
      <c r="AH151" s="1"/>
      <c r="AI151" s="1"/>
      <c r="AP151" s="1"/>
      <c r="AQ151" s="1"/>
      <c r="AX151" s="1"/>
      <c r="AY151" s="1"/>
      <c r="BF151" s="1"/>
      <c r="BG151" s="1"/>
      <c r="BN151" s="1"/>
      <c r="BO151" s="1"/>
      <c r="BV151" s="1"/>
      <c r="BW151" s="1"/>
      <c r="CD151" s="1"/>
    </row>
    <row r="152">
      <c r="AD152" s="1"/>
      <c r="AE152" s="1"/>
      <c r="AF152" s="1"/>
      <c r="AG152" s="1"/>
      <c r="AH152" s="1"/>
      <c r="AI152" s="1"/>
      <c r="AP152" s="1"/>
      <c r="AQ152" s="1"/>
      <c r="AX152" s="1"/>
      <c r="AY152" s="1"/>
      <c r="BF152" s="1"/>
      <c r="BG152" s="1"/>
      <c r="BN152" s="1"/>
      <c r="BO152" s="1"/>
      <c r="BV152" s="1"/>
      <c r="BW152" s="1"/>
      <c r="CD152" s="1"/>
    </row>
    <row r="153">
      <c r="AD153" s="1"/>
      <c r="AE153" s="1"/>
      <c r="AF153" s="1"/>
      <c r="AG153" s="1"/>
      <c r="AH153" s="1"/>
      <c r="AI153" s="1"/>
      <c r="AP153" s="1"/>
      <c r="AQ153" s="1"/>
      <c r="AX153" s="1"/>
      <c r="AY153" s="1"/>
      <c r="BF153" s="1"/>
      <c r="BG153" s="1"/>
      <c r="BN153" s="1"/>
      <c r="BO153" s="1"/>
      <c r="BV153" s="1"/>
      <c r="BW153" s="1"/>
      <c r="CD153" s="1"/>
    </row>
  </sheetData>
  <mergeCells count="31">
    <mergeCell ref="B2:I2"/>
    <mergeCell ref="K2:R2"/>
    <mergeCell ref="T2:Y2"/>
    <mergeCell ref="AA2:AG2"/>
    <mergeCell ref="AI2:AO2"/>
    <mergeCell ref="AQ2:AW2"/>
    <mergeCell ref="AY2:BE2"/>
    <mergeCell ref="BG2:BM2"/>
    <mergeCell ref="BO2:BU2"/>
    <mergeCell ref="BW2:CC2"/>
    <mergeCell ref="B11:I11"/>
    <mergeCell ref="AI12:AO12"/>
    <mergeCell ref="AQ12:AW12"/>
    <mergeCell ref="AY12:BE12"/>
    <mergeCell ref="BG12:BM12"/>
    <mergeCell ref="BO12:BU12"/>
    <mergeCell ref="BW12:CC12"/>
    <mergeCell ref="K19:R19"/>
    <mergeCell ref="AA20:AG20"/>
    <mergeCell ref="B21:I21"/>
    <mergeCell ref="AI22:AO22"/>
    <mergeCell ref="AQ22:AW22"/>
    <mergeCell ref="AY22:BE22"/>
    <mergeCell ref="BG22:BM22"/>
    <mergeCell ref="BO22:BU22"/>
    <mergeCell ref="BW22:CC22"/>
    <mergeCell ref="K26:R26"/>
    <mergeCell ref="AA30:AG30"/>
    <mergeCell ref="B35:I35"/>
    <mergeCell ref="K37:R37"/>
    <mergeCell ref="B61:I6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3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:A"/>
    </sheetView>
  </sheetViews>
  <sheetFormatPr defaultRowHeight="16.5"/>
  <sheetData>
    <row r="2">
      <c r="B2" s="29" t="s">
        <v>16</v>
      </c>
      <c r="C2" s="29" t="s">
        <v>19</v>
      </c>
      <c r="D2" s="29" t="s">
        <v>251</v>
      </c>
      <c r="E2" s="29" t="s">
        <v>252</v>
      </c>
    </row>
    <row r="3">
      <c r="B3" s="29" t="s">
        <v>23</v>
      </c>
      <c r="C3" s="30">
        <v>4</v>
      </c>
      <c r="D3" s="30" t="b">
        <v>1</v>
      </c>
      <c r="E3" s="30" t="b">
        <v>1</v>
      </c>
      <c r="M3" s="31"/>
    </row>
    <row r="4">
      <c r="B4" s="29" t="s">
        <v>60</v>
      </c>
      <c r="C4" s="30">
        <v>3.7000000000000002</v>
      </c>
      <c r="D4" s="30" t="b">
        <v>1</v>
      </c>
      <c r="E4" s="30" t="b">
        <v>1</v>
      </c>
      <c r="M4" s="31"/>
    </row>
    <row r="5">
      <c r="B5" s="29" t="s">
        <v>33</v>
      </c>
      <c r="C5" s="30">
        <v>3.2999999999999998</v>
      </c>
      <c r="D5" s="30" t="b">
        <v>1</v>
      </c>
      <c r="E5" s="30" t="b">
        <v>1</v>
      </c>
      <c r="M5" s="31"/>
    </row>
    <row r="6">
      <c r="B6" s="29" t="s">
        <v>39</v>
      </c>
      <c r="C6" s="30">
        <v>3</v>
      </c>
      <c r="D6" s="30" t="b">
        <v>1</v>
      </c>
      <c r="E6" s="30" t="b">
        <v>1</v>
      </c>
      <c r="M6" s="31"/>
    </row>
    <row r="7">
      <c r="B7" s="29" t="s">
        <v>173</v>
      </c>
      <c r="C7" s="30">
        <v>2.7000000000000002</v>
      </c>
      <c r="D7" s="30" t="b">
        <v>1</v>
      </c>
      <c r="E7" s="30" t="b">
        <v>1</v>
      </c>
      <c r="M7" s="31"/>
    </row>
    <row r="8">
      <c r="B8" s="29" t="s">
        <v>253</v>
      </c>
      <c r="C8" s="30">
        <v>2.2999999999999998</v>
      </c>
      <c r="D8" s="30" t="b">
        <v>1</v>
      </c>
      <c r="E8" s="30" t="b">
        <v>1</v>
      </c>
      <c r="M8" s="31"/>
    </row>
    <row r="9">
      <c r="B9" s="29" t="s">
        <v>36</v>
      </c>
      <c r="C9" s="30">
        <v>2</v>
      </c>
      <c r="D9" s="30" t="b">
        <v>1</v>
      </c>
      <c r="E9" s="30" t="b">
        <v>1</v>
      </c>
      <c r="M9" s="31"/>
    </row>
    <row r="10">
      <c r="B10" s="29" t="s">
        <v>154</v>
      </c>
      <c r="C10" s="30">
        <v>1.7</v>
      </c>
      <c r="D10" s="30" t="b">
        <v>1</v>
      </c>
      <c r="E10" s="30" t="b">
        <v>1</v>
      </c>
      <c r="M10" s="31"/>
    </row>
    <row r="11">
      <c r="B11" s="29" t="s">
        <v>143</v>
      </c>
      <c r="C11" s="30">
        <v>1.3</v>
      </c>
      <c r="D11" s="30" t="b">
        <v>1</v>
      </c>
      <c r="E11" s="30" t="b">
        <v>1</v>
      </c>
      <c r="M11" s="31"/>
    </row>
    <row r="12">
      <c r="B12" s="29" t="s">
        <v>254</v>
      </c>
      <c r="C12" s="30">
        <v>1</v>
      </c>
      <c r="D12" s="30" t="b">
        <v>1</v>
      </c>
      <c r="E12" s="30" t="b">
        <v>1</v>
      </c>
      <c r="M12" s="31"/>
    </row>
    <row r="13">
      <c r="B13" s="29" t="s">
        <v>255</v>
      </c>
      <c r="C13" s="30">
        <v>0</v>
      </c>
      <c r="D13" s="30" t="b">
        <v>0</v>
      </c>
      <c r="E13" s="30" t="b">
        <v>1</v>
      </c>
      <c r="M13" s="31"/>
    </row>
    <row r="14">
      <c r="B14" s="29" t="s">
        <v>30</v>
      </c>
      <c r="C14" s="30">
        <v>0</v>
      </c>
      <c r="D14" s="30" t="b">
        <v>1</v>
      </c>
      <c r="E14" s="30" t="b">
        <v>0</v>
      </c>
      <c r="M14" s="31"/>
    </row>
    <row r="15">
      <c r="B15" s="29" t="s">
        <v>108</v>
      </c>
      <c r="C15" s="30">
        <v>0</v>
      </c>
      <c r="D15" s="30" t="b">
        <v>1</v>
      </c>
      <c r="E15" s="30" t="b">
        <v>0</v>
      </c>
      <c r="M15" s="31"/>
    </row>
    <row r="16">
      <c r="B16" s="29" t="s">
        <v>57</v>
      </c>
      <c r="C16" s="30">
        <v>0</v>
      </c>
      <c r="D16" s="30" t="b">
        <v>0</v>
      </c>
      <c r="E16" s="30" t="b">
        <v>1</v>
      </c>
      <c r="M16" s="31"/>
    </row>
    <row r="17">
      <c r="B17" s="29" t="s">
        <v>76</v>
      </c>
      <c r="C17" s="30">
        <v>0</v>
      </c>
      <c r="D17" s="30" t="b">
        <v>0</v>
      </c>
      <c r="E17" s="30" t="b">
        <v>0</v>
      </c>
      <c r="J17" s="31"/>
      <c r="M17" s="31"/>
    </row>
    <row r="18">
      <c r="B18" s="29" t="s">
        <v>43</v>
      </c>
      <c r="C18" s="30">
        <v>0</v>
      </c>
      <c r="D18" s="30" t="b">
        <v>0</v>
      </c>
      <c r="E18" s="30" t="b">
        <v>0</v>
      </c>
    </row>
    <row r="19">
      <c r="B19" s="29"/>
      <c r="C19" s="30">
        <v>0</v>
      </c>
      <c r="D19" s="30" t="b">
        <v>0</v>
      </c>
      <c r="E19" s="30" t="b">
        <v>0</v>
      </c>
    </row>
    <row r="21">
      <c r="D21" s="3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EFC0E273B4448ADB2A0B5537F1604" ma:contentTypeVersion="12" ma:contentTypeDescription="Create a new document." ma:contentTypeScope="" ma:versionID="fcc4a83fc3b2681cedf309e0f72103f9">
  <xsd:schema xmlns:xsd="http://www.w3.org/2001/XMLSchema" xmlns:xs="http://www.w3.org/2001/XMLSchema" xmlns:p="http://schemas.microsoft.com/office/2006/metadata/properties" xmlns:ns3="ab5a4ec9-3263-4139-8c23-bb12d91bd743" xmlns:ns4="4b188ad4-ffdc-40fc-8d01-6971b97b8943" targetNamespace="http://schemas.microsoft.com/office/2006/metadata/properties" ma:root="true" ma:fieldsID="57f9c47b2253a8efff332ce8e054c02f" ns3:_="" ns4:_="">
    <xsd:import namespace="ab5a4ec9-3263-4139-8c23-bb12d91bd743"/>
    <xsd:import namespace="4b188ad4-ffdc-40fc-8d01-6971b97b8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a4ec9-3263-4139-8c23-bb12d91bd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8ad4-ffdc-40fc-8d01-6971b97b8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9F123-370D-460E-86E1-9FFB1C1FD1F3}"/>
</file>

<file path=customXml/itemProps2.xml><?xml version="1.0" encoding="utf-8"?>
<ds:datastoreItem xmlns:ds="http://schemas.openxmlformats.org/officeDocument/2006/customXml" ds:itemID="{C8B38386-877F-44ED-AA0E-A0FB33695056}"/>
</file>

<file path=customXml/itemProps3.xml><?xml version="1.0" encoding="utf-8"?>
<ds:datastoreItem xmlns:ds="http://schemas.openxmlformats.org/officeDocument/2006/customXml" ds:itemID="{DE96BFDD-CAB1-40B1-B2AC-17ECFDB3606F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Faye Leigh</dc:creator>
  <cp:keywords/>
  <dc:description/>
  <cp:revision>1</cp:revision>
  <dcterms:created xsi:type="dcterms:W3CDTF">2022-08-29T01:39:41Z</dcterms:created>
  <dcterms:modified xsi:type="dcterms:W3CDTF">2025-01-06T19:27:26Z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0x010100E7DEFC0E273B4448ADB2A0B5537F1604</vt:lpwstr>
  </property>
</Properties>
</file>