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nce\Documents\GitHub\dromotherm\datas\"/>
    </mc:Choice>
  </mc:AlternateContent>
  <bookViews>
    <workbookView xWindow="0" yWindow="0" windowWidth="20490" windowHeight="7410" activeTab="1"/>
  </bookViews>
  <sheets>
    <sheet name="Dromotherm" sheetId="1" r:id="rId1"/>
    <sheet name="Batiment" sheetId="2" r:id="rId2"/>
    <sheet name="Stockage" sheetId="3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" l="1"/>
  <c r="B56" i="2"/>
  <c r="B55" i="2"/>
  <c r="B53" i="2"/>
  <c r="B11" i="2"/>
  <c r="B54" i="2"/>
  <c r="B50" i="2"/>
  <c r="B49" i="2"/>
  <c r="B48" i="2"/>
  <c r="B47" i="2"/>
  <c r="B45" i="2"/>
  <c r="B44" i="2"/>
  <c r="B41" i="2"/>
  <c r="B40" i="2"/>
  <c r="B37" i="2"/>
  <c r="B10" i="3" l="1"/>
  <c r="F23" i="3"/>
  <c r="F22" i="3"/>
  <c r="F21" i="3"/>
  <c r="F16" i="3"/>
  <c r="B31" i="3"/>
  <c r="B6" i="3"/>
  <c r="B11" i="3" l="1"/>
  <c r="B12" i="3" l="1"/>
  <c r="B28" i="2"/>
  <c r="B27" i="2"/>
  <c r="B34" i="2" l="1"/>
  <c r="B33" i="2"/>
  <c r="B31" i="2"/>
  <c r="B30" i="2"/>
  <c r="B10" i="2" s="1"/>
  <c r="C31" i="2" l="1"/>
  <c r="C34" i="2"/>
  <c r="B20" i="2"/>
  <c r="B19" i="2"/>
  <c r="B12" i="2"/>
  <c r="C22" i="1" l="1"/>
  <c r="C23" i="1"/>
  <c r="C11" i="1"/>
</calcChain>
</file>

<file path=xl/sharedStrings.xml><?xml version="1.0" encoding="utf-8"?>
<sst xmlns="http://schemas.openxmlformats.org/spreadsheetml/2006/main" count="199" uniqueCount="157">
  <si>
    <t>Notations</t>
  </si>
  <si>
    <t xml:space="preserve">Significations </t>
  </si>
  <si>
    <t>valeurs</t>
  </si>
  <si>
    <t>unités</t>
  </si>
  <si>
    <t>cm</t>
  </si>
  <si>
    <t>e1 (hs)</t>
  </si>
  <si>
    <t>e2 (hd)</t>
  </si>
  <si>
    <t>e3 (hb)</t>
  </si>
  <si>
    <t>(rho*C)s</t>
  </si>
  <si>
    <t>J/m3.K</t>
  </si>
  <si>
    <t>(rho*C)d</t>
  </si>
  <si>
    <t>(rho*C)b</t>
  </si>
  <si>
    <t>alpha</t>
  </si>
  <si>
    <t>albédo</t>
  </si>
  <si>
    <t>sigma</t>
  </si>
  <si>
    <t>epsilon</t>
  </si>
  <si>
    <t>ks</t>
  </si>
  <si>
    <t>W/m.K</t>
  </si>
  <si>
    <t>kd</t>
  </si>
  <si>
    <t>kb</t>
  </si>
  <si>
    <t>Rg</t>
  </si>
  <si>
    <t>qf</t>
  </si>
  <si>
    <t>l/h</t>
  </si>
  <si>
    <t>Te</t>
  </si>
  <si>
    <t>°C</t>
  </si>
  <si>
    <t>Hv</t>
  </si>
  <si>
    <t>W/m2.K</t>
  </si>
  <si>
    <t>rd/s</t>
  </si>
  <si>
    <t>Rat</t>
  </si>
  <si>
    <t>W/m2</t>
  </si>
  <si>
    <t>teta ext</t>
  </si>
  <si>
    <t>K</t>
  </si>
  <si>
    <t>S</t>
  </si>
  <si>
    <t>m2</t>
  </si>
  <si>
    <t>rd/b</t>
  </si>
  <si>
    <t>(rho*C)f</t>
  </si>
  <si>
    <t>k</t>
  </si>
  <si>
    <t>PARAMETRES HYDRO-THERMIQUES DE L'ECHANGEUR DROMOTHERM</t>
  </si>
  <si>
    <t>page 71 (thèse Mme Sarah)</t>
  </si>
  <si>
    <t>capacité calorifique volumique couche de roulement</t>
  </si>
  <si>
    <t xml:space="preserve">capacité calorifique volumique couche drainante </t>
  </si>
  <si>
    <t>capacité calorifique volumique couche de base</t>
  </si>
  <si>
    <t>capacité calorifique volumique du fluide (eau)</t>
  </si>
  <si>
    <t xml:space="preserve">émisivité </t>
  </si>
  <si>
    <t>Rayonnement solaire gglobal</t>
  </si>
  <si>
    <t>(A compléter)</t>
  </si>
  <si>
    <t>Rayonnement atmosphérique</t>
  </si>
  <si>
    <t>conductivité thermique couche de roulement</t>
  </si>
  <si>
    <t>conductivité thermique couche drainante</t>
  </si>
  <si>
    <t>conductivité thermique couche de base</t>
  </si>
  <si>
    <t>coefficient d'échange convectif surface/air</t>
  </si>
  <si>
    <t>coefficient d'échange surfacique (couche draiante/ couche de roulement )</t>
  </si>
  <si>
    <t>coefficient d'échange surfacique (couche draiante/ couche de base )</t>
  </si>
  <si>
    <t>Température ambiante</t>
  </si>
  <si>
    <t>Surface de chaussée</t>
  </si>
  <si>
    <t>Coefficent d'échange convectif entre la couche drainante et l'eau</t>
  </si>
  <si>
    <t>Débit volumique fluide</t>
  </si>
  <si>
    <t>Température d'injection fluide</t>
  </si>
  <si>
    <t>Observations</t>
  </si>
  <si>
    <t xml:space="preserve">épaisseur couche de roulement </t>
  </si>
  <si>
    <t xml:space="preserve">épaisseur couche drainante </t>
  </si>
  <si>
    <t>Enveloppe</t>
  </si>
  <si>
    <t>Bois</t>
  </si>
  <si>
    <t>épaisseur (cm)</t>
  </si>
  <si>
    <t>Isolant</t>
  </si>
  <si>
    <t>Plaque de plâtre</t>
  </si>
  <si>
    <t>conductivité thermique(W/m.K)</t>
  </si>
  <si>
    <t>Composants</t>
  </si>
  <si>
    <t>Capacité calorifique (J/Kg.K)</t>
  </si>
  <si>
    <t>masse volumique( kg/m3)</t>
  </si>
  <si>
    <t>Surface totale (m2)</t>
  </si>
  <si>
    <t>Capacité thermique (Wh/K)</t>
  </si>
  <si>
    <t>Plancher</t>
  </si>
  <si>
    <t>Composant</t>
  </si>
  <si>
    <t>Béton</t>
  </si>
  <si>
    <t>Polystyrène</t>
  </si>
  <si>
    <t>Toit</t>
  </si>
  <si>
    <t>Surface(m2)</t>
  </si>
  <si>
    <t xml:space="preserve">DESCRIPTIF DU BATIMENT </t>
  </si>
  <si>
    <t>Résistance thermique (K/W.m2)</t>
  </si>
  <si>
    <t>Fenêtres(K-LINE Frappe KL-FP teinte clair en vitre)</t>
  </si>
  <si>
    <t>épaisseur(cm)</t>
  </si>
  <si>
    <t>Porte(Porte pleine en bois de couleur sombre)</t>
  </si>
  <si>
    <t>constante de Stefan-Boltzmann</t>
  </si>
  <si>
    <t>variable</t>
  </si>
  <si>
    <t>masse de sable</t>
  </si>
  <si>
    <t>masse volumique eau glycolée</t>
  </si>
  <si>
    <t>kg/m3</t>
  </si>
  <si>
    <t xml:space="preserve">Capacité calorifique volumique </t>
  </si>
  <si>
    <t>J/(m3.K)</t>
  </si>
  <si>
    <t>(mesurée autour de 0°C)</t>
  </si>
  <si>
    <t>conductivité</t>
  </si>
  <si>
    <t xml:space="preserve">masse volumique </t>
  </si>
  <si>
    <t>Le sable</t>
  </si>
  <si>
    <t xml:space="preserve">Diamétre </t>
  </si>
  <si>
    <t>capacité calorifique volumique</t>
  </si>
  <si>
    <t xml:space="preserve">teneur volumique en eau </t>
  </si>
  <si>
    <t>masse d'eau</t>
  </si>
  <si>
    <t>masse du stockage</t>
  </si>
  <si>
    <t xml:space="preserve">Volume </t>
  </si>
  <si>
    <t>m^3</t>
  </si>
  <si>
    <t>kg</t>
  </si>
  <si>
    <t>Les corbeilles géothermiques</t>
  </si>
  <si>
    <t>Rayon intérieure</t>
  </si>
  <si>
    <t>Rayon extérieure</t>
  </si>
  <si>
    <t>m</t>
  </si>
  <si>
    <t>page 27 these xavier</t>
  </si>
  <si>
    <t>Résistance thermique</t>
  </si>
  <si>
    <t>K/W</t>
  </si>
  <si>
    <t>mm</t>
  </si>
  <si>
    <t>Capteurs horizontaux(Terra Horizon)</t>
  </si>
  <si>
    <t xml:space="preserve">Rendement </t>
  </si>
  <si>
    <t>15 à 30</t>
  </si>
  <si>
    <t xml:space="preserve">Surafce de captage </t>
  </si>
  <si>
    <t>150 à 250 %</t>
  </si>
  <si>
    <t xml:space="preserve">Contenance en eau </t>
  </si>
  <si>
    <t>L</t>
  </si>
  <si>
    <t xml:space="preserve">Diamètre </t>
  </si>
  <si>
    <t xml:space="preserve">Longeur </t>
  </si>
  <si>
    <t>Volume occupé par la sonde</t>
  </si>
  <si>
    <t>Capteurs verticaux (TERRA EXTREM)</t>
  </si>
  <si>
    <t xml:space="preserve">DONNES SUR LE STOCKAGE THERMIQUES </t>
  </si>
  <si>
    <t>Valeurs</t>
  </si>
  <si>
    <t>Données</t>
  </si>
  <si>
    <t>Unités</t>
  </si>
  <si>
    <t xml:space="preserve">Les capteurs géothermiques </t>
  </si>
  <si>
    <t>Eau glycolée</t>
  </si>
  <si>
    <t>capacité calorifique massqieu</t>
  </si>
  <si>
    <t>H</t>
  </si>
  <si>
    <t>p</t>
  </si>
  <si>
    <t>R</t>
  </si>
  <si>
    <t>Lamb</t>
  </si>
  <si>
    <t>Résistance plancher (K/W)</t>
  </si>
  <si>
    <t>Résistance thermique (K/W)</t>
  </si>
  <si>
    <t>Résistance enveloppe (K/W)</t>
  </si>
  <si>
    <t>Largeur</t>
  </si>
  <si>
    <t>Longueur</t>
  </si>
  <si>
    <t>Hauteur</t>
  </si>
  <si>
    <t>Infiltration d'air</t>
  </si>
  <si>
    <t>Débit surfacique d'infiltration(m3/s.m2)</t>
  </si>
  <si>
    <t>massa volumique de l'air(kg/m3)</t>
  </si>
  <si>
    <t xml:space="preserve"> Capacité thermique massique de l'air</t>
  </si>
  <si>
    <t>Surface totale enveloppe(m2)</t>
  </si>
  <si>
    <t>Résistance thermique due aux infiltrations</t>
  </si>
  <si>
    <t>(tirée de la RT2012)</t>
  </si>
  <si>
    <t>Renouvellement d'air(VMC Simple flux)</t>
  </si>
  <si>
    <t>Débit de renouvellement d'air (1 volume/h)</t>
  </si>
  <si>
    <t>Résistance thermique due au renouvellement d'air</t>
  </si>
  <si>
    <t>Résistance superficielle intérieure (convection+rayonnement)</t>
  </si>
  <si>
    <t>Murs verticaux</t>
  </si>
  <si>
    <t>Ri totale</t>
  </si>
  <si>
    <t>Résistance totale des murs Rm</t>
  </si>
  <si>
    <t>Résistance Renouvellement + Infiltration et vitres Rf</t>
  </si>
  <si>
    <t>Résistance superficielle intérieure Ri</t>
  </si>
  <si>
    <t>Capacité thermique de l'air intérieur(Wh/K)</t>
  </si>
  <si>
    <t>Capacité thermique des murs (Wh/K)</t>
  </si>
  <si>
    <t>Récapitulatif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</si>
</sst>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72" formatCode="0.00000"/>
    <numFmt numFmtId="173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0" fillId="0" borderId="1" xfId="0" applyFill="1" applyBorder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/>
    <xf numFmtId="172" fontId="0" fillId="0" borderId="1" xfId="0" applyNumberFormat="1" applyBorder="1"/>
    <xf numFmtId="173" fontId="0" fillId="0" borderId="1" xfId="0" applyNumberFormat="1" applyBorder="1"/>
    <xf numFmtId="0" fontId="2" fillId="0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11" fontId="2" fillId="2" borderId="1" xfId="0" applyNumberFormat="1" applyFont="1" applyFill="1" applyBorder="1"/>
    <xf numFmtId="165" fontId="2" fillId="2" borderId="1" xfId="0" applyNumberFormat="1" applyFont="1" applyFill="1" applyBorder="1"/>
    <xf numFmtId="1" fontId="2" fillId="2" borderId="1" xfId="0" applyNumberFormat="1" applyFont="1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H6" sqref="H6"/>
    </sheetView>
  </sheetViews>
  <sheetFormatPr baseColWidth="10" defaultRowHeight="15" x14ac:dyDescent="0.25"/>
  <cols>
    <col min="2" max="2" width="67" bestFit="1" customWidth="1"/>
    <col min="3" max="3" width="13.28515625" bestFit="1" customWidth="1"/>
    <col min="5" max="5" width="28.85546875" bestFit="1" customWidth="1"/>
  </cols>
  <sheetData>
    <row r="1" spans="1:5" x14ac:dyDescent="0.25">
      <c r="A1" s="25" t="s">
        <v>37</v>
      </c>
      <c r="B1" s="26"/>
      <c r="C1" s="26"/>
      <c r="D1" s="26"/>
      <c r="E1" s="27"/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5" t="s">
        <v>58</v>
      </c>
    </row>
    <row r="3" spans="1:5" x14ac:dyDescent="0.25">
      <c r="A3" s="1" t="s">
        <v>5</v>
      </c>
      <c r="B3" s="1" t="s">
        <v>59</v>
      </c>
      <c r="C3" s="1">
        <v>6</v>
      </c>
      <c r="D3" s="1" t="s">
        <v>4</v>
      </c>
      <c r="E3" s="1"/>
    </row>
    <row r="4" spans="1:5" x14ac:dyDescent="0.25">
      <c r="A4" s="1" t="s">
        <v>6</v>
      </c>
      <c r="B4" s="1" t="s">
        <v>60</v>
      </c>
      <c r="C4" s="1">
        <v>8</v>
      </c>
      <c r="D4" s="1" t="s">
        <v>4</v>
      </c>
      <c r="E4" s="1"/>
    </row>
    <row r="5" spans="1:5" x14ac:dyDescent="0.25">
      <c r="A5" s="1" t="s">
        <v>7</v>
      </c>
      <c r="B5" s="1" t="s">
        <v>60</v>
      </c>
      <c r="C5" s="1">
        <v>100</v>
      </c>
      <c r="D5" s="1" t="s">
        <v>4</v>
      </c>
      <c r="E5" s="1"/>
    </row>
    <row r="6" spans="1:5" x14ac:dyDescent="0.25">
      <c r="A6" s="1" t="s">
        <v>8</v>
      </c>
      <c r="B6" s="1" t="s">
        <v>39</v>
      </c>
      <c r="C6" s="1">
        <v>2144309</v>
      </c>
      <c r="D6" s="1" t="s">
        <v>9</v>
      </c>
      <c r="E6" s="1"/>
    </row>
    <row r="7" spans="1:5" x14ac:dyDescent="0.25">
      <c r="A7" s="1" t="s">
        <v>10</v>
      </c>
      <c r="B7" s="1" t="s">
        <v>40</v>
      </c>
      <c r="C7" s="1">
        <v>1769723</v>
      </c>
      <c r="D7" s="1" t="s">
        <v>9</v>
      </c>
      <c r="E7" s="1"/>
    </row>
    <row r="8" spans="1:5" x14ac:dyDescent="0.25">
      <c r="A8" s="1" t="s">
        <v>11</v>
      </c>
      <c r="B8" s="1" t="s">
        <v>41</v>
      </c>
      <c r="C8" s="1">
        <v>2676723</v>
      </c>
      <c r="D8" s="1" t="s">
        <v>9</v>
      </c>
      <c r="E8" s="1"/>
    </row>
    <row r="9" spans="1:5" x14ac:dyDescent="0.25">
      <c r="A9" s="1" t="s">
        <v>35</v>
      </c>
      <c r="B9" s="1" t="s">
        <v>42</v>
      </c>
      <c r="C9" s="1">
        <v>4181000</v>
      </c>
      <c r="D9" s="1" t="s">
        <v>9</v>
      </c>
      <c r="E9" s="1"/>
    </row>
    <row r="10" spans="1:5" x14ac:dyDescent="0.25">
      <c r="A10" s="1" t="s">
        <v>12</v>
      </c>
      <c r="B10" s="1" t="s">
        <v>13</v>
      </c>
      <c r="C10" s="1">
        <v>0.08</v>
      </c>
      <c r="D10" s="1"/>
      <c r="E10" s="1"/>
    </row>
    <row r="11" spans="1:5" x14ac:dyDescent="0.25">
      <c r="A11" s="1" t="s">
        <v>14</v>
      </c>
      <c r="B11" s="1" t="s">
        <v>83</v>
      </c>
      <c r="C11" s="1">
        <f>5.67*10^(-8)</f>
        <v>5.6699999999999998E-8</v>
      </c>
      <c r="D11" s="1"/>
      <c r="E11" s="1"/>
    </row>
    <row r="12" spans="1:5" x14ac:dyDescent="0.25">
      <c r="A12" s="1" t="s">
        <v>15</v>
      </c>
      <c r="B12" s="1" t="s">
        <v>43</v>
      </c>
      <c r="C12" s="1">
        <v>0.92</v>
      </c>
      <c r="D12" s="1"/>
      <c r="E12" s="1"/>
    </row>
    <row r="13" spans="1:5" x14ac:dyDescent="0.25">
      <c r="A13" s="1" t="s">
        <v>16</v>
      </c>
      <c r="B13" s="1" t="s">
        <v>47</v>
      </c>
      <c r="C13" s="1">
        <v>2.34</v>
      </c>
      <c r="D13" s="1" t="s">
        <v>17</v>
      </c>
      <c r="E13" s="1"/>
    </row>
    <row r="14" spans="1:5" x14ac:dyDescent="0.25">
      <c r="A14" s="1" t="s">
        <v>18</v>
      </c>
      <c r="B14" s="1" t="s">
        <v>48</v>
      </c>
      <c r="C14" s="1">
        <v>1.56</v>
      </c>
      <c r="D14" s="1" t="s">
        <v>17</v>
      </c>
      <c r="E14" s="1"/>
    </row>
    <row r="15" spans="1:5" x14ac:dyDescent="0.25">
      <c r="A15" s="1" t="s">
        <v>19</v>
      </c>
      <c r="B15" s="1" t="s">
        <v>49</v>
      </c>
      <c r="C15" s="1">
        <v>1.76</v>
      </c>
      <c r="D15" s="1" t="s">
        <v>17</v>
      </c>
      <c r="E15" s="1"/>
    </row>
    <row r="16" spans="1:5" x14ac:dyDescent="0.25">
      <c r="A16" s="1" t="s">
        <v>20</v>
      </c>
      <c r="B16" s="1" t="s">
        <v>44</v>
      </c>
      <c r="C16" s="1" t="s">
        <v>45</v>
      </c>
      <c r="D16" s="1" t="s">
        <v>29</v>
      </c>
      <c r="E16" s="1"/>
    </row>
    <row r="17" spans="1:5" x14ac:dyDescent="0.25">
      <c r="A17" s="1" t="s">
        <v>28</v>
      </c>
      <c r="B17" s="1" t="s">
        <v>46</v>
      </c>
      <c r="C17" s="1" t="s">
        <v>45</v>
      </c>
      <c r="D17" s="1" t="s">
        <v>29</v>
      </c>
      <c r="E17" s="1"/>
    </row>
    <row r="18" spans="1:5" x14ac:dyDescent="0.25">
      <c r="A18" s="1" t="s">
        <v>21</v>
      </c>
      <c r="B18" s="1" t="s">
        <v>56</v>
      </c>
      <c r="C18" s="1">
        <v>50</v>
      </c>
      <c r="D18" s="1" t="s">
        <v>22</v>
      </c>
      <c r="E18" s="1"/>
    </row>
    <row r="19" spans="1:5" x14ac:dyDescent="0.25">
      <c r="A19" s="1" t="s">
        <v>23</v>
      </c>
      <c r="B19" s="1" t="s">
        <v>57</v>
      </c>
      <c r="C19" s="1">
        <v>10</v>
      </c>
      <c r="D19" s="1" t="s">
        <v>24</v>
      </c>
      <c r="E19" s="1"/>
    </row>
    <row r="20" spans="1:5" x14ac:dyDescent="0.25">
      <c r="A20" s="1" t="s">
        <v>25</v>
      </c>
      <c r="B20" s="1" t="s">
        <v>50</v>
      </c>
      <c r="C20" s="1" t="s">
        <v>84</v>
      </c>
      <c r="D20" s="1" t="s">
        <v>26</v>
      </c>
      <c r="E20" s="1" t="s">
        <v>38</v>
      </c>
    </row>
    <row r="21" spans="1:5" x14ac:dyDescent="0.25">
      <c r="A21" s="1" t="s">
        <v>27</v>
      </c>
      <c r="B21" s="1" t="s">
        <v>51</v>
      </c>
      <c r="C21" s="1">
        <v>27</v>
      </c>
      <c r="D21" s="1" t="s">
        <v>26</v>
      </c>
      <c r="E21" s="1"/>
    </row>
    <row r="22" spans="1:5" x14ac:dyDescent="0.25">
      <c r="A22" s="1" t="s">
        <v>34</v>
      </c>
      <c r="B22" s="1" t="s">
        <v>52</v>
      </c>
      <c r="C22" s="2">
        <f>(2*C14*C15)*100/(C4*C15+C5*C14)</f>
        <v>3.2285983066792094</v>
      </c>
      <c r="D22" s="1" t="s">
        <v>26</v>
      </c>
      <c r="E22" s="1"/>
    </row>
    <row r="23" spans="1:5" x14ac:dyDescent="0.25">
      <c r="A23" s="1" t="s">
        <v>30</v>
      </c>
      <c r="B23" s="1" t="s">
        <v>53</v>
      </c>
      <c r="C23" s="1">
        <f>273+5</f>
        <v>278</v>
      </c>
      <c r="D23" s="1" t="s">
        <v>31</v>
      </c>
      <c r="E23" s="1"/>
    </row>
    <row r="24" spans="1:5" x14ac:dyDescent="0.25">
      <c r="A24" s="1" t="s">
        <v>32</v>
      </c>
      <c r="B24" s="1" t="s">
        <v>54</v>
      </c>
      <c r="C24" s="1">
        <v>1</v>
      </c>
      <c r="D24" s="1" t="s">
        <v>33</v>
      </c>
      <c r="E24" s="1"/>
    </row>
    <row r="25" spans="1:5" x14ac:dyDescent="0.25">
      <c r="A25" s="3" t="s">
        <v>36</v>
      </c>
      <c r="B25" s="3" t="s">
        <v>55</v>
      </c>
      <c r="C25" s="4">
        <v>2000</v>
      </c>
      <c r="D25" s="3"/>
      <c r="E25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B61" sqref="B61"/>
    </sheetView>
  </sheetViews>
  <sheetFormatPr baseColWidth="10" defaultRowHeight="15" x14ac:dyDescent="0.25"/>
  <cols>
    <col min="1" max="1" width="48.28515625" bestFit="1" customWidth="1"/>
    <col min="2" max="2" width="14" bestFit="1" customWidth="1"/>
    <col min="3" max="3" width="29.85546875" bestFit="1" customWidth="1"/>
    <col min="4" max="4" width="29.85546875" customWidth="1"/>
    <col min="5" max="5" width="26.140625" bestFit="1" customWidth="1"/>
  </cols>
  <sheetData>
    <row r="1" spans="1:5" x14ac:dyDescent="0.25">
      <c r="A1" s="28" t="s">
        <v>78</v>
      </c>
      <c r="B1" s="28"/>
      <c r="C1" s="28"/>
      <c r="D1" s="28"/>
      <c r="E1" s="28"/>
    </row>
    <row r="2" spans="1:5" x14ac:dyDescent="0.25">
      <c r="A2" s="24" t="s">
        <v>136</v>
      </c>
      <c r="B2" s="24">
        <v>5</v>
      </c>
      <c r="C2" s="24"/>
      <c r="D2" s="24"/>
      <c r="E2" s="24"/>
    </row>
    <row r="3" spans="1:5" x14ac:dyDescent="0.25">
      <c r="A3" s="24" t="s">
        <v>135</v>
      </c>
      <c r="B3" s="24">
        <v>4</v>
      </c>
      <c r="C3" s="24"/>
      <c r="D3" s="24"/>
      <c r="E3" s="24"/>
    </row>
    <row r="4" spans="1:5" x14ac:dyDescent="0.25">
      <c r="A4" s="24" t="s">
        <v>137</v>
      </c>
      <c r="B4" s="24">
        <v>2.75</v>
      </c>
      <c r="C4" s="24"/>
      <c r="D4" s="24"/>
      <c r="E4" s="24"/>
    </row>
    <row r="5" spans="1:5" x14ac:dyDescent="0.25">
      <c r="A5" s="29" t="s">
        <v>61</v>
      </c>
      <c r="B5" s="29"/>
      <c r="C5" s="29"/>
      <c r="D5" s="29"/>
      <c r="E5" s="29"/>
    </row>
    <row r="6" spans="1:5" x14ac:dyDescent="0.25">
      <c r="A6" s="1" t="s">
        <v>67</v>
      </c>
      <c r="B6" s="1" t="s">
        <v>63</v>
      </c>
      <c r="C6" s="1" t="s">
        <v>66</v>
      </c>
      <c r="D6" s="1" t="s">
        <v>69</v>
      </c>
      <c r="E6" s="1" t="s">
        <v>68</v>
      </c>
    </row>
    <row r="7" spans="1:5" x14ac:dyDescent="0.25">
      <c r="A7" s="1" t="s">
        <v>62</v>
      </c>
      <c r="B7" s="1">
        <v>2</v>
      </c>
      <c r="C7" s="1">
        <v>0.18</v>
      </c>
      <c r="D7" s="1">
        <v>750</v>
      </c>
      <c r="E7" s="1">
        <v>1600</v>
      </c>
    </row>
    <row r="8" spans="1:5" x14ac:dyDescent="0.25">
      <c r="A8" s="1" t="s">
        <v>64</v>
      </c>
      <c r="B8" s="1">
        <v>10</v>
      </c>
      <c r="C8" s="1">
        <v>3.7999999999999999E-2</v>
      </c>
      <c r="D8" s="1">
        <v>60</v>
      </c>
      <c r="E8" s="1">
        <v>1030</v>
      </c>
    </row>
    <row r="9" spans="1:5" x14ac:dyDescent="0.25">
      <c r="A9" s="1" t="s">
        <v>65</v>
      </c>
      <c r="B9" s="1">
        <v>1.3</v>
      </c>
      <c r="C9" s="1">
        <v>0.25</v>
      </c>
      <c r="D9" s="1">
        <v>825</v>
      </c>
      <c r="E9" s="1">
        <v>1000</v>
      </c>
    </row>
    <row r="10" spans="1:5" x14ac:dyDescent="0.25">
      <c r="A10" s="1" t="s">
        <v>70</v>
      </c>
      <c r="B10" s="30">
        <f>(B2+B3)*2*B4-B30</f>
        <v>46</v>
      </c>
      <c r="C10" s="30"/>
      <c r="D10" s="30"/>
      <c r="E10" s="30"/>
    </row>
    <row r="11" spans="1:5" x14ac:dyDescent="0.25">
      <c r="A11" s="39" t="s">
        <v>134</v>
      </c>
      <c r="B11" s="40">
        <f>(B7/C7+B8/C8+B9/C9)/(100*B10)</f>
        <v>6.0754131706076783E-2</v>
      </c>
      <c r="C11" s="40"/>
      <c r="D11" s="40"/>
      <c r="E11" s="40"/>
    </row>
    <row r="12" spans="1:5" s="42" customFormat="1" x14ac:dyDescent="0.25">
      <c r="A12" s="39" t="s">
        <v>71</v>
      </c>
      <c r="B12" s="41">
        <f>(B7*D7*E7+B8*D8*E8+B9*D9*E9)*B10/(100*3600)</f>
        <v>522.67499999999995</v>
      </c>
      <c r="C12" s="41"/>
      <c r="D12" s="41"/>
      <c r="E12" s="41"/>
    </row>
    <row r="13" spans="1:5" x14ac:dyDescent="0.25">
      <c r="A13" s="1"/>
      <c r="B13" s="1"/>
      <c r="C13" s="1"/>
      <c r="D13" s="1"/>
      <c r="E13" s="1"/>
    </row>
    <row r="14" spans="1:5" x14ac:dyDescent="0.25">
      <c r="A14" s="29" t="s">
        <v>72</v>
      </c>
      <c r="B14" s="29"/>
      <c r="C14" s="29"/>
      <c r="D14" s="29"/>
      <c r="E14" s="29"/>
    </row>
    <row r="15" spans="1:5" x14ac:dyDescent="0.25">
      <c r="A15" s="1" t="s">
        <v>73</v>
      </c>
      <c r="B15" s="1" t="s">
        <v>81</v>
      </c>
      <c r="C15" s="1"/>
      <c r="D15" s="1"/>
      <c r="E15" s="1"/>
    </row>
    <row r="16" spans="1:5" x14ac:dyDescent="0.25">
      <c r="A16" s="1" t="s">
        <v>74</v>
      </c>
      <c r="B16" s="1">
        <v>14</v>
      </c>
      <c r="C16" s="1">
        <v>2</v>
      </c>
      <c r="D16" s="1">
        <v>2500</v>
      </c>
      <c r="E16" s="1">
        <v>1000</v>
      </c>
    </row>
    <row r="17" spans="1:5" x14ac:dyDescent="0.25">
      <c r="A17" s="1" t="s">
        <v>75</v>
      </c>
      <c r="B17" s="1">
        <v>10</v>
      </c>
      <c r="C17" s="1">
        <v>3.7999999999999999E-2</v>
      </c>
      <c r="D17" s="1">
        <v>50</v>
      </c>
      <c r="E17" s="1">
        <v>1450</v>
      </c>
    </row>
    <row r="18" spans="1:5" x14ac:dyDescent="0.25">
      <c r="A18" s="1" t="s">
        <v>77</v>
      </c>
      <c r="B18" s="1">
        <v>20</v>
      </c>
      <c r="C18" s="1"/>
      <c r="D18" s="1"/>
      <c r="E18" s="1"/>
    </row>
    <row r="19" spans="1:5" s="42" customFormat="1" x14ac:dyDescent="0.25">
      <c r="A19" s="39" t="s">
        <v>132</v>
      </c>
      <c r="B19" s="40">
        <f>(B16/C16+B17/C17)/(100*B18)</f>
        <v>0.13507894736842108</v>
      </c>
      <c r="C19" s="40"/>
      <c r="D19" s="40"/>
      <c r="E19" s="40"/>
    </row>
    <row r="20" spans="1:5" s="42" customFormat="1" x14ac:dyDescent="0.25">
      <c r="A20" s="39" t="s">
        <v>71</v>
      </c>
      <c r="B20" s="41">
        <f>(B16*D16*E16+B17*D17*E17)*B18/(100*3600)</f>
        <v>1984.7222222222222</v>
      </c>
      <c r="C20" s="41"/>
      <c r="D20" s="41"/>
      <c r="E20" s="41"/>
    </row>
    <row r="21" spans="1:5" x14ac:dyDescent="0.25">
      <c r="A21" s="1"/>
      <c r="B21" s="1"/>
      <c r="C21" s="1"/>
      <c r="D21" s="1"/>
      <c r="E21" s="1"/>
    </row>
    <row r="22" spans="1:5" x14ac:dyDescent="0.25">
      <c r="A22" s="29" t="s">
        <v>76</v>
      </c>
      <c r="B22" s="29"/>
      <c r="C22" s="29"/>
      <c r="D22" s="29"/>
      <c r="E22" s="29"/>
    </row>
    <row r="23" spans="1:5" x14ac:dyDescent="0.25">
      <c r="A23" s="1" t="s">
        <v>67</v>
      </c>
      <c r="B23" s="1" t="s">
        <v>63</v>
      </c>
      <c r="C23" s="1" t="s">
        <v>66</v>
      </c>
      <c r="D23" s="1" t="s">
        <v>69</v>
      </c>
      <c r="E23" s="1" t="s">
        <v>68</v>
      </c>
    </row>
    <row r="24" spans="1:5" x14ac:dyDescent="0.25">
      <c r="A24" s="1" t="s">
        <v>64</v>
      </c>
      <c r="B24" s="1">
        <v>20</v>
      </c>
      <c r="C24" s="1">
        <v>3.7999999999999999E-2</v>
      </c>
      <c r="D24" s="1">
        <v>60</v>
      </c>
      <c r="E24" s="1">
        <v>1030</v>
      </c>
    </row>
    <row r="25" spans="1:5" x14ac:dyDescent="0.25">
      <c r="A25" s="1" t="s">
        <v>65</v>
      </c>
      <c r="B25" s="1">
        <v>1.3</v>
      </c>
      <c r="C25" s="1">
        <v>0.25</v>
      </c>
      <c r="D25" s="1">
        <v>825</v>
      </c>
      <c r="E25" s="1">
        <v>1000</v>
      </c>
    </row>
    <row r="26" spans="1:5" x14ac:dyDescent="0.25">
      <c r="A26" s="1" t="s">
        <v>70</v>
      </c>
      <c r="B26" s="30">
        <v>20</v>
      </c>
      <c r="C26" s="30"/>
      <c r="D26" s="30"/>
      <c r="E26" s="30"/>
    </row>
    <row r="27" spans="1:5" s="42" customFormat="1" x14ac:dyDescent="0.25">
      <c r="A27" s="39" t="s">
        <v>133</v>
      </c>
      <c r="B27" s="40">
        <f>(B24/C24+B25/C25)/(100*B26)</f>
        <v>0.26575789473684214</v>
      </c>
      <c r="C27" s="40"/>
      <c r="D27" s="40"/>
      <c r="E27" s="40"/>
    </row>
    <row r="28" spans="1:5" s="42" customFormat="1" x14ac:dyDescent="0.25">
      <c r="A28" s="39" t="s">
        <v>71</v>
      </c>
      <c r="B28" s="41">
        <f>(B24*D24*E24+B25*D25*E25)*B26/(100*3600)</f>
        <v>128.25</v>
      </c>
      <c r="C28" s="41"/>
      <c r="D28" s="41"/>
      <c r="E28" s="41"/>
    </row>
    <row r="29" spans="1:5" x14ac:dyDescent="0.25">
      <c r="A29" s="31" t="s">
        <v>80</v>
      </c>
      <c r="B29" s="32"/>
      <c r="C29" s="32"/>
      <c r="D29" s="32"/>
      <c r="E29" s="33"/>
    </row>
    <row r="30" spans="1:5" x14ac:dyDescent="0.25">
      <c r="A30" s="1" t="s">
        <v>77</v>
      </c>
      <c r="B30" s="1">
        <f>1.25*1.4*2</f>
        <v>3.5</v>
      </c>
      <c r="C30" s="1"/>
      <c r="D30" s="1"/>
      <c r="E30" s="1"/>
    </row>
    <row r="31" spans="1:5" x14ac:dyDescent="0.25">
      <c r="A31" s="1" t="s">
        <v>79</v>
      </c>
      <c r="B31" s="6">
        <f>1/2.557</f>
        <v>0.3910833007430583</v>
      </c>
      <c r="C31" s="35">
        <f>B31*B30</f>
        <v>1.3687915526007042</v>
      </c>
      <c r="D31" s="1"/>
      <c r="E31" s="1"/>
    </row>
    <row r="32" spans="1:5" x14ac:dyDescent="0.25">
      <c r="A32" s="31" t="s">
        <v>82</v>
      </c>
      <c r="B32" s="32"/>
      <c r="C32" s="32"/>
      <c r="D32" s="32"/>
      <c r="E32" s="33"/>
    </row>
    <row r="33" spans="1:5" x14ac:dyDescent="0.25">
      <c r="A33" s="1" t="s">
        <v>77</v>
      </c>
      <c r="B33" s="2">
        <f>0.9*2.095</f>
        <v>1.8855000000000002</v>
      </c>
      <c r="C33" s="1"/>
      <c r="D33" s="1"/>
      <c r="E33" s="1"/>
    </row>
    <row r="34" spans="1:5" x14ac:dyDescent="0.25">
      <c r="A34" s="1" t="s">
        <v>79</v>
      </c>
      <c r="B34" s="6">
        <f>1/1.4</f>
        <v>0.7142857142857143</v>
      </c>
      <c r="C34" s="35">
        <f>B34*B33</f>
        <v>1.3467857142857145</v>
      </c>
      <c r="D34" s="1"/>
      <c r="E34" s="1"/>
    </row>
    <row r="35" spans="1:5" x14ac:dyDescent="0.25">
      <c r="A35" s="1"/>
      <c r="B35" s="6"/>
      <c r="C35" s="6"/>
      <c r="D35" s="1"/>
      <c r="E35" s="1"/>
    </row>
    <row r="36" spans="1:5" x14ac:dyDescent="0.25">
      <c r="A36" s="1"/>
      <c r="B36" s="6"/>
      <c r="C36" s="35" t="s">
        <v>138</v>
      </c>
      <c r="D36" s="1"/>
      <c r="E36" s="1"/>
    </row>
    <row r="37" spans="1:5" x14ac:dyDescent="0.25">
      <c r="A37" s="1" t="s">
        <v>139</v>
      </c>
      <c r="B37" s="36">
        <f>0.6/3600</f>
        <v>1.6666666666666666E-4</v>
      </c>
      <c r="C37" s="6"/>
      <c r="D37" s="1" t="s">
        <v>144</v>
      </c>
      <c r="E37" s="1"/>
    </row>
    <row r="38" spans="1:5" x14ac:dyDescent="0.25">
      <c r="A38" s="5" t="s">
        <v>140</v>
      </c>
      <c r="B38" s="37">
        <v>1.2</v>
      </c>
      <c r="C38" s="6"/>
      <c r="D38" s="1"/>
      <c r="E38" s="1"/>
    </row>
    <row r="39" spans="1:5" x14ac:dyDescent="0.25">
      <c r="A39" s="5" t="s">
        <v>141</v>
      </c>
      <c r="B39" s="37">
        <v>1004</v>
      </c>
      <c r="C39" s="6"/>
      <c r="D39" s="1"/>
      <c r="E39" s="1"/>
    </row>
    <row r="40" spans="1:5" x14ac:dyDescent="0.25">
      <c r="A40" s="5" t="s">
        <v>142</v>
      </c>
      <c r="B40" s="37">
        <f>(B2+B3)*2*B4</f>
        <v>49.5</v>
      </c>
      <c r="C40" s="6"/>
      <c r="D40" s="1"/>
      <c r="E40" s="1"/>
    </row>
    <row r="41" spans="1:5" x14ac:dyDescent="0.25">
      <c r="A41" s="38" t="s">
        <v>143</v>
      </c>
      <c r="B41" s="35">
        <f>1/(B37*B38*B39*B40)</f>
        <v>0.10060767032878588</v>
      </c>
      <c r="C41" s="6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39" t="s">
        <v>145</v>
      </c>
      <c r="D43" s="1"/>
      <c r="E43" s="1"/>
    </row>
    <row r="44" spans="1:5" x14ac:dyDescent="0.25">
      <c r="A44" s="1" t="s">
        <v>146</v>
      </c>
      <c r="B44" s="1">
        <f>B2*B3*B4</f>
        <v>55</v>
      </c>
      <c r="C44" s="1"/>
      <c r="D44" s="1"/>
      <c r="E44" s="1"/>
    </row>
    <row r="45" spans="1:5" x14ac:dyDescent="0.25">
      <c r="A45" s="38" t="s">
        <v>147</v>
      </c>
      <c r="B45" s="35">
        <f>1/(B38*B39*B44/3600)</f>
        <v>5.4328141977544368E-2</v>
      </c>
      <c r="C45" s="1"/>
      <c r="D45" s="1"/>
      <c r="E45" s="1"/>
    </row>
    <row r="46" spans="1:5" x14ac:dyDescent="0.25">
      <c r="A46" s="1"/>
      <c r="B46" s="1"/>
      <c r="C46" s="39" t="s">
        <v>148</v>
      </c>
      <c r="D46" s="1"/>
      <c r="E46" s="1"/>
    </row>
    <row r="47" spans="1:5" x14ac:dyDescent="0.25">
      <c r="A47" s="1" t="s">
        <v>149</v>
      </c>
      <c r="B47" s="6">
        <f>0.13/B40</f>
        <v>2.6262626262626263E-3</v>
      </c>
      <c r="C47" s="1"/>
      <c r="D47" s="1"/>
      <c r="E47" s="1"/>
    </row>
    <row r="48" spans="1:5" x14ac:dyDescent="0.25">
      <c r="A48" s="1" t="s">
        <v>72</v>
      </c>
      <c r="B48" s="6">
        <f>0.17/(B2*B3)</f>
        <v>8.5000000000000006E-3</v>
      </c>
      <c r="C48" s="1"/>
      <c r="D48" s="1"/>
      <c r="E48" s="1"/>
    </row>
    <row r="49" spans="1:5" x14ac:dyDescent="0.25">
      <c r="A49" s="1" t="s">
        <v>76</v>
      </c>
      <c r="B49" s="1">
        <f>0.1/(B2*B3)</f>
        <v>5.0000000000000001E-3</v>
      </c>
      <c r="C49" s="1"/>
      <c r="D49" s="1"/>
      <c r="E49" s="1"/>
    </row>
    <row r="50" spans="1:5" x14ac:dyDescent="0.25">
      <c r="A50" s="1" t="s">
        <v>150</v>
      </c>
      <c r="B50" s="35">
        <f>1/(1/B47+1/B48+1/B49)</f>
        <v>1.4318108195659216E-3</v>
      </c>
      <c r="C50" s="1"/>
      <c r="D50" s="1"/>
      <c r="E50" s="1"/>
    </row>
    <row r="51" spans="1:5" x14ac:dyDescent="0.25">
      <c r="A51" s="43"/>
      <c r="B51" s="43"/>
      <c r="C51" s="43" t="s">
        <v>156</v>
      </c>
      <c r="D51" s="43"/>
      <c r="E51" s="43"/>
    </row>
    <row r="52" spans="1:5" x14ac:dyDescent="0.25">
      <c r="A52" s="43"/>
      <c r="B52" s="43"/>
      <c r="C52" s="43"/>
      <c r="D52" s="43"/>
      <c r="E52" s="43"/>
    </row>
    <row r="53" spans="1:5" x14ac:dyDescent="0.25">
      <c r="A53" s="44" t="s">
        <v>151</v>
      </c>
      <c r="B53" s="45">
        <f>1/(1/B11+1/B19+1/B27+1/C34)</f>
        <v>3.5250743549048891E-2</v>
      </c>
      <c r="C53" s="43"/>
      <c r="D53" s="43"/>
      <c r="E53" s="43"/>
    </row>
    <row r="54" spans="1:5" x14ac:dyDescent="0.25">
      <c r="A54" s="44" t="s">
        <v>153</v>
      </c>
      <c r="B54" s="45">
        <f>B50</f>
        <v>1.4318108195659216E-3</v>
      </c>
      <c r="C54" s="43"/>
      <c r="D54" s="43"/>
      <c r="E54" s="43"/>
    </row>
    <row r="55" spans="1:5" x14ac:dyDescent="0.25">
      <c r="A55" s="44" t="s">
        <v>152</v>
      </c>
      <c r="B55" s="46">
        <f>1/(1/B41+1/B45+1/C34)</f>
        <v>3.4377521576621592E-2</v>
      </c>
      <c r="C55" s="43"/>
      <c r="D55" s="43"/>
      <c r="E55" s="43"/>
    </row>
    <row r="56" spans="1:5" x14ac:dyDescent="0.25">
      <c r="A56" s="44" t="s">
        <v>154</v>
      </c>
      <c r="B56" s="46">
        <f>B38*B39*B44/3600</f>
        <v>18.406666666666666</v>
      </c>
      <c r="C56" s="43"/>
      <c r="D56" s="43"/>
      <c r="E56" s="43"/>
    </row>
    <row r="57" spans="1:5" x14ac:dyDescent="0.25">
      <c r="A57" s="44" t="s">
        <v>155</v>
      </c>
      <c r="B57" s="47">
        <f>B12+B20+B28</f>
        <v>2635.6472222222219</v>
      </c>
      <c r="C57" s="43"/>
      <c r="D57" s="43"/>
      <c r="E57" s="43"/>
    </row>
    <row r="58" spans="1:5" x14ac:dyDescent="0.25">
      <c r="A58" s="5"/>
      <c r="B58" s="48"/>
      <c r="C58" s="5"/>
      <c r="D58" s="5"/>
      <c r="E58" s="5"/>
    </row>
  </sheetData>
  <mergeCells count="14">
    <mergeCell ref="A29:E29"/>
    <mergeCell ref="A32:E32"/>
    <mergeCell ref="B11:E11"/>
    <mergeCell ref="B10:E10"/>
    <mergeCell ref="A5:E5"/>
    <mergeCell ref="B12:E12"/>
    <mergeCell ref="A1:E1"/>
    <mergeCell ref="B28:E28"/>
    <mergeCell ref="A22:E22"/>
    <mergeCell ref="A14:E14"/>
    <mergeCell ref="B19:E19"/>
    <mergeCell ref="B20:E20"/>
    <mergeCell ref="B26:E26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2" sqref="B12"/>
    </sheetView>
  </sheetViews>
  <sheetFormatPr baseColWidth="10" defaultRowHeight="15" x14ac:dyDescent="0.25"/>
  <cols>
    <col min="1" max="1" width="33.7109375" style="10" bestFit="1" customWidth="1"/>
    <col min="2" max="3" width="11.42578125" style="8"/>
    <col min="4" max="4" width="22.85546875" style="8" bestFit="1" customWidth="1"/>
  </cols>
  <sheetData>
    <row r="1" spans="1:6" x14ac:dyDescent="0.25">
      <c r="A1" s="25" t="s">
        <v>121</v>
      </c>
      <c r="B1" s="26"/>
      <c r="C1" s="26"/>
      <c r="D1" s="27"/>
    </row>
    <row r="2" spans="1:6" x14ac:dyDescent="0.25">
      <c r="A2" s="31" t="s">
        <v>93</v>
      </c>
      <c r="B2" s="32"/>
      <c r="C2" s="32"/>
      <c r="D2" s="33"/>
    </row>
    <row r="3" spans="1:6" x14ac:dyDescent="0.25">
      <c r="A3" s="7" t="s">
        <v>123</v>
      </c>
      <c r="B3" s="7" t="s">
        <v>122</v>
      </c>
      <c r="C3" s="7" t="s">
        <v>124</v>
      </c>
      <c r="D3" s="7" t="s">
        <v>58</v>
      </c>
    </row>
    <row r="4" spans="1:6" x14ac:dyDescent="0.25">
      <c r="A4" s="9" t="s">
        <v>92</v>
      </c>
      <c r="B4" s="7">
        <v>1700</v>
      </c>
      <c r="C4" s="7" t="s">
        <v>87</v>
      </c>
      <c r="D4" s="7"/>
    </row>
    <row r="5" spans="1:6" x14ac:dyDescent="0.25">
      <c r="A5" s="9" t="s">
        <v>95</v>
      </c>
      <c r="B5" s="11">
        <v>2500000</v>
      </c>
      <c r="C5" s="7"/>
      <c r="D5" s="7"/>
    </row>
    <row r="6" spans="1:6" x14ac:dyDescent="0.25">
      <c r="A6" s="9" t="s">
        <v>127</v>
      </c>
      <c r="B6" s="20">
        <f>B5/B4</f>
        <v>1470.5882352941176</v>
      </c>
      <c r="C6" s="19"/>
      <c r="D6" s="19"/>
    </row>
    <row r="7" spans="1:6" x14ac:dyDescent="0.25">
      <c r="A7" s="9" t="s">
        <v>91</v>
      </c>
      <c r="B7" s="7">
        <v>1.7</v>
      </c>
      <c r="C7" s="7" t="s">
        <v>17</v>
      </c>
      <c r="D7" s="7"/>
    </row>
    <row r="8" spans="1:6" x14ac:dyDescent="0.25">
      <c r="A8" s="9" t="s">
        <v>96</v>
      </c>
      <c r="B8" s="7">
        <v>0.2</v>
      </c>
      <c r="C8" s="7"/>
      <c r="D8" s="7"/>
    </row>
    <row r="9" spans="1:6" x14ac:dyDescent="0.25">
      <c r="A9" s="9" t="s">
        <v>99</v>
      </c>
      <c r="B9" s="7">
        <v>45</v>
      </c>
      <c r="C9" s="7" t="s">
        <v>100</v>
      </c>
      <c r="D9" s="7"/>
    </row>
    <row r="10" spans="1:6" x14ac:dyDescent="0.25">
      <c r="A10" s="9" t="s">
        <v>85</v>
      </c>
      <c r="B10" s="7">
        <f>(1-B8)*B4*B9</f>
        <v>61200</v>
      </c>
      <c r="C10" s="7" t="s">
        <v>101</v>
      </c>
      <c r="D10" s="7"/>
    </row>
    <row r="11" spans="1:6" x14ac:dyDescent="0.25">
      <c r="A11" s="9" t="s">
        <v>97</v>
      </c>
      <c r="B11" s="7">
        <f>B8*B9*1000</f>
        <v>9000</v>
      </c>
      <c r="C11" s="7" t="s">
        <v>101</v>
      </c>
      <c r="D11" s="7"/>
    </row>
    <row r="12" spans="1:6" x14ac:dyDescent="0.25">
      <c r="A12" s="9" t="s">
        <v>98</v>
      </c>
      <c r="B12" s="7">
        <f>B10+B11</f>
        <v>70200</v>
      </c>
      <c r="C12" s="7" t="s">
        <v>101</v>
      </c>
      <c r="D12" s="7"/>
    </row>
    <row r="13" spans="1:6" x14ac:dyDescent="0.25">
      <c r="A13" s="34" t="s">
        <v>125</v>
      </c>
      <c r="B13" s="34"/>
      <c r="C13" s="34"/>
      <c r="D13" s="34"/>
    </row>
    <row r="14" spans="1:6" x14ac:dyDescent="0.25">
      <c r="A14" s="15" t="s">
        <v>102</v>
      </c>
      <c r="B14" s="13"/>
      <c r="C14" s="13"/>
      <c r="D14" s="14"/>
    </row>
    <row r="15" spans="1:6" x14ac:dyDescent="0.25">
      <c r="A15" s="9" t="s">
        <v>103</v>
      </c>
      <c r="B15" s="12">
        <v>1.0200000000000001E-2</v>
      </c>
      <c r="C15" s="9" t="s">
        <v>105</v>
      </c>
      <c r="D15" s="9" t="s">
        <v>106</v>
      </c>
    </row>
    <row r="16" spans="1:6" x14ac:dyDescent="0.25">
      <c r="A16" s="9" t="s">
        <v>104</v>
      </c>
      <c r="B16" s="12">
        <v>1.2500000000000001E-2</v>
      </c>
      <c r="C16" s="9" t="s">
        <v>105</v>
      </c>
      <c r="D16" s="9" t="s">
        <v>106</v>
      </c>
      <c r="F16" s="22">
        <f>LN(B16/B15)/(B17*2*PI())</f>
        <v>40.453391487928748</v>
      </c>
    </row>
    <row r="17" spans="1:6" x14ac:dyDescent="0.25">
      <c r="A17" s="9" t="s">
        <v>107</v>
      </c>
      <c r="B17" s="12">
        <v>8.0000000000000004E-4</v>
      </c>
      <c r="C17" s="9" t="s">
        <v>108</v>
      </c>
      <c r="D17" s="9"/>
    </row>
    <row r="18" spans="1:6" x14ac:dyDescent="0.25">
      <c r="A18" s="15" t="s">
        <v>110</v>
      </c>
      <c r="B18" s="16"/>
      <c r="C18" s="16"/>
      <c r="D18" s="17"/>
      <c r="E18" t="s">
        <v>128</v>
      </c>
      <c r="F18">
        <v>2.4</v>
      </c>
    </row>
    <row r="19" spans="1:6" x14ac:dyDescent="0.25">
      <c r="A19" s="9" t="s">
        <v>94</v>
      </c>
      <c r="B19" s="9">
        <v>25</v>
      </c>
      <c r="C19" s="9" t="s">
        <v>109</v>
      </c>
      <c r="D19" s="9"/>
      <c r="E19" t="s">
        <v>129</v>
      </c>
      <c r="F19">
        <v>0.08</v>
      </c>
    </row>
    <row r="20" spans="1:6" x14ac:dyDescent="0.25">
      <c r="A20" s="9" t="s">
        <v>111</v>
      </c>
      <c r="B20" s="9" t="s">
        <v>112</v>
      </c>
      <c r="C20" s="9" t="s">
        <v>29</v>
      </c>
      <c r="D20" s="9"/>
      <c r="E20" s="23" t="s">
        <v>130</v>
      </c>
      <c r="F20">
        <v>0.5</v>
      </c>
    </row>
    <row r="21" spans="1:6" x14ac:dyDescent="0.25">
      <c r="A21" s="9" t="s">
        <v>113</v>
      </c>
      <c r="B21" s="9" t="s">
        <v>114</v>
      </c>
      <c r="C21" s="9"/>
      <c r="D21" s="9"/>
      <c r="E21" t="s">
        <v>116</v>
      </c>
      <c r="F21">
        <f>F18*(1+(2*PI()*F20*F20/F19)^2)</f>
        <v>927.67541260212738</v>
      </c>
    </row>
    <row r="22" spans="1:6" x14ac:dyDescent="0.25">
      <c r="A22" s="9" t="s">
        <v>115</v>
      </c>
      <c r="B22" s="9">
        <v>86.85</v>
      </c>
      <c r="C22" s="9" t="s">
        <v>116</v>
      </c>
      <c r="D22" s="9"/>
      <c r="E22" t="s">
        <v>116</v>
      </c>
      <c r="F22">
        <f>F21^0.5</f>
        <v>30.457764405847769</v>
      </c>
    </row>
    <row r="23" spans="1:6" x14ac:dyDescent="0.25">
      <c r="A23" s="18" t="s">
        <v>120</v>
      </c>
      <c r="B23" s="9"/>
      <c r="C23" s="9"/>
      <c r="D23" s="9"/>
      <c r="E23" t="s">
        <v>131</v>
      </c>
      <c r="F23">
        <f>F16/F22</f>
        <v>1.3281799330013158</v>
      </c>
    </row>
    <row r="24" spans="1:6" x14ac:dyDescent="0.25">
      <c r="A24" s="9" t="s">
        <v>117</v>
      </c>
      <c r="B24" s="9">
        <v>40</v>
      </c>
      <c r="C24" s="9" t="s">
        <v>109</v>
      </c>
      <c r="D24" s="9"/>
    </row>
    <row r="25" spans="1:6" x14ac:dyDescent="0.25">
      <c r="A25" s="9" t="s">
        <v>118</v>
      </c>
      <c r="B25" s="9">
        <v>160</v>
      </c>
      <c r="C25" s="9" t="s">
        <v>105</v>
      </c>
      <c r="D25" s="9"/>
    </row>
    <row r="26" spans="1:6" x14ac:dyDescent="0.25">
      <c r="A26" s="9" t="s">
        <v>119</v>
      </c>
      <c r="B26" s="9">
        <v>0.80400000000000005</v>
      </c>
      <c r="C26" s="9" t="s">
        <v>100</v>
      </c>
      <c r="D26" s="9"/>
    </row>
    <row r="27" spans="1:6" x14ac:dyDescent="0.25">
      <c r="A27" s="9" t="s">
        <v>115</v>
      </c>
      <c r="B27" s="9">
        <v>534.04</v>
      </c>
      <c r="C27" s="9" t="s">
        <v>116</v>
      </c>
      <c r="D27" s="9"/>
    </row>
    <row r="28" spans="1:6" x14ac:dyDescent="0.25">
      <c r="B28" s="8" t="s">
        <v>126</v>
      </c>
    </row>
    <row r="29" spans="1:6" x14ac:dyDescent="0.25">
      <c r="A29" s="9" t="s">
        <v>86</v>
      </c>
      <c r="B29" s="9">
        <v>1040</v>
      </c>
      <c r="C29" s="9" t="s">
        <v>87</v>
      </c>
      <c r="D29" s="9"/>
    </row>
    <row r="30" spans="1:6" x14ac:dyDescent="0.25">
      <c r="A30" s="9" t="s">
        <v>88</v>
      </c>
      <c r="B30" s="12">
        <v>4100000</v>
      </c>
      <c r="C30" s="9" t="s">
        <v>89</v>
      </c>
      <c r="D30" s="9" t="s">
        <v>90</v>
      </c>
    </row>
    <row r="31" spans="1:6" x14ac:dyDescent="0.25">
      <c r="B31" s="21">
        <f>B30/B29</f>
        <v>3942.3076923076924</v>
      </c>
    </row>
  </sheetData>
  <mergeCells count="3">
    <mergeCell ref="A13:D13"/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Dromotherm</vt:lpstr>
      <vt:lpstr>Batiment</vt:lpstr>
      <vt:lpstr>Stockage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</dc:creator>
  <cp:lastModifiedBy>Prince</cp:lastModifiedBy>
  <dcterms:created xsi:type="dcterms:W3CDTF">2020-04-10T23:06:24Z</dcterms:created>
  <dcterms:modified xsi:type="dcterms:W3CDTF">2020-05-25T19:19:03Z</dcterms:modified>
</cp:coreProperties>
</file>